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Custom Dice Roller" sheetId="1" r:id="rId4"/>
    <sheet state="visible" name="Main" sheetId="2" r:id="rId5"/>
    <sheet state="visible" name="Class Abilities" sheetId="3" r:id="rId6"/>
    <sheet state="visible" name="Feats" sheetId="4" r:id="rId7"/>
    <sheet state="visible" name="Skills" sheetId="5" r:id="rId8"/>
    <sheet state="visible" name="Special Attacks" sheetId="6" r:id="rId9"/>
    <sheet state="visible" name="Equipment" sheetId="7" r:id="rId10"/>
    <sheet state="visible" name="Body Slots" sheetId="8" r:id="rId11"/>
    <sheet state="visible" name="Spell Switchboard" sheetId="9" r:id="rId12"/>
    <sheet state="visible" name="Dice and Macros" sheetId="10" r:id="rId13"/>
    <sheet state="hidden" name="Sheet4" sheetId="11" r:id="rId14"/>
    <sheet state="hidden" name="Class Skills Table" sheetId="12" r:id="rId15"/>
    <sheet state="visible" name="Classes Index" sheetId="13" r:id="rId16"/>
    <sheet state="visible" name="Feats Index" sheetId="14" r:id="rId17"/>
    <sheet state="hidden" name="Races Index" sheetId="15" r:id="rId18"/>
  </sheets>
  <definedNames>
    <definedName name="Free">Main!$Z$44</definedName>
    <definedName name="Will">Sheet4!$Z$27</definedName>
    <definedName name="Skills">Skills!$B$16:$B$65</definedName>
    <definedName name="BAB">Sheet4!$W$27</definedName>
    <definedName name="Fortitude">Sheet4!$X$27</definedName>
    <definedName name="Gold">Main!$C$18</definedName>
    <definedName name="Intelligence">Skills!$E$11</definedName>
    <definedName name="attackroll">Main!$W$41</definedName>
    <definedName name="Wisdom">Skills!$E$12</definedName>
    <definedName name="Platinum">Main!$C$19</definedName>
    <definedName name="Dexterity">Skills!$E$9</definedName>
    <definedName name="special_attacks">Sheet4!$W$5</definedName>
    <definedName name="Points">Skills!$H$16:$H$65</definedName>
    <definedName name="spellcasterlevel">'Dice and Macros'!$P$3</definedName>
    <definedName name="Ranks">Skills!$I$16:$I$65</definedName>
    <definedName name="class_skills_table">'Class Skills Table'!$A$15:$X$65</definedName>
    <definedName name="Copper">Main!$C$16</definedName>
    <definedName name="Constitution">Skills!$E$10</definedName>
    <definedName name="Reflex">Sheet4!$Y$27</definedName>
    <definedName name="Charisma">Skills!$E$13</definedName>
    <definedName name="stateroll">'Dice and Macros'!$Q$5</definedName>
    <definedName name="a_and_ac">Sheet4!$V$5</definedName>
    <definedName name="Armor_Check_Penalty">Skills!$G$16:$G$65</definedName>
    <definedName name="macroroll">'Dice and Macros'!$Q$5</definedName>
    <definedName name="static">Main!$Z$43</definedName>
    <definedName name="Key_Ability">Skills!$E$16:$E$65</definedName>
    <definedName name="Formula">Main!$Z$45</definedName>
    <definedName name="size_multiplier">Sheet4!$U$5</definedName>
    <definedName name="Base_Points">'Class Skills Table'!$C$2:$W$3</definedName>
    <definedName name="hide_size">Sheet4!$X$5</definedName>
    <definedName name="Misc_Mods">Skills!$J$16:$J$65</definedName>
    <definedName name="Silver">Main!$C$17</definedName>
    <definedName name="carrying_capacity">Sheet4!$C$1:$I$29</definedName>
    <definedName name="Class_Skills">Skills!$C$16:$C$65</definedName>
    <definedName name="Strength">Skills!$E$8</definedName>
    <definedName name="Trained_Only">Skills!$D$16:$D$65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N13">
      <text>
        <t xml:space="preserve">Select yes if weapon is sling or bow (not including crossbows).
Otherwise, select no</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Enter skills as comma separated list</t>
      </text>
    </comment>
    <comment authorId="0" ref="E7">
      <text>
        <t xml:space="preserve">Enter skills as comma separated list</t>
      </text>
    </comment>
    <comment authorId="0" ref="E8">
      <text>
        <t xml:space="preserve">Enter skills as comma separated list</t>
      </text>
    </comment>
    <comment authorId="0" ref="O14">
      <text>
        <t xml:space="preserve">Bard Level</t>
      </text>
    </comment>
    <comment authorId="0" ref="P16">
      <text>
        <t xml:space="preserve">bonus HP</t>
      </text>
    </comment>
  </commentList>
</comments>
</file>

<file path=xl/comments3.xml><?xml version="1.0" encoding="utf-8"?>
<comments xmlns:r="http://schemas.openxmlformats.org/officeDocument/2006/relationships" xmlns="http://schemas.openxmlformats.org/spreadsheetml/2006/main">
  <authors>
    <author/>
  </authors>
  <commentList>
    <comment authorId="0" ref="P4">
      <text>
        <t xml:space="preserve">Amount subtracted from base attack bonus and added to dodge bonus to armor class</t>
      </text>
    </comment>
    <comment authorId="0" ref="P6">
      <text>
        <t xml:space="preserve">number of arrows nocked</t>
      </text>
    </comment>
    <comment authorId="0" ref="P10">
      <text>
        <t xml:space="preserve">Amount subtracted from base attack bonus and added to damage</t>
      </text>
    </comment>
  </commentList>
</comments>
</file>

<file path=xl/comments4.xml><?xml version="1.0" encoding="utf-8"?>
<comments xmlns:r="http://schemas.openxmlformats.org/officeDocument/2006/relationships" xmlns="http://schemas.openxmlformats.org/spreadsheetml/2006/main">
  <authors>
    <author/>
  </authors>
  <commentList>
    <comment authorId="0" ref="D3">
      <text>
        <t xml:space="preserve">Enter temporary HP here</t>
      </text>
    </comment>
    <comment authorId="0" ref="S3">
      <text>
        <t xml:space="preserve">Enter temporary HP here</t>
      </text>
    </comment>
    <comment authorId="0" ref="I4">
      <text>
        <t xml:space="preserve">Enter temporary HP here</t>
      </text>
    </comment>
    <comment authorId="0" ref="N10">
      <text>
        <t xml:space="preserve">Enter strength damage here</t>
      </text>
    </comment>
    <comment authorId="0" ref="L11">
      <text>
        <t xml:space="preserve">in addition to activating the state, change your size to one smaller and your weapon damage to that of a weapon one size smaller than normal</t>
      </text>
    </comment>
    <comment authorId="0" ref="L13">
      <text>
        <t xml:space="preserve">in addition to activating the state, change your size to one larger and your weapon damage to that of a weapon one size larger than normal</t>
      </text>
    </comment>
    <comment authorId="0" ref="D18">
      <text>
        <t xml:space="preserve">Enter temporary HP here</t>
      </text>
    </comment>
    <comment authorId="0" ref="L20">
      <text>
        <t xml:space="preserve">in addition to activating the state, change your weapon damage to that of a weapon two sizes larger than normal</t>
      </text>
    </comment>
    <comment authorId="0" ref="I21">
      <text>
        <t xml:space="preserve">number of attacks made while levitating before stabilizing</t>
      </text>
    </comment>
    <comment authorId="0" ref="N28">
      <text>
        <t xml:space="preserve">Enter strength damage here</t>
      </text>
    </comment>
    <comment authorId="0" ref="B29">
      <text>
        <t xml:space="preserve">in addition to activating the state, change your size to one larger and your weapon damage to that of a weapon one size larger than normal</t>
      </text>
    </comment>
    <comment authorId="0" ref="N31">
      <text>
        <t xml:space="preserve">Enter Intelligence, Wisdom, and Charisma penalty here</t>
      </text>
    </comment>
    <comment authorId="0" ref="L33">
      <text>
        <t xml:space="preserve">Activate this when using a once metal weapon</t>
      </text>
    </comment>
    <comment authorId="0" ref="L34">
      <text>
        <t xml:space="preserve">Activate this when using once metal armor</t>
      </text>
    </comment>
    <comment authorId="0" ref="N35">
      <text>
        <t xml:space="preserve">number of critical hits the once metal armor has been hit by since becoming wood</t>
      </text>
    </comment>
    <comment authorId="0" ref="I37">
      <text>
        <t xml:space="preserve">enter constitution damage here</t>
      </text>
    </comment>
    <comment authorId="0" ref="I38">
      <text>
        <t xml:space="preserve">enter constitution damage here</t>
      </text>
    </comment>
  </commentList>
</comments>
</file>

<file path=xl/comments5.xml><?xml version="1.0" encoding="utf-8"?>
<comments xmlns:r="http://schemas.openxmlformats.org/officeDocument/2006/relationships" xmlns="http://schemas.openxmlformats.org/spreadsheetml/2006/main">
  <authors>
    <author/>
  </authors>
  <commentList>
    <comment authorId="0" ref="L3">
      <text>
        <t xml:space="preserve">type keyword here</t>
      </text>
    </comment>
  </commentList>
</comments>
</file>

<file path=xl/comments6.xml><?xml version="1.0" encoding="utf-8"?>
<comments xmlns:r="http://schemas.openxmlformats.org/officeDocument/2006/relationships" xmlns="http://schemas.openxmlformats.org/spreadsheetml/2006/main">
  <authors>
    <author/>
  </authors>
  <commentList>
    <comment authorId="0" ref="D39">
      <text>
        <t xml:space="preserve">Air Domain</t>
      </text>
    </comment>
    <comment authorId="0" ref="D40">
      <text>
        <t xml:space="preserve">Animal domain: open hidden sheet class skills table and check knowledge nature box for cleric</t>
      </text>
    </comment>
    <comment authorId="0" ref="D42">
      <text>
        <t xml:space="preserve">Death domain</t>
      </text>
    </comment>
    <comment authorId="0" ref="D44">
      <text>
        <t xml:space="preserve">Earth Domain</t>
      </text>
    </comment>
    <comment authorId="0" ref="D46">
      <text>
        <t xml:space="preserve">Fire Domain</t>
      </text>
    </comment>
    <comment authorId="0" ref="D49">
      <text>
        <t xml:space="preserve">Knowledge domain: open hidden class skills table tab and check all knowledge skills for cleric</t>
      </text>
    </comment>
    <comment authorId="0" ref="D51">
      <text>
        <t xml:space="preserve">Luck domain</t>
      </text>
    </comment>
    <comment authorId="0" ref="D52">
      <text>
        <t xml:space="preserve">Magic domain</t>
      </text>
    </comment>
    <comment authorId="0" ref="D53">
      <text>
        <t xml:space="preserve">Plant Domain: open hidden class skills table tab and check Knowledge (nature) skill for cleric</t>
      </text>
    </comment>
    <comment authorId="0" ref="D54">
      <text>
        <t xml:space="preserve">Protection domain</t>
      </text>
    </comment>
    <comment authorId="0" ref="D55">
      <text>
        <t xml:space="preserve">Strength domain</t>
      </text>
    </comment>
    <comment authorId="0" ref="D56">
      <text>
        <t xml:space="preserve">Sun domain</t>
      </text>
    </comment>
    <comment authorId="0" ref="D57">
      <text>
        <t xml:space="preserve">Travel domain: open hidden class skills table tab and check survival for cleric</t>
      </text>
    </comment>
    <comment authorId="0" ref="D58">
      <text>
        <t xml:space="preserve">Trickery domain: open hidden class skills table tab and check Bluff, Disguise, and Hide on cleric</t>
      </text>
    </comment>
    <comment authorId="0" ref="D59">
      <text>
        <t xml:space="preserve">War domain</t>
      </text>
    </comment>
    <comment authorId="0" ref="D60">
      <text>
        <t xml:space="preserve">Water Domain</t>
      </text>
    </comment>
  </commentList>
</comments>
</file>

<file path=xl/comments7.xml><?xml version="1.0" encoding="utf-8"?>
<comments xmlns:r="http://schemas.openxmlformats.org/officeDocument/2006/relationships" xmlns="http://schemas.openxmlformats.org/spreadsheetml/2006/main">
  <authors>
    <author/>
  </authors>
  <commentList>
    <comment authorId="0" ref="J4">
      <text>
        <t xml:space="preserve">add to racial saving throw bonus cells on Save table on Main
	-Hachristo</t>
      </text>
    </comment>
    <comment authorId="0" ref="K4">
      <text>
        <t xml:space="preserve">Add to morale save bonus cells on Save table on Main
	-Hachristo</t>
      </text>
    </comment>
    <comment authorId="0" ref="J5">
      <text>
        <t xml:space="preserve">add to custom attack bonus cell on Ranged Attack table on cells
	-Hachristo</t>
      </text>
    </comment>
    <comment authorId="0" ref="J7">
      <text>
        <t xml:space="preserve">Add to racial save bonus cells on Saves table on Main
	-Hachristo</t>
      </text>
    </comment>
    <comment authorId="0" ref="J9">
      <text>
        <t xml:space="preserve">Add to racial save bonus cells on Saves table on Main
	-Hachristo</t>
      </text>
    </comment>
    <comment authorId="0" ref="J10">
      <text>
        <t xml:space="preserve">Add to spell save dc cell (C41) on Spell Save DC table on Main
	-Hachristo</t>
      </text>
    </comment>
    <comment authorId="0" ref="J11">
      <text>
        <t xml:space="preserve">add to racial attack bonus cell on melee and ranged attack tables on Main
	-Hachristo</t>
      </text>
    </comment>
    <comment authorId="0" ref="J12">
      <text>
        <t xml:space="preserve">add to dodge AC bonus cell on AC table on Main
	-Hachristo</t>
      </text>
    </comment>
    <comment authorId="0" ref="J14">
      <text>
        <t xml:space="preserve">Add to racial save bonus cells on Saves table on Main
	-Hachristo</t>
      </text>
    </comment>
    <comment authorId="0" ref="J16">
      <text>
        <t xml:space="preserve">Add to racial save bonus cells on Saves table on Main
	-Hachristo</t>
      </text>
    </comment>
    <comment authorId="0" ref="J17">
      <text>
        <t xml:space="preserve">Add to racial save bonus cells on Saves table on Main
	-Hachristo</t>
      </text>
    </comment>
    <comment authorId="0" ref="J18">
      <text>
        <t xml:space="preserve">add to racial attack bonus cell on melee and ranged attack tables on Main
	-Hachristo</t>
      </text>
    </comment>
    <comment authorId="0" ref="K18">
      <text>
        <t xml:space="preserve">add to custom bonus cells in the bull rush and trip tables on Special Attacks
	-Hachristo</t>
      </text>
    </comment>
    <comment authorId="0" ref="L18">
      <text>
        <t xml:space="preserve">add to custom bonus cells in the bull rush and trip tables on Special Attacks
	-Hachristo</t>
      </text>
    </comment>
    <comment authorId="0" ref="J19">
      <text>
        <t xml:space="preserve">add to dodge AC bonus cell on AC table on Main
	-Hachristo</t>
      </text>
    </comment>
  </commentList>
</comments>
</file>

<file path=xl/sharedStrings.xml><?xml version="1.0" encoding="utf-8"?>
<sst xmlns="http://schemas.openxmlformats.org/spreadsheetml/2006/main" count="2900" uniqueCount="1396">
  <si>
    <t>pointer</t>
  </si>
  <si>
    <t>d4</t>
  </si>
  <si>
    <t>d6</t>
  </si>
  <si>
    <t>d8</t>
  </si>
  <si>
    <t>d10</t>
  </si>
  <si>
    <t>d12</t>
  </si>
  <si>
    <t>d20</t>
  </si>
  <si>
    <t>d100</t>
  </si>
  <si>
    <t>dcustom</t>
  </si>
  <si>
    <t>Dice Roller</t>
  </si>
  <si>
    <t>Class Macros</t>
  </si>
  <si>
    <t>Die</t>
  </si>
  <si>
    <t># of Dice</t>
  </si>
  <si>
    <t># of Faces</t>
  </si>
  <si>
    <t>Modifier</t>
  </si>
  <si>
    <t>Roll</t>
  </si>
  <si>
    <t>Total</t>
  </si>
  <si>
    <t>Macro</t>
  </si>
  <si>
    <t>CL</t>
  </si>
  <si>
    <t>D4</t>
  </si>
  <si>
    <t>Inspire Greatness</t>
  </si>
  <si>
    <t>D6</t>
  </si>
  <si>
    <t>Sneak Attack 1</t>
  </si>
  <si>
    <t>D8</t>
  </si>
  <si>
    <t>Sneak Attack 2</t>
  </si>
  <si>
    <t>D10</t>
  </si>
  <si>
    <t>Sneak Attack 3</t>
  </si>
  <si>
    <t>D12</t>
  </si>
  <si>
    <t>Sneak Attack 4</t>
  </si>
  <si>
    <t>D20</t>
  </si>
  <si>
    <t>Sneak Attack 5</t>
  </si>
  <si>
    <t>D100</t>
  </si>
  <si>
    <t>Sneak Attack 6</t>
  </si>
  <si>
    <t>DCustom</t>
  </si>
  <si>
    <t>Sneak Attack 7</t>
  </si>
  <si>
    <t>Sneak Attack 8</t>
  </si>
  <si>
    <t>Macros</t>
  </si>
  <si>
    <t>Sneak Attack 9</t>
  </si>
  <si>
    <t>Sneak Attack 10</t>
  </si>
  <si>
    <t>Acid Arrow (acid damage per round)</t>
  </si>
  <si>
    <t>Sneak Attack 11</t>
  </si>
  <si>
    <t>Acid Fog (acid damage)</t>
  </si>
  <si>
    <t>Sneak Attack 12</t>
  </si>
  <si>
    <t>Acid Splash (acid damage)</t>
  </si>
  <si>
    <t>Sneak Attack 13</t>
  </si>
  <si>
    <t>Aid (temporary hp)</t>
  </si>
  <si>
    <t>Sneak Attack 14</t>
  </si>
  <si>
    <t>Animal Trance (hd affected)</t>
  </si>
  <si>
    <t>Sneak Attack 15</t>
  </si>
  <si>
    <t>Blade Barrier (damage)</t>
  </si>
  <si>
    <t>Sneak Attack 16</t>
  </si>
  <si>
    <t>Blight (damage)</t>
  </si>
  <si>
    <t>Holy Sword 1</t>
  </si>
  <si>
    <t>Break Enchantment (caster level check)</t>
  </si>
  <si>
    <t>Holy Sword 2</t>
  </si>
  <si>
    <t>Burning Hands (damage)</t>
  </si>
  <si>
    <t>Holy Sword 3</t>
  </si>
  <si>
    <t>Call Lightning (damage)</t>
  </si>
  <si>
    <t>Holy Sword 4</t>
  </si>
  <si>
    <t>Call Lightning (stormy damage)</t>
  </si>
  <si>
    <t>Holy Sword 5</t>
  </si>
  <si>
    <t>Call Lighting Storm (damage)</t>
  </si>
  <si>
    <t>Holy Sword 6</t>
  </si>
  <si>
    <t>Call Lighting Storm (stormy damage)</t>
  </si>
  <si>
    <t>Holy Sword 7</t>
  </si>
  <si>
    <t>Calm Animals (hd affected)</t>
  </si>
  <si>
    <t>Holy Sword 8</t>
  </si>
  <si>
    <t>Chain Lightning (main bolt damage)</t>
  </si>
  <si>
    <t>Flame Arrow 1</t>
  </si>
  <si>
    <t>Chain Lightning (secondary bolt damage)</t>
  </si>
  <si>
    <t>Flame Arrow 2</t>
  </si>
  <si>
    <t>Chaos Hammer (vs lawful, damage and rounds slowed)</t>
  </si>
  <si>
    <t>Flame Arrow 3</t>
  </si>
  <si>
    <t>Chaos Hammer (vs lawful outsider, damage and rounds slowed)</t>
  </si>
  <si>
    <t>Flame Arrow 4</t>
  </si>
  <si>
    <t>Chill Metal (icy damage)</t>
  </si>
  <si>
    <t>Flame Arrow 5</t>
  </si>
  <si>
    <t>Chill Metal (freezing damage)</t>
  </si>
  <si>
    <t>Flame Arrow 6</t>
  </si>
  <si>
    <t>Circle of Death (hd affected)</t>
  </si>
  <si>
    <t>Flame Arrow 7</t>
  </si>
  <si>
    <t>Color Spray (2 hd or less, rounds unconcious, blinded, and stunned, then rounds blinded and stunned, then rounds stunned)</t>
  </si>
  <si>
    <t>Flame Arrow 8</t>
  </si>
  <si>
    <t>Color Spray (3 or 4 hd, rounds blinded and stunned, then rounds stunned)</t>
  </si>
  <si>
    <t>Cone of Cold (damage)</t>
  </si>
  <si>
    <t>Confusion (percentile and effect)</t>
  </si>
  <si>
    <t>Contact Other Plane (percentile)</t>
  </si>
  <si>
    <t>Cure Critical Wounds (damage healed)</t>
  </si>
  <si>
    <t>Cure Critical Wounds (mass, damage healed)</t>
  </si>
  <si>
    <t>Cure Light Wounds (damage healed)</t>
  </si>
  <si>
    <t>Cure Light Wounds (mass, damage healed)</t>
  </si>
  <si>
    <t>Cure Moderate Wounds (damage healed)</t>
  </si>
  <si>
    <t>Cure Moderate Wounds (mass, damage healed)</t>
  </si>
  <si>
    <t>Cure Serious Wounds (damage healed)</t>
  </si>
  <si>
    <t>Cure Serious Wounds (mass, damage healed)</t>
  </si>
  <si>
    <t>Death Knell (temporary hp)</t>
  </si>
  <si>
    <t>Delayed Blast Fireball (damage)</t>
  </si>
  <si>
    <t>Destruction (suceeded save, damage)</t>
  </si>
  <si>
    <t>Disintegrate (failed save, damage)</t>
  </si>
  <si>
    <t>Disintegrate (suceeded save, damage)</t>
  </si>
  <si>
    <t>Dispel Magic (dispel check)</t>
  </si>
  <si>
    <t>Greater Dispel Magic (dispel check)</t>
  </si>
  <si>
    <t>Disrupt Undead (damage)</t>
  </si>
  <si>
    <t>Divination (percentile)</t>
  </si>
  <si>
    <t>Earthquake (damage)</t>
  </si>
  <si>
    <t>Elemental Swarm (elementals summoned)</t>
  </si>
  <si>
    <t>Energy Drain (levels drained)</t>
  </si>
  <si>
    <t>Enervation (levels drained)</t>
  </si>
  <si>
    <t>Enthrall (rounds still effective after ending speach)</t>
  </si>
  <si>
    <t>Explosive Runes (damage)</t>
  </si>
  <si>
    <t>Eyebite (panicked duration)</t>
  </si>
  <si>
    <t>False Life (temporary hp)</t>
  </si>
  <si>
    <t>Finger of Death (suceeded save, damage)</t>
  </si>
  <si>
    <t>Fire Seeds (holly berry bombs, damage per berry)</t>
  </si>
  <si>
    <t>Fire shield (damage upon creature attacking)</t>
  </si>
  <si>
    <t>Fire Storm (damage)</t>
  </si>
  <si>
    <t>Fire Trap (damage)</t>
  </si>
  <si>
    <t>Fireball (damage)</t>
  </si>
  <si>
    <t>Flame Arrow (extra damage)</t>
  </si>
  <si>
    <t>Flame Blade (damage)</t>
  </si>
  <si>
    <t>Flame Strike (damage)</t>
  </si>
  <si>
    <t>Flaming Sphere (damage)</t>
  </si>
  <si>
    <t>Freezing Sphere (damage)</t>
  </si>
  <si>
    <t>Freezing Sphere (vs water elemental, damage)</t>
  </si>
  <si>
    <t>Goodberry (number of berries)</t>
  </si>
  <si>
    <t>Heat Metal (hot Damage)</t>
  </si>
  <si>
    <t>Heat Metal (searing Damage)</t>
  </si>
  <si>
    <t>Heroes' Feast (temporary hp)</t>
  </si>
  <si>
    <t>Holy Smite (vs evil, damage and rounds slowed)</t>
  </si>
  <si>
    <t>Holy Smite (vs evil Outsider, damage and rounds slowed)</t>
  </si>
  <si>
    <t>Holy Word (vs nongood, rounds deafened, rounds blinded, rounds paralyzed)</t>
  </si>
  <si>
    <t>Horrid Wilting (damage vs living creatures)</t>
  </si>
  <si>
    <t>Horrid Wilting (damage vs plants and water elementals)</t>
  </si>
  <si>
    <t>Hypnotic Pattern (hd affected)</t>
  </si>
  <si>
    <t>Hypnotism (hd affected)</t>
  </si>
  <si>
    <t>Ice Storm (bludgeoning damage, cold damage)</t>
  </si>
  <si>
    <t>Incendiary Cloud (fire damage)</t>
  </si>
  <si>
    <t>Inflict Critical Wounds (damage)</t>
  </si>
  <si>
    <t>Inflict Critical Wounds (mass, damage)</t>
  </si>
  <si>
    <t>Inflict Light Wounds (damage)</t>
  </si>
  <si>
    <t>Inflict Light Wounds (mass, damage)</t>
  </si>
  <si>
    <t>Inflict Moderate Wounds (damage)</t>
  </si>
  <si>
    <t>Inflict Moderate Wounds (mass, damage)</t>
  </si>
  <si>
    <t>Inflict Serious Wounds (damage)</t>
  </si>
  <si>
    <t>Inflict Serious Wounds (mass, damage)</t>
  </si>
  <si>
    <t>Legend Lore (casting time, person on hand)</t>
  </si>
  <si>
    <t>Legend Lore (casting time, detailed information)</t>
  </si>
  <si>
    <t>Legend Lore (casting time, rumors)</t>
  </si>
  <si>
    <t>Lightning Bolt (electricity damage)</t>
  </si>
  <si>
    <t>Mordenkainen's Disjunction (percentile)</t>
  </si>
  <si>
    <t>Magic Missile (damage)</t>
  </si>
  <si>
    <t>Meld into Stone (stone to flesh damage)</t>
  </si>
  <si>
    <t>Meld into Stone (stone shape damage)</t>
  </si>
  <si>
    <t>Meteor Swarm (sphere 1 bludgeoning damage)</t>
  </si>
  <si>
    <t>Meteor Swarm (sphere 1 fire damage)</t>
  </si>
  <si>
    <t>Meteor Swarm (sphere 2 bludgeoning damage)</t>
  </si>
  <si>
    <t>Meteor Swarm (sphere 2 fire damage)</t>
  </si>
  <si>
    <t>Meteor Swarm (sphere 3 bludgeoning damage)</t>
  </si>
  <si>
    <t>Meteor Swarm (sphere 3 fire damage)</t>
  </si>
  <si>
    <t>Meteor Swarm (sphere 4 bludgeoning damage)</t>
  </si>
  <si>
    <t>Meteor Swarm (sphere 4 fire damage)</t>
  </si>
  <si>
    <t>Mind Fog (rounds affected after leaving fog)</t>
  </si>
  <si>
    <t>Nightmare (damage)</t>
  </si>
  <si>
    <t>Order's Wrath (vs chaotic, damage and rounds slowed)</t>
  </si>
  <si>
    <t>Order's Wrath (vs chaotic Outsider, damage and rounds slowed)</t>
  </si>
  <si>
    <t>Phantasmal Killer (suceeded save, damage)</t>
  </si>
  <si>
    <t>Plane Shift (miles from intended destination)</t>
  </si>
  <si>
    <t>Poison (initial constitution damage)</t>
  </si>
  <si>
    <t>Poison (secondary constitution damage)</t>
  </si>
  <si>
    <t>Polar Ray (cold damage)</t>
  </si>
  <si>
    <t>Power Word Blind (51-100 hp blindness duration)</t>
  </si>
  <si>
    <t>Power Word Blind (101-200 hp blindness duration)</t>
  </si>
  <si>
    <t>Power Word Stun (50 or less hp stun duration)</t>
  </si>
  <si>
    <t>Power Word Stun (51-100 hp Stun duration)</t>
  </si>
  <si>
    <t>Power Word Stun (101-200 hp Stun duration)</t>
  </si>
  <si>
    <t>Prismatic Sphere (blindness duration)</t>
  </si>
  <si>
    <t>Prismatic Spray (blindness duration)</t>
  </si>
  <si>
    <t>Prismatic Spray (random effect)</t>
  </si>
  <si>
    <t>Prismatic Wall (blindness duration)</t>
  </si>
  <si>
    <t>Prying Eyes (number of eyes)</t>
  </si>
  <si>
    <t>Pyrotechnics (duration of effects)</t>
  </si>
  <si>
    <t>Quench (dispel check)</t>
  </si>
  <si>
    <t>Quench (damage vs fire elementals)</t>
  </si>
  <si>
    <t>Quench (duration of nonfunction of fire related magic item)</t>
  </si>
  <si>
    <t>Ray of Enfeeblement (strength damage)</t>
  </si>
  <si>
    <t>Ray of Frost (cold damage)</t>
  </si>
  <si>
    <t>Regenerate (time to complete regeneration if limbs are not present)</t>
  </si>
  <si>
    <t>Regenerate (damage healed)</t>
  </si>
  <si>
    <t>Reincarnate (incarnation)</t>
  </si>
  <si>
    <t>Rusting Grasp (armor class destroyed)</t>
  </si>
  <si>
    <t>Rusting Grasp (damage vs ferrous creatures)</t>
  </si>
  <si>
    <t>Scintillating Pattern (6 hd or less, rounds unconcious, then rounds stunned, then rounds confused)</t>
  </si>
  <si>
    <t>Scintillating Pattern (7-12 hd, rounds stunned, then rounds confused)</t>
  </si>
  <si>
    <t>Scintillating Pattern (13 or more hd, rounds confused)</t>
  </si>
  <si>
    <t>Scorching Ray (damage per ray)</t>
  </si>
  <si>
    <t>Searing Light (damage vs creature)</t>
  </si>
  <si>
    <t>Searing Light (damage vs undead)</t>
  </si>
  <si>
    <t>Searing Light (damage vs undead with light sensitivity)</t>
  </si>
  <si>
    <t>Searing Light (damage vs construct/inanimate object)</t>
  </si>
  <si>
    <t>Sepia Snake Sigil (immobilized duration)</t>
  </si>
  <si>
    <t>Shadow Walk (distance shunted from desired endpoint)</t>
  </si>
  <si>
    <t>Shadow Walk (additional distance shunted if within solid object)</t>
  </si>
  <si>
    <t>Shadow Walk (time to travel to bordering plane)</t>
  </si>
  <si>
    <t>Shambler (number of shambling mounds)</t>
  </si>
  <si>
    <t>Shatter (sonic damage vs crystalline creature)</t>
  </si>
  <si>
    <t>Shocking Grasp (electricity damage)</t>
  </si>
  <si>
    <t>Shout (damage and rounds deafened vs creatures)</t>
  </si>
  <si>
    <t>Shout (damage and rounds deafened vs crystalline creatures and objects)</t>
  </si>
  <si>
    <t>Shout, Greater (damage, rounds stunned, rounds deafened, vs creatures)</t>
  </si>
  <si>
    <t>Slay Living (succeeded save, damage)</t>
  </si>
  <si>
    <t>Snare (damage)</t>
  </si>
  <si>
    <t>Soften Earth and Stone (failed Save, rounds stuck in mud)</t>
  </si>
  <si>
    <t>Sound Burst (sonic damage)</t>
  </si>
  <si>
    <t>Spell Turning (resonating field effect)</t>
  </si>
  <si>
    <t>Spike Growth (piercing damage)</t>
  </si>
  <si>
    <t>Spike Stones (piercing damage)</t>
  </si>
  <si>
    <t>Stinking Cloud (rounds nauseated after cloud leaves)</t>
  </si>
  <si>
    <t>Storm of Vengeance (deafened duration)</t>
  </si>
  <si>
    <t>Storm of Vengeance (second round, acid damage)</t>
  </si>
  <si>
    <t>Storm of Vengeance (third round, bolt 1 electricity damage)</t>
  </si>
  <si>
    <t>Storm of Vengeance (third round, bolt 2 electricity damage)</t>
  </si>
  <si>
    <t>Storm of Vengeance (third round, bolt 3 electricity damage)</t>
  </si>
  <si>
    <t>Storm of Vengeance (third round, bolt 4 electricity damage)</t>
  </si>
  <si>
    <t>Storm of Vengeance (third round, bolt 5 electricity damage)</t>
  </si>
  <si>
    <t>Storm of Vengeance (third round, bolt 6 electricity damage)</t>
  </si>
  <si>
    <t>Storm of Vengeance (fourth round, bludgeoning damage)</t>
  </si>
  <si>
    <t>Summon Monster/Nature's Ally (number of monsters from list 1 level lower)</t>
  </si>
  <si>
    <t>Summon Monster/Nature's Ally (number of monsters from list 2 or more levels lower)</t>
  </si>
  <si>
    <t>Sunbeam (damage vs creature)</t>
  </si>
  <si>
    <t>Sunbeam (damage vs creature with light sensitivity)</t>
  </si>
  <si>
    <t>Sunbeam (damage vs undead)</t>
  </si>
  <si>
    <t>Sunburst (damage vs creature)</t>
  </si>
  <si>
    <t>Sunburst (damage vs creature with light sensitivity)</t>
  </si>
  <si>
    <t>Sunburst (damage vs undead)</t>
  </si>
  <si>
    <t>Symbol of Sleep (slumber duration)</t>
  </si>
  <si>
    <t>Symbol of Slunning (stun duration)</t>
  </si>
  <si>
    <t>Symbol of Weakness (strength damage)</t>
  </si>
  <si>
    <t>Sympathetic Vibration (damage)</t>
  </si>
  <si>
    <t>Sympathy (time before subsequent save to avoid compulsion is made)</t>
  </si>
  <si>
    <t>Teleport (arrival point when target is very familiar)</t>
  </si>
  <si>
    <t>Teleport (arrival point when target is studied carefully)</t>
  </si>
  <si>
    <t>Teleport (arrival point when target is seen casually)</t>
  </si>
  <si>
    <t>Teleport (arrival point when target is viewed once)</t>
  </si>
  <si>
    <t>Teleport (arrival point when target is false destination)</t>
  </si>
  <si>
    <t>Teleport (percent of intended distance traveled away from target when teleport is off target)</t>
  </si>
  <si>
    <t>Teleport (mishap damage)</t>
  </si>
  <si>
    <t>Time Stop (rounds of apparent time)</t>
  </si>
  <si>
    <t>Touch of Idiocy (intelligence, wisdom, and charisma penalty)</t>
  </si>
  <si>
    <t>Transmute Rock to Mud (mud cave in damage)</t>
  </si>
  <si>
    <t>Unholy Blight (vs good, damage and rounds sickened)</t>
  </si>
  <si>
    <t>Unholy Blight (vs good outsider, damage and rounds sickened)</t>
  </si>
  <si>
    <t>Vampiric Touch (damage and temporary hp gained)</t>
  </si>
  <si>
    <t>Wall of Fire (fire damage to creatures past 10 feet but within 20 feet of damaging side of wall)</t>
  </si>
  <si>
    <t>Wall of Fire (fire damage to creatures within 10 feet of damaging side of wall)</t>
  </si>
  <si>
    <t>Wall of Fire (fire damage to creatures within wall)</t>
  </si>
  <si>
    <t>Wall of Ice (cold damage to creatures passing through broken ice plane)</t>
  </si>
  <si>
    <t>Wall of Iron (damage when crushing large or smaller targets)</t>
  </si>
  <si>
    <t>Web (fire damage to creatures in flaming webs)</t>
  </si>
  <si>
    <t>Weird (succeeded save, damage, rounds stunned, strength damage)</t>
  </si>
  <si>
    <t>Whirlwind (rounds that whirlwind remains after moving out of range)</t>
  </si>
  <si>
    <t>Whirlwind (damage to large or smaller creatures)</t>
  </si>
  <si>
    <t>Whirlwind (damage to medium or smaller creatures, once per round)</t>
  </si>
  <si>
    <t>Word of Chaos (vs nonchaotic, rounds deafened, rounds stunned, minutes confused)</t>
  </si>
  <si>
    <t>Vital Statistics</t>
  </si>
  <si>
    <t>Abilites</t>
  </si>
  <si>
    <t>Conditions</t>
  </si>
  <si>
    <t>Class</t>
  </si>
  <si>
    <t>Level</t>
  </si>
  <si>
    <t>Ability</t>
  </si>
  <si>
    <t>Base</t>
  </si>
  <si>
    <t>Enhancement</t>
  </si>
  <si>
    <t>Insight</t>
  </si>
  <si>
    <t>Luck</t>
  </si>
  <si>
    <t>Morale</t>
  </si>
  <si>
    <t>Profane</t>
  </si>
  <si>
    <t>Racial</t>
  </si>
  <si>
    <t>Sacred</t>
  </si>
  <si>
    <t>Size</t>
  </si>
  <si>
    <t>Circumstance</t>
  </si>
  <si>
    <t>Untyped</t>
  </si>
  <si>
    <t>Total Score</t>
  </si>
  <si>
    <t>Total Mod</t>
  </si>
  <si>
    <t>Charge</t>
  </si>
  <si>
    <t>Class 1</t>
  </si>
  <si>
    <t>Strength</t>
  </si>
  <si>
    <t>Flanking</t>
  </si>
  <si>
    <t>Class 2</t>
  </si>
  <si>
    <t>Dexterity</t>
  </si>
  <si>
    <t>Blinded</t>
  </si>
  <si>
    <t>Class 3</t>
  </si>
  <si>
    <t>Constitution</t>
  </si>
  <si>
    <t>Cowering</t>
  </si>
  <si>
    <t>Total Level</t>
  </si>
  <si>
    <t>Intelligence</t>
  </si>
  <si>
    <t>Dazzled</t>
  </si>
  <si>
    <t>Race</t>
  </si>
  <si>
    <t>Wisdom</t>
  </si>
  <si>
    <t>Deafened</t>
  </si>
  <si>
    <t>XP</t>
  </si>
  <si>
    <t>Charisma</t>
  </si>
  <si>
    <t>Energy Drained</t>
  </si>
  <si>
    <t>Alignment</t>
  </si>
  <si>
    <t>Entangled</t>
  </si>
  <si>
    <t>Height</t>
  </si>
  <si>
    <t>Melee Weapon</t>
  </si>
  <si>
    <t>Damage Dice</t>
  </si>
  <si>
    <t>d</t>
  </si>
  <si>
    <t>Ranged Weapon</t>
  </si>
  <si>
    <t>Armor Class</t>
  </si>
  <si>
    <t>Saves</t>
  </si>
  <si>
    <t>Exhausted</t>
  </si>
  <si>
    <t>Weight</t>
  </si>
  <si>
    <t>Wielding Type</t>
  </si>
  <si>
    <t>Main Hand</t>
  </si>
  <si>
    <t>Projectile or Thrown?</t>
  </si>
  <si>
    <t>Projectile</t>
  </si>
  <si>
    <t>Armor Load</t>
  </si>
  <si>
    <t>Light</t>
  </si>
  <si>
    <t>Modifier Type</t>
  </si>
  <si>
    <t>Fortitude</t>
  </si>
  <si>
    <t>Reflex</t>
  </si>
  <si>
    <t>Will</t>
  </si>
  <si>
    <t>Fascinated</t>
  </si>
  <si>
    <t>Age</t>
  </si>
  <si>
    <t>Critical Multiplier</t>
  </si>
  <si>
    <t>Apply Strength Penalty?</t>
  </si>
  <si>
    <t>Yes</t>
  </si>
  <si>
    <t>ACP</t>
  </si>
  <si>
    <t>Fatigued</t>
  </si>
  <si>
    <t>Medium</t>
  </si>
  <si>
    <t>Critical Threat Range</t>
  </si>
  <si>
    <t>Composite Strength Rating</t>
  </si>
  <si>
    <t>Frightened</t>
  </si>
  <si>
    <t>Leg Count</t>
  </si>
  <si>
    <t>Biped</t>
  </si>
  <si>
    <t>Attack</t>
  </si>
  <si>
    <t>Damage</t>
  </si>
  <si>
    <t>Max Dex</t>
  </si>
  <si>
    <t>Grappling (AC vs non grapplers)</t>
  </si>
  <si>
    <t>Copper</t>
  </si>
  <si>
    <t>Base Attack</t>
  </si>
  <si>
    <t>Bonus</t>
  </si>
  <si>
    <t>Competence</t>
  </si>
  <si>
    <t>Helpless</t>
  </si>
  <si>
    <t>Silver</t>
  </si>
  <si>
    <t>Armor</t>
  </si>
  <si>
    <t>Dodge</t>
  </si>
  <si>
    <t>Panicked</t>
  </si>
  <si>
    <t>Gold</t>
  </si>
  <si>
    <t>Paralyzed</t>
  </si>
  <si>
    <t>Platinum</t>
  </si>
  <si>
    <t>Prone (defending vs ranged)</t>
  </si>
  <si>
    <t>Wealth</t>
  </si>
  <si>
    <t>Shaken</t>
  </si>
  <si>
    <t>Deflection</t>
  </si>
  <si>
    <t>Sickened</t>
  </si>
  <si>
    <t>Health</t>
  </si>
  <si>
    <t>Stunned</t>
  </si>
  <si>
    <t>Max before CON</t>
  </si>
  <si>
    <t>Resistance</t>
  </si>
  <si>
    <t>Ranged Mounted Combat (Hustle)</t>
  </si>
  <si>
    <t>Max after CON</t>
  </si>
  <si>
    <t>States</t>
  </si>
  <si>
    <t>Ranged Mounted Combat (Run)</t>
  </si>
  <si>
    <t>Current</t>
  </si>
  <si>
    <t>Cleric Smite</t>
  </si>
  <si>
    <t>Natural Armor</t>
  </si>
  <si>
    <t>Trap Sense</t>
  </si>
  <si>
    <t>Shooting into Melee</t>
  </si>
  <si>
    <t>Smite Evil</t>
  </si>
  <si>
    <t>Indomitable Will</t>
  </si>
  <si>
    <t>Fighting Defensively</t>
  </si>
  <si>
    <t>Favored Enemy</t>
  </si>
  <si>
    <t>RNL</t>
  </si>
  <si>
    <t>Speed</t>
  </si>
  <si>
    <t>Power Attack</t>
  </si>
  <si>
    <t>Still Mind</t>
  </si>
  <si>
    <t>Base Speed</t>
  </si>
  <si>
    <t>Point Blank Shot</t>
  </si>
  <si>
    <t>Divine Grace</t>
  </si>
  <si>
    <t>Altered Speed</t>
  </si>
  <si>
    <t>Custom</t>
  </si>
  <si>
    <t>Composite Penalty</t>
  </si>
  <si>
    <t>Shield</t>
  </si>
  <si>
    <t>Great Fortitude</t>
  </si>
  <si>
    <t>Ltng Reflexes</t>
  </si>
  <si>
    <t>Check Penalty</t>
  </si>
  <si>
    <t>Favored Weapon</t>
  </si>
  <si>
    <t>Manyshot</t>
  </si>
  <si>
    <t>Iron Will</t>
  </si>
  <si>
    <t>Flurry of Blows</t>
  </si>
  <si>
    <t>Equipment</t>
  </si>
  <si>
    <t>Rage</t>
  </si>
  <si>
    <t>Monk</t>
  </si>
  <si>
    <t>Total (1d20)</t>
  </si>
  <si>
    <t>Languages</t>
  </si>
  <si>
    <t>Common</t>
  </si>
  <si>
    <t>Initiative</t>
  </si>
  <si>
    <t>Spell Resistance</t>
  </si>
  <si>
    <t>Base AC</t>
  </si>
  <si>
    <t>Touch AC</t>
  </si>
  <si>
    <t>Spell Save DC</t>
  </si>
  <si>
    <t>Flat Footed</t>
  </si>
  <si>
    <t>Roll Attacks</t>
  </si>
  <si>
    <t>DR</t>
  </si>
  <si>
    <t>Spellcasting Ability</t>
  </si>
  <si>
    <t>Spell Level</t>
  </si>
  <si>
    <t>See Static Cells</t>
  </si>
  <si>
    <t>Spell Focus</t>
  </si>
  <si>
    <t>See Free or Data Validation Input Cells</t>
  </si>
  <si>
    <t>See Formula Input Cells</t>
  </si>
  <si>
    <t>Custom Class</t>
  </si>
  <si>
    <t>BAB</t>
  </si>
  <si>
    <t>Skill Points</t>
  </si>
  <si>
    <t>Custom 1</t>
  </si>
  <si>
    <t>Custom 2</t>
  </si>
  <si>
    <t>Custom 3</t>
  </si>
  <si>
    <t>Class Abilities</t>
  </si>
  <si>
    <t>Class States</t>
  </si>
  <si>
    <t>Field 1</t>
  </si>
  <si>
    <t>Field 2</t>
  </si>
  <si>
    <t>Description</t>
  </si>
  <si>
    <t>Inspire Courage</t>
  </si>
  <si>
    <t>Inspire Courage (vs Charms &amp; Fear)</t>
  </si>
  <si>
    <t>Inspire Heroics</t>
  </si>
  <si>
    <t>Smite (Clrc Destruction Domain)</t>
  </si>
  <si>
    <t>Strength (Clrc Strength Domain)</t>
  </si>
  <si>
    <t>Favored Weapon (Clrc War Domain)</t>
  </si>
  <si>
    <t>Resist Nature's Lure</t>
  </si>
  <si>
    <t>Still Mind (vs Enchantment)</t>
  </si>
  <si>
    <t>Aura of Courage (vs Fear)</t>
  </si>
  <si>
    <t>Vs Favored Enemy</t>
  </si>
  <si>
    <t>Sneak Attack</t>
  </si>
  <si>
    <t>Feats</t>
  </si>
  <si>
    <t>Feat States</t>
  </si>
  <si>
    <t>Combat Casting</t>
  </si>
  <si>
    <t>Combat Expertise</t>
  </si>
  <si>
    <t>0</t>
  </si>
  <si>
    <t>Mounted Archery</t>
  </si>
  <si>
    <t>Mobility</t>
  </si>
  <si>
    <t>Rapid Shot</t>
  </si>
  <si>
    <t>Running Jump</t>
  </si>
  <si>
    <t>Spirited Charge</t>
  </si>
  <si>
    <t>Two Weapon Defense</t>
  </si>
  <si>
    <t>Two Weapon Fighting</t>
  </si>
  <si>
    <t>Two Weapon Fighting Penalties</t>
  </si>
  <si>
    <t>Armor Check Penalty</t>
  </si>
  <si>
    <t>Max Skill Points per Skill</t>
  </si>
  <si>
    <t>INT for Skill Points</t>
  </si>
  <si>
    <t>Total Skill Points</t>
  </si>
  <si>
    <t>Human</t>
  </si>
  <si>
    <t>None</t>
  </si>
  <si>
    <t>Unused Skill Points</t>
  </si>
  <si>
    <t>Abilities</t>
  </si>
  <si>
    <t>Custom Race</t>
  </si>
  <si>
    <t>Miscellaneous Bonuses</t>
  </si>
  <si>
    <t>Score</t>
  </si>
  <si>
    <t>Skill Name</t>
  </si>
  <si>
    <t>Key</t>
  </si>
  <si>
    <t>Add to all skills</t>
  </si>
  <si>
    <t>Skill Synergy</t>
  </si>
  <si>
    <t>Racial Bonus</t>
  </si>
  <si>
    <t>Skill Synergy and Racial Bonus</t>
  </si>
  <si>
    <t>Skill</t>
  </si>
  <si>
    <t>Class Skill</t>
  </si>
  <si>
    <t>Trained Only</t>
  </si>
  <si>
    <t>Key Ability</t>
  </si>
  <si>
    <t>Points</t>
  </si>
  <si>
    <t>Ranks</t>
  </si>
  <si>
    <t>Misc Mod</t>
  </si>
  <si>
    <t>Skill Synergies</t>
  </si>
  <si>
    <t>Appraise</t>
  </si>
  <si>
    <t>No</t>
  </si>
  <si>
    <t>5 or more ranks in</t>
  </si>
  <si>
    <t>Gives a +2 on</t>
  </si>
  <si>
    <t>Autohypnosis</t>
  </si>
  <si>
    <t>Knowledge (Psionics) checks</t>
  </si>
  <si>
    <t>Balance</t>
  </si>
  <si>
    <t>Bluff</t>
  </si>
  <si>
    <t>Diplomacy checks</t>
  </si>
  <si>
    <t>Disguise checks to act in character</t>
  </si>
  <si>
    <t>Climb</t>
  </si>
  <si>
    <t>Intimidate checks</t>
  </si>
  <si>
    <t>Concentration</t>
  </si>
  <si>
    <t>Sleight of Hand checks</t>
  </si>
  <si>
    <t>Craft [Enter Type]</t>
  </si>
  <si>
    <t>Autohypnosis checks</t>
  </si>
  <si>
    <t>Decipher Script</t>
  </si>
  <si>
    <t>Craft</t>
  </si>
  <si>
    <t>related Appraise checks</t>
  </si>
  <si>
    <t>Diplomacy</t>
  </si>
  <si>
    <t>Use Magic Device checks involving scrolls</t>
  </si>
  <si>
    <t>Disable Device</t>
  </si>
  <si>
    <t>Escape Artist</t>
  </si>
  <si>
    <t>Use Rope checks involving bindings</t>
  </si>
  <si>
    <t>Disguise</t>
  </si>
  <si>
    <t>Handle Animal</t>
  </si>
  <si>
    <t>Ride checks</t>
  </si>
  <si>
    <t>wild empathy checks (class feature)</t>
  </si>
  <si>
    <t>Forgery</t>
  </si>
  <si>
    <t>Jump</t>
  </si>
  <si>
    <t>Tumble checks</t>
  </si>
  <si>
    <t>Gather Information</t>
  </si>
  <si>
    <t>Knowledge (Arcana)</t>
  </si>
  <si>
    <t>Spellcraft checks</t>
  </si>
  <si>
    <t>Knowledge (Architecture and Engineering)</t>
  </si>
  <si>
    <t>Search checks involving secret doors and similar compartments</t>
  </si>
  <si>
    <t>Heal</t>
  </si>
  <si>
    <t>Knowledge (Dungeoneering)</t>
  </si>
  <si>
    <t>Survival checks when underground</t>
  </si>
  <si>
    <t>Hide</t>
  </si>
  <si>
    <t>Knowledge (Geography)</t>
  </si>
  <si>
    <t>Survival checks to keep from getting lost or for avoiding hazards</t>
  </si>
  <si>
    <t>Intimidate</t>
  </si>
  <si>
    <t>Knowledge (History)</t>
  </si>
  <si>
    <t>Bardic knowledge checks (class feature)</t>
  </si>
  <si>
    <t>Knowledge (Local)</t>
  </si>
  <si>
    <t>Gather Information checks</t>
  </si>
  <si>
    <t>Knowledge (Nature)</t>
  </si>
  <si>
    <t>Survival checks in aboveground natural environments</t>
  </si>
  <si>
    <t>Knowledge (Nobility and Religion)</t>
  </si>
  <si>
    <t>Knowledge (Psionics)</t>
  </si>
  <si>
    <t>Psicraft checks</t>
  </si>
  <si>
    <t>Knowledge (Religion)</t>
  </si>
  <si>
    <t>checks to turn or rebuke undead (class feature)</t>
  </si>
  <si>
    <t>Knowledge (The Planes)</t>
  </si>
  <si>
    <t>Survival checks when on other planes</t>
  </si>
  <si>
    <t>Psicraft</t>
  </si>
  <si>
    <t>Use Psionic Device checks involving power stones</t>
  </si>
  <si>
    <t>Search</t>
  </si>
  <si>
    <t>Survival checks when following tracks</t>
  </si>
  <si>
    <t>Knowledge (Nobility and Royalty)</t>
  </si>
  <si>
    <t>Sense Motive</t>
  </si>
  <si>
    <t>Spellcraft</t>
  </si>
  <si>
    <t>Survival</t>
  </si>
  <si>
    <t>Knowledge (Nature) checks</t>
  </si>
  <si>
    <t>Tumble</t>
  </si>
  <si>
    <t>Balance checks</t>
  </si>
  <si>
    <t>Listen</t>
  </si>
  <si>
    <t>Jump checks</t>
  </si>
  <si>
    <t>Move Silently</t>
  </si>
  <si>
    <t>Use Magic Device</t>
  </si>
  <si>
    <t>Spellcraft checks to decipher spells on scrolls</t>
  </si>
  <si>
    <t>Open Lock</t>
  </si>
  <si>
    <t>Use Psionic Device</t>
  </si>
  <si>
    <t>Psicraft checks to address power stones</t>
  </si>
  <si>
    <t>Perform</t>
  </si>
  <si>
    <t>Use Rope</t>
  </si>
  <si>
    <t>Climb checks involving climbing rope</t>
  </si>
  <si>
    <t>Profession</t>
  </si>
  <si>
    <t>Escape Artist checks involving ropes</t>
  </si>
  <si>
    <t>Ride</t>
  </si>
  <si>
    <t>Racial Bonuses</t>
  </si>
  <si>
    <t>Recieves 4 additional skill points at first level and 1 additional point every following level.</t>
  </si>
  <si>
    <t>Sleight of Hand</t>
  </si>
  <si>
    <t>Dwarf</t>
  </si>
  <si>
    <t>Recieves a +2 on search checks to notice unusual stonework, Appraise checks related to stone or metal, and Craft checks related to stone or metal.</t>
  </si>
  <si>
    <t>Speak Language</t>
  </si>
  <si>
    <t>Spot</t>
  </si>
  <si>
    <t>Elf</t>
  </si>
  <si>
    <t>Recieves a +2 on Listen, Search, and Spot Checks.</t>
  </si>
  <si>
    <t>Gnome</t>
  </si>
  <si>
    <t>Recieves a +4 on Hide checks, +2 on Listen and Craft (Alchemy) checks.</t>
  </si>
  <si>
    <t>Swim</t>
  </si>
  <si>
    <t>Half-Elf</t>
  </si>
  <si>
    <t>Recieves a +1 on Listen, Search, and Spot checks, +2 on Diplomacy and Gather Information checks.</t>
  </si>
  <si>
    <t>Half-Orc</t>
  </si>
  <si>
    <t>NA</t>
  </si>
  <si>
    <t>Halfling</t>
  </si>
  <si>
    <t>Recieves a +4 on Hide checks, +2 on Climb, Jump, Listen, and Move Silently Checks.</t>
  </si>
  <si>
    <t>Illiterate?</t>
  </si>
  <si>
    <t>Custom Attributes</t>
  </si>
  <si>
    <t>Bull Rush (Opposed Check)</t>
  </si>
  <si>
    <t>Disarm (Opposed Attack Roll)</t>
  </si>
  <si>
    <t>Feint (Opposed Check)</t>
  </si>
  <si>
    <t>←Offense or Defense→</t>
  </si>
  <si>
    <t>Melee Attack Bonus</t>
  </si>
  <si>
    <t>Two Handed Weapon?</t>
  </si>
  <si>
    <t>Base Attack Bonus</t>
  </si>
  <si>
    <t>Quadraped</t>
  </si>
  <si>
    <t>Light Weapon?</t>
  </si>
  <si>
    <t>VS Nonhumanoid</t>
  </si>
  <si>
    <t>Improved Bull Rush</t>
  </si>
  <si>
    <t>Holding Non Melee Weapon</t>
  </si>
  <si>
    <t>VS Animal Intellligence</t>
  </si>
  <si>
    <t>Improved Disarm</t>
  </si>
  <si>
    <t>Grapple (Opposed Check)</t>
  </si>
  <si>
    <t>Overrun (Opposed Check)</t>
  </si>
  <si>
    <t>Melee Touch Attack</t>
  </si>
  <si>
    <t>Strength (Offense)</t>
  </si>
  <si>
    <t>Strength (Defense)</t>
  </si>
  <si>
    <t>Improved Grapple</t>
  </si>
  <si>
    <t>Spectral Hand</t>
  </si>
  <si>
    <t>Improved Overrun</t>
  </si>
  <si>
    <t>Trip (Opposed Check)</t>
  </si>
  <si>
    <t>Sunder (Opposed Attack Roll)</t>
  </si>
  <si>
    <t>Ranged Touch Attack</t>
  </si>
  <si>
    <t>Improved Sunder</t>
  </si>
  <si>
    <t>Improved Trip</t>
  </si>
  <si>
    <t>Roll Special Attacks</t>
  </si>
  <si>
    <t>On Hand Equipment</t>
  </si>
  <si>
    <t>Light Load</t>
  </si>
  <si>
    <t>Medium Load</t>
  </si>
  <si>
    <t>Item</t>
  </si>
  <si>
    <t>Quantity</t>
  </si>
  <si>
    <t>Total Weight</t>
  </si>
  <si>
    <t>Heavy Load</t>
  </si>
  <si>
    <t>Current Load</t>
  </si>
  <si>
    <t>Stored Equipment</t>
  </si>
  <si>
    <t>Bag of Holding/Heward's Handy Haversack</t>
  </si>
  <si>
    <t>Bag Capacity</t>
  </si>
  <si>
    <t>[Enter Value]</t>
  </si>
  <si>
    <t>Current Bag Load</t>
  </si>
  <si>
    <t>Current Magic Item Slots</t>
  </si>
  <si>
    <t>Headband, Helmet, Hat, or Phylactery</t>
  </si>
  <si>
    <t>Eye Lenses or Goggles</t>
  </si>
  <si>
    <t>Cloak, Cape, or Mantle</t>
  </si>
  <si>
    <t>Amulet, Brooch, Medallion, Necklace, Periapt, or Scarab</t>
  </si>
  <si>
    <t>Robe or Armor</t>
  </si>
  <si>
    <t>Shirt, Vest, Vestment</t>
  </si>
  <si>
    <t>Bracers or Bracelets</t>
  </si>
  <si>
    <t>Gloves or Gauntlets</t>
  </si>
  <si>
    <t>Belt</t>
  </si>
  <si>
    <t>Boots</t>
  </si>
  <si>
    <t>Ring (Right)</t>
  </si>
  <si>
    <t>Ring (Left)</t>
  </si>
  <si>
    <t>Magic Items</t>
  </si>
  <si>
    <t>A</t>
  </si>
  <si>
    <t>H</t>
  </si>
  <si>
    <t>P, continued</t>
  </si>
  <si>
    <t>V</t>
  </si>
  <si>
    <t>Aid</t>
  </si>
  <si>
    <t>Haste</t>
  </si>
  <si>
    <t>Protection from Evil (vs Evil)</t>
  </si>
  <si>
    <t>Vampiric Touch</t>
  </si>
  <si>
    <t>Heroes Feast</t>
  </si>
  <si>
    <t>Protection from Good (vs Good)</t>
  </si>
  <si>
    <t>Veil (disguise check to look like someone)</t>
  </si>
  <si>
    <t>B</t>
  </si>
  <si>
    <t>Heroism</t>
  </si>
  <si>
    <t>Protection from Law (vs Law)</t>
  </si>
  <si>
    <t>Virtue</t>
  </si>
  <si>
    <t>Bane</t>
  </si>
  <si>
    <t>Heroism, Greater</t>
  </si>
  <si>
    <t>Protection from Spells (vs Spells)</t>
  </si>
  <si>
    <t>Barkskin</t>
  </si>
  <si>
    <t>Holy Aura</t>
  </si>
  <si>
    <t>W</t>
  </si>
  <si>
    <t>Bear's Endurance</t>
  </si>
  <si>
    <t>Holy Sword</t>
  </si>
  <si>
    <t>R</t>
  </si>
  <si>
    <t>Warp Wood (Warped melee weapon)</t>
  </si>
  <si>
    <t>Bestow Curse</t>
  </si>
  <si>
    <t>Off</t>
  </si>
  <si>
    <t>Bless</t>
  </si>
  <si>
    <t>I</t>
  </si>
  <si>
    <t>Ray of Enfeeblement</t>
  </si>
  <si>
    <t>Bull's Strength</t>
  </si>
  <si>
    <t>Ice Storm</t>
  </si>
  <si>
    <t>Reduce Person</t>
  </si>
  <si>
    <t>Interposing Hand vs Target</t>
  </si>
  <si>
    <t>C</t>
  </si>
  <si>
    <t>Invisibility</t>
  </si>
  <si>
    <t>Righteous Might</t>
  </si>
  <si>
    <t>Cat's Grace</t>
  </si>
  <si>
    <t>Iron Body</t>
  </si>
  <si>
    <t>Cloak of Chaos vs Law</t>
  </si>
  <si>
    <t>Irresistible Dance</t>
  </si>
  <si>
    <t>S</t>
  </si>
  <si>
    <t>D</t>
  </si>
  <si>
    <t>J</t>
  </si>
  <si>
    <t>Shield of Faith</t>
  </si>
  <si>
    <t>Death Knell</t>
  </si>
  <si>
    <t>Shield of Law</t>
  </si>
  <si>
    <t>Disguise Self</t>
  </si>
  <si>
    <t>Shield Other (Subject)</t>
  </si>
  <si>
    <t>Dispel Chaos (vs Chaos)</t>
  </si>
  <si>
    <t>L</t>
  </si>
  <si>
    <t>Shillelagh (with club/quarterstaff)</t>
  </si>
  <si>
    <t>Dispel Evil (vs Evil)</t>
  </si>
  <si>
    <t>Levitate</t>
  </si>
  <si>
    <t>Shocking Grasp (vs metal armor)</t>
  </si>
  <si>
    <t>Dispel Good (vs Good)</t>
  </si>
  <si>
    <t>Longstrider</t>
  </si>
  <si>
    <t>Slow</t>
  </si>
  <si>
    <t>Dispel Law (vs Law)</t>
  </si>
  <si>
    <t>Lullaby</t>
  </si>
  <si>
    <t>Solid Fog</t>
  </si>
  <si>
    <t>Divine Favor</t>
  </si>
  <si>
    <t>Divine Power</t>
  </si>
  <si>
    <t>M</t>
  </si>
  <si>
    <t>Mage Armor</t>
  </si>
  <si>
    <t>Spike Growth/Stones (Failed Save)</t>
  </si>
  <si>
    <t>E</t>
  </si>
  <si>
    <t>Magic Fang/Weapon</t>
  </si>
  <si>
    <t>Symbol of Pain</t>
  </si>
  <si>
    <t>Eagle's Splendor</t>
  </si>
  <si>
    <t>Magic Fang/Weapon, Greater</t>
  </si>
  <si>
    <t>Symbol of Weakness</t>
  </si>
  <si>
    <t>Enlarge Person</t>
  </si>
  <si>
    <t>Magic Vestment</t>
  </si>
  <si>
    <t>Expeditious Retreat</t>
  </si>
  <si>
    <t>Mind Fog</t>
  </si>
  <si>
    <t>T</t>
  </si>
  <si>
    <t>Moment of Prescience</t>
  </si>
  <si>
    <t>Touch of Idiocy</t>
  </si>
  <si>
    <t>F</t>
  </si>
  <si>
    <t>Tenser's Transformation</t>
  </si>
  <si>
    <t>Find Traps</t>
  </si>
  <si>
    <t>O</t>
  </si>
  <si>
    <t>Transmute Metal to Wood (Weapon)</t>
  </si>
  <si>
    <t>Flame Arrow</t>
  </si>
  <si>
    <t>Owl's Wisdom</t>
  </si>
  <si>
    <t>Transmute Metal to Wood (Armor)</t>
  </si>
  <si>
    <t>Fox's Cunning</t>
  </si>
  <si>
    <t>Transmute M to W (Armor, critical hits withstood)</t>
  </si>
  <si>
    <t>P</t>
  </si>
  <si>
    <t>Transmute Rock to Mud (in mud)</t>
  </si>
  <si>
    <t>G</t>
  </si>
  <si>
    <t>Poison (Initial)</t>
  </si>
  <si>
    <t>Tree Shape</t>
  </si>
  <si>
    <t>Glibness</t>
  </si>
  <si>
    <t>Poison (Secondary)</t>
  </si>
  <si>
    <t>True Strike</t>
  </si>
  <si>
    <t>Good Hope</t>
  </si>
  <si>
    <t>Prayer (Ally)</t>
  </si>
  <si>
    <t>Guidance</t>
  </si>
  <si>
    <t>Prayer (Foe)</t>
  </si>
  <si>
    <t>U</t>
  </si>
  <si>
    <t>Protection from Chaos (vs Chaos)</t>
  </si>
  <si>
    <t>Unholy Aura</t>
  </si>
  <si>
    <t>Macro Filter</t>
  </si>
  <si>
    <t>Macro Caster Level</t>
  </si>
  <si>
    <t>Filter Criteria:</t>
  </si>
  <si>
    <t>Lightning</t>
  </si>
  <si>
    <t>Roll Macros</t>
  </si>
  <si>
    <t>Quadruped</t>
  </si>
  <si>
    <t>a&amp;ac</t>
  </si>
  <si>
    <t>Special attacks</t>
  </si>
  <si>
    <t>hide</t>
  </si>
  <si>
    <t>size</t>
  </si>
  <si>
    <t>Fine</t>
  </si>
  <si>
    <t>Diminutive</t>
  </si>
  <si>
    <t>Tiny</t>
  </si>
  <si>
    <t>Small</t>
  </si>
  <si>
    <t>Large</t>
  </si>
  <si>
    <t>Huge</t>
  </si>
  <si>
    <t>Gargantuan</t>
  </si>
  <si>
    <t>Colossal</t>
  </si>
  <si>
    <t>Poor BAB</t>
  </si>
  <si>
    <t>Average BAB</t>
  </si>
  <si>
    <t>Good BAB</t>
  </si>
  <si>
    <t>Troll BAB</t>
  </si>
  <si>
    <t>Poor Save</t>
  </si>
  <si>
    <t>Troll Poor Save</t>
  </si>
  <si>
    <t>Troll Good Save</t>
  </si>
  <si>
    <t>Good Save</t>
  </si>
  <si>
    <t>Number</t>
  </si>
  <si>
    <t>Incarnation</t>
  </si>
  <si>
    <t>Effect</t>
  </si>
  <si>
    <t>Very Familiar</t>
  </si>
  <si>
    <t>Studied Carefully</t>
  </si>
  <si>
    <t>Seen Casually</t>
  </si>
  <si>
    <t>Viewed Once</t>
  </si>
  <si>
    <t>False Destination</t>
  </si>
  <si>
    <t>Bugbear</t>
  </si>
  <si>
    <t>Spell Drains away without effect</t>
  </si>
  <si>
    <t>On Target</t>
  </si>
  <si>
    <t>Total BAB</t>
  </si>
  <si>
    <t>Total Fort</t>
  </si>
  <si>
    <t>Total Ref</t>
  </si>
  <si>
    <t>Total Will</t>
  </si>
  <si>
    <t>+10</t>
  </si>
  <si>
    <t>×4</t>
  </si>
  <si>
    <t>Two Hands</t>
  </si>
  <si>
    <t>Off hand</t>
  </si>
  <si>
    <t>Off hand (Light)</t>
  </si>
  <si>
    <t>Multiplier</t>
  </si>
  <si>
    <t>Gnoll</t>
  </si>
  <si>
    <t>Load</t>
  </si>
  <si>
    <t>20 ft</t>
  </si>
  <si>
    <t>30 ft</t>
  </si>
  <si>
    <t>40 ft</t>
  </si>
  <si>
    <t>50 ft</t>
  </si>
  <si>
    <t>60 ft</t>
  </si>
  <si>
    <t>70 ft</t>
  </si>
  <si>
    <t>80 ft</t>
  </si>
  <si>
    <t>90 ft</t>
  </si>
  <si>
    <t>100 ft</t>
  </si>
  <si>
    <t>Goblin</t>
  </si>
  <si>
    <t>Heavy</t>
  </si>
  <si>
    <t>Half-elf</t>
  </si>
  <si>
    <t>Armor Altered Speed</t>
  </si>
  <si>
    <t>Monk Unarmed Damage 1</t>
  </si>
  <si>
    <t>Equipment Altered Speed</t>
  </si>
  <si>
    <t>Equipment Check Penalty</t>
  </si>
  <si>
    <t>Medium Monk</t>
  </si>
  <si>
    <t>Large Monk</t>
  </si>
  <si>
    <t>Half-orc</t>
  </si>
  <si>
    <t>Modes</t>
  </si>
  <si>
    <t>Normal</t>
  </si>
  <si>
    <t>Light Off-Hand</t>
  </si>
  <si>
    <t>TWF Feat</t>
  </si>
  <si>
    <t>Light Off-Hand and TWF Feat</t>
  </si>
  <si>
    <t>letter</t>
  </si>
  <si>
    <t>number</t>
  </si>
  <si>
    <t>Monk Unarmed Damage 2</t>
  </si>
  <si>
    <t>l</t>
  </si>
  <si>
    <t>Spell affects both of you equally at full effect</t>
  </si>
  <si>
    <t>m</t>
  </si>
  <si>
    <t>n</t>
  </si>
  <si>
    <t>o</t>
  </si>
  <si>
    <t>p</t>
  </si>
  <si>
    <t>q</t>
  </si>
  <si>
    <t>r</t>
  </si>
  <si>
    <t>Off Target</t>
  </si>
  <si>
    <t>Similar Area</t>
  </si>
  <si>
    <t>Prismatic Spray</t>
  </si>
  <si>
    <t>Color</t>
  </si>
  <si>
    <t>Red</t>
  </si>
  <si>
    <t>Kobold</t>
  </si>
  <si>
    <t>Orange</t>
  </si>
  <si>
    <t>Yellow</t>
  </si>
  <si>
    <t>Green</t>
  </si>
  <si>
    <t>Mishap</t>
  </si>
  <si>
    <t>Monk Speed</t>
  </si>
  <si>
    <t>Wild Shape</t>
  </si>
  <si>
    <t>Blue</t>
  </si>
  <si>
    <t>Lizardfolk</t>
  </si>
  <si>
    <t>Normal per day</t>
  </si>
  <si>
    <t>Elemental per day</t>
  </si>
  <si>
    <t>Indigo</t>
  </si>
  <si>
    <t>Orc</t>
  </si>
  <si>
    <t>Violet</t>
  </si>
  <si>
    <t>Both of you go through a rift into another plane</t>
  </si>
  <si>
    <t>Troglodyte</t>
  </si>
  <si>
    <t>Other</t>
  </si>
  <si>
    <t>Adept</t>
  </si>
  <si>
    <t>Barbarian</t>
  </si>
  <si>
    <t>Bard</t>
  </si>
  <si>
    <t>Cleric</t>
  </si>
  <si>
    <t>Druid</t>
  </si>
  <si>
    <t>Fighter</t>
  </si>
  <si>
    <t>Paladin</t>
  </si>
  <si>
    <t>Psion</t>
  </si>
  <si>
    <t>Pyschic Warrior</t>
  </si>
  <si>
    <t>Ranger</t>
  </si>
  <si>
    <t>Rogue</t>
  </si>
  <si>
    <t>Sorceror</t>
  </si>
  <si>
    <t>Soulknife</t>
  </si>
  <si>
    <t>Troll</t>
  </si>
  <si>
    <t>Wilder</t>
  </si>
  <si>
    <t>Wizard</t>
  </si>
  <si>
    <t>Sorcerer</t>
  </si>
  <si>
    <t>Psychic Warrior</t>
  </si>
  <si>
    <t>Base Points</t>
  </si>
  <si>
    <t>SKILL</t>
  </si>
  <si>
    <t>KEY_ABILITY</t>
  </si>
  <si>
    <t>KEY_ABILITY_ABB</t>
  </si>
  <si>
    <t>UNTRAINED</t>
  </si>
  <si>
    <t>BARBARIAN</t>
  </si>
  <si>
    <t>BARD</t>
  </si>
  <si>
    <t>CLERIC</t>
  </si>
  <si>
    <t>DRUID</t>
  </si>
  <si>
    <t>FIGHTER</t>
  </si>
  <si>
    <t>MONK</t>
  </si>
  <si>
    <t>PALADIN</t>
  </si>
  <si>
    <t>RANGER</t>
  </si>
  <si>
    <t>ROGUE</t>
  </si>
  <si>
    <t>SORCERER</t>
  </si>
  <si>
    <t>WIZARD</t>
  </si>
  <si>
    <t>INT</t>
  </si>
  <si>
    <t>WIS</t>
  </si>
  <si>
    <t>DEX</t>
  </si>
  <si>
    <t>CHA</t>
  </si>
  <si>
    <t>STR</t>
  </si>
  <si>
    <t>CON</t>
  </si>
  <si>
    <t>NONE</t>
  </si>
  <si>
    <t>Classes</t>
  </si>
  <si>
    <t>Class Features</t>
  </si>
  <si>
    <t>Weapon and Armor Proficiency</t>
  </si>
  <si>
    <t>A barbarian is proficient with all simple and martial weapons, light armor, medium armor, and shields (except tower shields).</t>
  </si>
  <si>
    <t>Fast Movement</t>
  </si>
  <si>
    <t>A barbarian’s land speed is faster than the norm for his race by +10 feet. This benefit applies only when he is wearing no armor, light armor, or medium armor and not carrying a heavy load. Apply this bonus before modifying the barbarian’s speed because of any load carried or armor worn.</t>
  </si>
  <si>
    <t>Illiteracy</t>
  </si>
  <si>
    <t>Barbarians are the only characters who do not automatically know how to read and write. A barbarian may spend 2 skill points to gain the ability to read and write all languages he is able to speak.
A barbarian who gains a level in any other class automatically gains literacy. Any other character who gains a barbarian level does not lose the literacy he or she already had.</t>
  </si>
  <si>
    <t>Rage Duration</t>
  </si>
  <si>
    <t>A barbarian can fly into a rage a certain number of times per day. In a rage, a barbarian temporarily gains a +4 bonus to Strength, a +4 bonus to Constitution, and a +2 morale bonus on Will saves, but he takes a -2 penalty to Armor Class. The increase in Constitution increases the barbarian’s hit points by 2 points per level, but these hit points go away at the end of the rage when his Constitution score drops back to normal. (These extra hit points are not lost first the way temporary hit points are.) While raging, a barbarian cannot use any Charisma-, Dexterity-, or Intelligence-based skills (except for Balance, Escape Artist, Intimidate, and Ride), the Concentration skill, or any abilities that require patience or concentration, nor can he cast spells or activate magic items that require a command word, a spell trigger (such as a wand), or spell completion (such as a scroll) to function. He can use any feat he has except Combat Expertise, item creation feats, and metamagic feats. A fit of rage lasts for a number of rounds equal to 3 + the character’s (newly improved) Constitution modifier. A barbarian may prematurely end his rage. At the end of the rage, the barbarian loses the rage modifiers and restrictions and becomes fatigued (-2 penalty to Strength, -2 penalty to Dexterity, can’t charge or run) for the duration of the current encounter (unless he is a 17th-level barbarian, at which point this limitation no longer applies).
A barbarian can fly into a rage only once per encounter. At 1st level he can use his rage ability once per day. At 4th level and every four levels thereafter, he can use it one additional time per day (to a maximum of six times per day at 20th level). Entering a rage takes no time itself, but a barbarian can do it only during his action, not in response to someone else’s action.</t>
  </si>
  <si>
    <t>Rages per Day</t>
  </si>
  <si>
    <t>Uncanny Dodge</t>
  </si>
  <si>
    <t>At 2nd level, a barbarian retains his Dexterity bonus to AC (if any) even if he is caught flat-footed or struck by an invisible attacker. However, he still loses his Dexterity bonus to AC if immobilized. If a barbarian already has uncanny dodge from a different class, he automatically gains improved uncanny dodge instead.</t>
  </si>
  <si>
    <t>Starting at 3rd level, a barbarian gains a +1 bonus on Reflex saves made to avoid traps and a +1 dodge bonus to AC against attacks made by traps. These bonuses rise by +1 every three barbarian levels thereafter (6th, 9th, 12th, 15th, and 18th level). Trap sense bonuses gained from multiple classes stack.</t>
  </si>
  <si>
    <t>Improved Uncanny Dodge</t>
  </si>
  <si>
    <t>At 5th level and higher, a barbarian can no longer be flanked. This defense denies a rogue the ability to sneak attack the barbarian by flanking him, unless the attacker has at least four more rogue levels than the target has barbarian levels. If a character already has uncanny dodge from a second class, the character automatically gains improved uncanny dodge instead, and the levels from the classes that grant uncanny dodge stack to determine the minimum level a rogue must be to flank the character.</t>
  </si>
  <si>
    <t>Damage Reduction</t>
  </si>
  <si>
    <t>At 7th level, a barbarian gains Damage Reduction. Subtract 1 from the damage the barbarian takes each time he is dealt damage from a weapon or a natural attack. At 10th level, and every three barbarian levels thereafter (13th, 16th, and 19th level), this damage reduction rises by 1 point. Damage reduction can reduce damage to 0 but not below 0.</t>
  </si>
  <si>
    <t>Greater Rage</t>
  </si>
  <si>
    <t>At 11th level, a barbarian’s bonuses to Strength and Constitution during his rage each increase to +6, and his morale bonus on Will saves increases to +3. The penalty to AC remains at -2.</t>
  </si>
  <si>
    <t>While in a rage, a barbarian of 14th level or higher gains a +4 bonus on Will saves to resist enchantment spells. This bonus stacks with all other modifiers, including the morale bonus on Will saves he also receives during his rage.</t>
  </si>
  <si>
    <t>Tireless Rage</t>
  </si>
  <si>
    <t>At 17th level and higher, a barbarian no longer becomes fatigued at the end of his rage.</t>
  </si>
  <si>
    <t>Mighty Rage</t>
  </si>
  <si>
    <t>At 20th level, a barbarian’s bonuses to Strength and Constitution during his rage each increase to +8, and his morale bonus on Will saves increases to +4. The penalty to AC remains at -2.</t>
  </si>
  <si>
    <t>A bard is proficient with all simple weapons, plus the longsword, rapier, sap, short sword, shortbow, and whip. Bards are proficient with light armor and shields (except tower shields). A bard can cast bard spells while wearing light armor without incurring the normal arcane spell failure chance. However, like any other arcane spellcaster, a bard wearing medium or heavy armor or using a shield incurs a chance of arcane spell failure if the spell in question has a somatic component (most do). A multiclass bard still incurs the normal arcane spell failure chance for arcane spells received from other classes.</t>
  </si>
  <si>
    <t>Spells</t>
  </si>
  <si>
    <t>A bard casts arcane spells, which are drawn from the bard spell list. He can cast any spell he knows without preparing it ahead of time. Every bard spell has a verbal component (singing, reciting, or music). To learn or cast a spell, a bard must have a Charisma score equal to at least 10 + the spell level. The Difficulty Class for a saving throw against a bard’s spell is 10 + the spell level + the bard’s Charisma modifier.
Like other spellcasters, a bard can cast only a certain number of spells of each spell level per day. His base daily spell allotment is given on Table: The Bard. In addition, he receives bonus spells per day if he has a high Charisma score. When Table: The Bard indicates that the bard gets 0 spells per day of a given spell level, he gains only the bonus spells he would be entitled to based on his Charisma score for that spell level.
The bard’s selection of spells is extremely limited. A bard begins play knowing four 0-level spells of your choice. At most new bard levels, he gains one or more new spells, as indicated on Table: The Bard. (Unlike spells per day, the number of spells a bard knows is not affected by his Charisma score; the numbers on Table: The Bard are fixed.)
Upon reaching 5th level, and at every third bard level after that (8th, 11th, and so on), a bard can choose to learn a new spell in place of one he already knows. In effect, the bard "loses" the old spell in exchange for the new one. The new spell’s level must be the same as that of the spell being exchanged, and it must be at least two levels lower than the highest-level bard spell the bard can cast. A bard may swap only a single spell at any given level, and must choose whether or not to swap the spell at the same time that he gains new spells known for the level.
As noted above, a bard need not prepare his spells in advance. He can cast any spell he knows at any time, assuming he has not yet used up his allotment of spells per day for the spell’s level.</t>
  </si>
  <si>
    <t>Bardic Knowledge</t>
  </si>
  <si>
    <t>A bard may make a special bardic knowledge check with a bonus equal to his bard level + his Intelligence modifier to see whether he knows some relevant information about local notable people, legendary items, or noteworthy places. (If the bard has 5 or more ranks in Knowledge (history), he gains a +2 bonus on this check.)
A successful bardic knowledge check will not reveal the powers of a magic item but may give a hint as to its general function. A bard may not take 10 or take 20 on this check; this sort of knowledge is essentially random.</t>
  </si>
  <si>
    <t>Bardic Music</t>
  </si>
  <si>
    <t>Once per day per bard level, a bard can use his song or poetics to produce magical effects on those around him (usually including himself, if desired). While these abilities fall under the category of bardic music and the descriptions discuss singing or playing instruments, they can all be activated by reciting poetry, chanting, singing lyrical songs, singing melodies, whistling, playing an instrument, or playing an instrument in combination with some spoken performance. Each ability requires both a minimum bard level and a minimum number of ranks in the Perform skill to qualify; if a bard does not have the required number of ranks in at least one Perform skill, he does not gain the bardic music ability until he acquires the needed ranks.
Starting a bardic music effect is a standard action. Some bardic music abilities require concentration, which means the bard must take a standard action each round to maintain the ability. Even while using bardic music that doesn’t require concentration, a bard cannot cast spells, activate magic items by spell completion (such as scrolls), spell trigger (such as wands), or command word. Just as for casting a spell with a verbal component, a deaf bard has a 20% chance to fail when attempting to use bardic music. If he fails, the attempt still counts against his daily limit.</t>
  </si>
  <si>
    <t>Countersong</t>
  </si>
  <si>
    <t>A bard with 3 or more ranks in a Perform skill can use his music or poetics to counter magical effects that depend on sound (but not spells that simply have verbal components). Each round of the countersong, he makes a Perform check. Any creature within 30 feet of the bard (including the bard himself) that is affected by a sonic or language-dependent magical attack may use the bard’s Perform check result in place of its saving throw if, after the saving throw is rolled, the Perform check result proves to be higher. If a creature within range of the countersong is already under the effect of a noninstantaneous sonic or language-dependent magical attack, it gains another saving throw against the effect each round it hears the countersong, but it must use the bard’s Perform check result for the save. Countersong has no effect against effects that don’t allow saves. The bard may keep up the countersong for 10 rounds.</t>
  </si>
  <si>
    <t>Fascinate</t>
  </si>
  <si>
    <t>A bard with 3 or more ranks in a Perform skill can use his music or poetics to cause one or more creatures to become fascinated with him. Each creature to be fascinated must be within 90 feet, able to see and hear the bard, and able to pay attention to him. The bard must also be able to see the creature. The distraction of a nearby combat or other dangers prevents the ability from working. For every three levels a bard attains beyond 1st, he can target one additional creature with a single use of this ability.
To use the ability, a bard makes a Perform check. His check result is the DC for each affected creature’s Will save against the effect. If a creature’s saving throw succeeds, the bard cannot attempt to fascinate that creature again for 24 hours. If its saving throw fails, the creature sits quietly and listens to the song, taking no other actions, for as long as the bard continues to play and concentrate (up to a maximum of 1 round per bard level). While fascinated, a target takes a -4 penalty on skill checks made as reactions, such as Listen and Spot checks. Any potential threat requires the bard to make another Perform check and allows the creature a new saving throw against a DC equal to the new Perform check result.
Any obvious threat, such as someone drawing a weapon, casting a spell, or aiming a ranged weapon at the target, automatically breaks the effect. Fascinate is an enchantment (compulsion), mind-affecting ability.</t>
  </si>
  <si>
    <t>A bard with 3 or more ranks in a Perform skill can use song or poetics to inspire courage in his allies (including himself), bolstering them against fear and improving their combat abilities. To be affected, an ally must be able to hear the bard sing. The effect lasts for as long as the ally hears the bard sing and for 5 rounds thereafter. An affected ally receives a +1 morale bonus on saving throws against charm and fear effects and a +1 morale bonus on attack and weapon damage rolls. At 8th level, and every six bard levels thereafter, this bonus increases by 1 (+2 at 8th, +3 at 14th, and +4 at 20th). Inspire courage is a mind-affecting ability.</t>
  </si>
  <si>
    <t>Inspire Compentence</t>
  </si>
  <si>
    <t>A bard of 3rd level or higher with 6 or more ranks in a Perform skill can use his music or poetics to help an ally succeed at a task. The ally must be within 30 feet and able to see and hear the bard. The bard must also be able to see the ally.
The ally gets a +2 competence bonus on skill checks with a particular skill as long as he or she continues to hear the bard’s music. Certain uses of this ability are infeasible. The effect lasts as long as the bard concentrates, up to a maximum of 2 minutes. A bard can’t inspire competence in himself. Inspire competence is a mind-affecting ability.</t>
  </si>
  <si>
    <t>Suggestion</t>
  </si>
  <si>
    <t>A bard of 6th level or higher with 9 or more ranks in a Perform skill can make a suggestion (as the spell) to a creature that he has already fascinated. Using this ability does not break the bard’s concentration on the fascinate effect, nor does it allow a second saving throw against the fascinate effect.
Making a suggestion doesn’t count against a bard’s daily limit on bardic music performances. A Will saving throw (DC 10 + ½ bard’s level + bard’s Cha modifier) negates the effect. This ability affects only a single creature (but see mass suggestion, below). Suggestion is an enchantment (compulsion), mind-affecting, language dependent ability.</t>
  </si>
  <si>
    <t># of Targets:</t>
  </si>
  <si>
    <t>A bard of 9th level or higher with 12 or more ranks in a Perform skill can use music or poetics to inspire greatness in himself or a single willing ally within 30 feet, granting him or her extra fighting capability. For every three levels a bard attains beyond 9th, he can target one additional ally with a single use of this ability (two at 12th level, three at 15th, four at 18th). To inspire greatness, a bard must sing and an ally must hear him sing. The effect lasts for as long as the ally hears the bard sing and for 5 rounds thereafter. A creature inspired with greatness gains 2 bonus Hit Dice (d10s), the commensurate number of temporary hit points (apply the target’s Constitution modifier, if any, to these bonus Hit Dice), a +2 competence bonus on attack rolls, and a +1 competence bonus on Fortitude saves. The bonus Hit Dice count as regular Hit Dice for determining the effect of spells that are Hit Dice dependant. Inspire greatness is a mind-affecting ability.</t>
  </si>
  <si>
    <t>Song of Freedom</t>
  </si>
  <si>
    <t>A bard of 12th level or higher with 15 or more ranks in a Perform skill can use music or poetics to create an effect equivalent to the break enchantment spell (caster level equals the character’s bard level). Using this ability requires 1 minute of uninterrupted concentration and music, and it functions on a single target within 30 feet. A bard can’t use song of freedom on himself.</t>
  </si>
  <si>
    <t>A bard of 15th level or higher with 18 or more ranks in a Perform skill can use music or poetics to inspire tremendous heroism in himself or a single willing ally within 30 feet. For every three bard levels the character attains beyond 15th, he can inspire heroics in one additional creature. To inspire heroics, a bard must sing and an ally must hear the bard sing for a full round. A creature so inspired gains a +4 morale bonus on saving throws and a +4 dodge bonus to AC. The effect lasts for as long as the ally hears the bard sing and for up to 5 rounds thereafter. Inspire heroics is a mind-affecting ability.</t>
  </si>
  <si>
    <t>Mass Suggestion</t>
  </si>
  <si>
    <t>This ability functions like suggestion, above, except that a bard of 18th level or higher with 21 or more ranks in a Perform skill can make the suggestion simultaneously to any number of creatures that he has already fascinated. Mass suggestion is an enchantment (compulsion), mind-affecting, language-dependent ability.</t>
  </si>
  <si>
    <t>Clerics are proficient with all simple weapons, with all types of armor (light, medium, and heavy), and with shields (except tower shields).
A cleric who chooses the War domain receives the Weapon Focus feat related to his deity’s weapon as a bonus feat. He also receives the appropriate Martial Weapon Proficiency feat as a bonus feat, if the weapon falls into that category.</t>
  </si>
  <si>
    <t>Aura</t>
  </si>
  <si>
    <t>A cleric of a chaotic, evil, good, or lawful deity has a particularly powerful aura corresponding to the deity’s alignment (see the detect evil spell for details). Clerics who don’t worship a specific deity but choose the Chaos, Evil, Good, or Law domain have a similarly powerful aura of the corresponding alignment.</t>
  </si>
  <si>
    <t>A cleric casts divine spells, which are drawn from the cleric spell list. However, his alignment may restrict him from casting certain spells opposed to his moral or ethical beliefs; see Chaotic, Evil, Good, and Lawful Spells, below. A cleric must choose and prepare his spells in advance (see below).
To prepare or cast a spell, a cleric must have a Wisdom score equal to at least 10 + the spell level. The Difficulty Class for a saving throw against a cleric’s spell is 10 + the spell level + the cleric’s Wisdom modifier.
Like other spellcasters, a cleric can cast only a certain number of spells of each spell level per day. His base daily spell allotment is given on Table: The Cleric. In addition, he receives bonus spells per day if he has a high Wisdom score. A cleric also gets one domain spell of each spell level he can cast, starting at 1st level. When a cleric prepares a spell in a domain spell slot, it must come from one of his two domains (see Deities, Domains, and Domain Spells, below).
Clerics meditate or pray for their spells. Each cleric must choose a time at which he must spend 1 hour each day in quiet contemplation or supplication to regain his daily allotment of spells. Time spent resting has no effect on whether a cleric can prepare spells. A cleric may prepare and cast any spell on the cleric spell list, provided that he can cast spells of that level, but he must choose which spells to prepare during his daily meditation.</t>
  </si>
  <si>
    <t>Deity, Domains, and Domain Spells</t>
  </si>
  <si>
    <t>A cleric’s deity influences his alignment, what magic he can perform, his values, and how others see him. A cleric chooses two domains from among those belonging to his deity. A cleric can select an alignment domain (Chaos, Evil, Good, or Law) only if his alignment matches that domain.
If a cleric is not devoted to a particular deity, he still selects two domains to represent his spiritual inclinations and abilities. The restriction on alignment domains still applies.
Each domain gives the cleric access to a domain spell at each spell level he can cast, from 1st on up, as well as a granted power. The cleric gets the granted powers of both the domains selected.
With access to two domain spells at a given spell level, a cleric prepares one or the other each day in his domain spell slot. If a domain spell is not on the cleric spell list, a cleric can prepare it only in his domain spell slot.</t>
  </si>
  <si>
    <t>Spontaneous Casting</t>
  </si>
  <si>
    <t>A good cleric (or a neutral cleric of a good deity) can channel stored spell energy into healing spells that the cleric did not prepare ahead of time. The cleric can "lose" any prepared spell that is not a domain spell in order to cast any cure spell of the same spell level or lower (a cure spell is any spell with "cure" in its name).
An evil cleric (or a neutral cleric of an evil deity), can’t convert prepared spells to cure spells but can convert them to inflict spells (an inflict spell is one with "inflict" in its name).
A cleric who is neither good nor evil and whose deity is neither good nor evil can convert spells to either cure spells or inflict spells (player’s choice). Once the player makes this choice, it cannot be reversed. This choice also determines whether the cleric turns or commands undead.</t>
  </si>
  <si>
    <t>Chaotic, Evil, Good, and Lawful Spells</t>
  </si>
  <si>
    <t>A cleric can’t cast spells of an alignment opposed to his own or his deity’s (if he has one). Spells associated with particular alignments are indicated by the chaos, evil, good, and law descriptors in their spell descriptions.</t>
  </si>
  <si>
    <t>Turn Undead times per Day:</t>
  </si>
  <si>
    <t>Any cleric, regardless of alignment, has the power to affect undead creatures by channeling the power of his faith through his holy (or unholy) symbol (see Turn or Rebuke Undead).
A good cleric (or a neutral cleric who worships a good deity) can turn or destroy undead creatures. An evil cleric (or a neutral cleric who worships an evil deity) instead rebukes or commands such creatures. A neutral cleric of a neutral deity must choose whether his turning ability functions as that of a good cleric or an evil cleric. Once this choice is made, it cannot be reversed. This decision also determines whether the cleric can cast spontaneous cure or inflict spells.
A cleric may attempt to turn undead a number of times per day equal to 3 + his Charisma modifier. A cleric with 5 or more ranks in Knowledge (religion) gets a +2 bonus on turning checks against undead.</t>
  </si>
  <si>
    <t>Turning Check:</t>
  </si>
  <si>
    <t>Turning Damage:</t>
  </si>
  <si>
    <t>Turn Earth times per Day:</t>
  </si>
  <si>
    <t>Air Domain: Turn or destroy earth creatures as a good cleric turns undead. Rebuke, command, or bolster air creatures as an evil cleric rebukes undead. Use these abilities a total number of times per day equal to 3 + your Charisma modifier. This granted power is a supernatural ability.</t>
  </si>
  <si>
    <t>Speak with Animals</t>
  </si>
  <si>
    <t>/ 1</t>
  </si>
  <si>
    <t>Animal Domain: You can use speak with animals once per day as a spell-like ability.
Add Knowledge (nature) to your list of cleric class skills.</t>
  </si>
  <si>
    <t>Chaos Domain</t>
  </si>
  <si>
    <t>Chaos Domain: You cast chaos spells at +1 caster level.</t>
  </si>
  <si>
    <t>Death Touch Damage</t>
  </si>
  <si>
    <t>Death Domain: You may use a death touch once per day. Your death touch is a supernatural ability that produces a death effect. You must succeed on a melee touch attack against a living creature (using the rules for touch spells). When you touch, roll 1d6 per cleric level you possess. If the total at least equals the creature’s current hit points, it dies (no save).</t>
  </si>
  <si>
    <t>Destruction Domain</t>
  </si>
  <si>
    <t>Destruction Domain: You gain the smite power, the supernatural ability to make a single melee attack with a +4 bonus on attack rolls and a bonus on damage rolls equal to your cleric level (if you hit). You must declare the smite before making the attack. This ability is usable once per day.</t>
  </si>
  <si>
    <t>Turn Air times per Day:</t>
  </si>
  <si>
    <t>Earth Domain: Turn or destroy air creatures as a good cleric turns undead. Rebuke, command, or bolster earth creatures as an evil cleric rebukes undead. Use these abilities a total number of times per day equal to 3 + your Charisma modifier. This granted power is a supernatural ability.</t>
  </si>
  <si>
    <t>Evil Domain</t>
  </si>
  <si>
    <t>Evil Domain: You cast evil spells at +1 caster level.</t>
  </si>
  <si>
    <t>Turn Water times per Day:</t>
  </si>
  <si>
    <t>Fire Domain: Turn or destroy water creatures as a good cleric turns undead. Rebuke, command, or bolster fire creatures as an evil cleric rebukes undead. Use these abilities a total number of times per day equal to 3 + your Charisma modifier. This granted power is a supernatural ability.</t>
  </si>
  <si>
    <t>Good Domain</t>
  </si>
  <si>
    <t>Good Domain: You cast good spells at +1 caster level.</t>
  </si>
  <si>
    <t>Healing Domain</t>
  </si>
  <si>
    <t>Healing Domain: You cast healing spells at +1 caster level.</t>
  </si>
  <si>
    <t>Knowledge Domain</t>
  </si>
  <si>
    <t>Knowledge Domain: Add all Knowledge skills to your list of cleric class skills.
You cast divination spells at +1 caster level.</t>
  </si>
  <si>
    <t>Law Domain</t>
  </si>
  <si>
    <t>Law Domain: You cast law spells at +1 caster level.</t>
  </si>
  <si>
    <t>Good Fortune</t>
  </si>
  <si>
    <t>Luck Domain: You gain the power of good fortune, which is usable once per day. This extraordinary ability allows you to reroll one roll that you have just made before the game master declares whether the roll results in success or failure. You must take the result of the reroll, even if it’s worse than the original roll.</t>
  </si>
  <si>
    <t>Effective Wizard Level</t>
  </si>
  <si>
    <t>Magic Domain: Use scrolls, wands, and other devices with spell completion or spell trigger activation as a wizard of one-half your cleric level (at least 1st level). For the purpose of using a scroll or other magic device, if you are also a wizard, actual wizard levels and these effective wizard levels stack.</t>
  </si>
  <si>
    <t>Turn Plant times per Day:</t>
  </si>
  <si>
    <t>Plant Domain: Rebuke or command plant creatures as an evil cleric rebukes or commands undead. Use this ability a total number of times per day equal to 3 + your Charisma modifier. This granted power is a supernatural ability.
Add Knowledge (nature) to your list of cleric class skills.</t>
  </si>
  <si>
    <t>Protective Ward</t>
  </si>
  <si>
    <t>Protection Domain: You can generate a protective ward as a supernatural ability. Grant someone you touch a resistance bonus equal to your cleric level on his or her next saving throw. Activating this power is a standard action. The protective ward is an abjuration effect with a duration of 1 hour that is usable once per day.</t>
  </si>
  <si>
    <t>Divine Strength</t>
  </si>
  <si>
    <t>Strength Domain: You can perform a feat of strength as a supernatural ability. You gain an enhancement bonus to Strength equal to your cleric level. Activating the power is a free action, the power lasts 1 round, and it is usable once per day.</t>
  </si>
  <si>
    <t>Greater Turning</t>
  </si>
  <si>
    <t>Sun Domain: Once per day, you can perform a greater turning against undead in place of a regular turning. The greater turning is like a normal turning except that the undead creatures that would be turned are destroyed instead.</t>
  </si>
  <si>
    <t>Freedom of Movement</t>
  </si>
  <si>
    <t>Travel Domain: For a total time per day of 1 round per cleric level you possess, you can act normally regardless of magical effects that impede movement as if you were affected by the spell freedom of movement. This effect occurs automatically as soon as it applies, lasts until it runs out or is no longer needed, and can operate multiple times per day (up to the total daily limit of rounds).
This granted power is a supernatural ability.
Add Survival to your list of cleric class skills.</t>
  </si>
  <si>
    <t>Trickery Domain</t>
  </si>
  <si>
    <t>Trickery Domain: Add Bluff, Disguise, and Hide to your list of cleric class skills.</t>
  </si>
  <si>
    <t>Divine Proficiency</t>
  </si>
  <si>
    <t>War Domain: Free Martial Weapon Proficiency with deity’s favored weapon (if necessary) and Weapon Focus with the deity’s favored weapon.</t>
  </si>
  <si>
    <t>Turn Fire times per Day:</t>
  </si>
  <si>
    <t>Water Domain: Turn or destroy fire creatures as a good cleric turns undead. Rebuke, command, or bolster water creatures as an evil cleric rebukes undead. Use these abilities a total number of times per day equal to 3 + your Charisma modifier. This granted power is a supernatural ability.</t>
  </si>
  <si>
    <t>Bonus Languages</t>
  </si>
  <si>
    <t>A cleric’s bonus language options include Celestial, Abyssal, and Infernal (the languages of good, chaotic evil, and lawful evil outsiders, respectively). These choices are in addition to the bonus languages available to the character because of his race.</t>
  </si>
  <si>
    <t>Druids are proficient with the following weapons: club, dagger, dart, quarterstaff, scimitar, sickle, shortspear, sling, and spear. They are also proficient with all natural attacks (claw, bite, and so forth) of any form they assume with wild shape.
Druids are proficient with light and medium armor but are prohibited from wearing metal armor; thus, they may wear only padded, leather, or hide armor. (A druid may also wear wooden armor that has been altered by the ironwood spell so that it functions as though it were steel. See the ironwood spell description) Druids are proficient with shields (except tower shields) but must use only wooden ones.
A druid who wears prohibited armor or carries a prohibited shield is unable to cast druid spells or use any of her supernatural or spell-like class abilities while doing so and for 24 hours thereafter.</t>
  </si>
  <si>
    <t>A druid casts divine spells, which are drawn from the druid spell list. Her alignment may restrict her from casting certain spells opposed to her moral or ethical beliefs; see Chaotic, Evil, Good, and Lawful Spells, below. A druid must choose and prepare her spells in advance (see below).
To prepare or cast a spell, the druid must have a Wisdom score equal to at least 10 + the spell level. The Difficulty Class for a saving throw against a druid’s spell is 10 + the spell level + the druid’s Wisdom modifier.
Like other spellcasters, a druid can cast only a certain number of spells of each spell level per day. Her base daily spell allotment is given on Table: The Druid. In addition, she receives bonus spells per day if she has a high Wisdom score. She does not have access to any domain spells or granted powers, as a cleric does.
A druid prepares and casts spells the way a cleric does, though she cannot lose a prepared spell to cast a cure spell in its place (but see Spontaneous Casting, below). A druid may prepare and cast any spell on the druid spell list, provided that she can cast spells of that level, but she must choose which spells to prepare during her daily meditation.</t>
  </si>
  <si>
    <t>A druid can channel stored spell energy into summoning spells that she hasn’t prepared ahead of time. She can "lose" a prepared spell in order to cast any summon nature’s ally spell of the same level or lower.</t>
  </si>
  <si>
    <t>A druid can’t cast spells of an alignment opposed to her own or her deity’s (if she has one). Spells associated with particular alignments are indicated by the chaos, evil, good, and law descriptors in their spell descriptions.</t>
  </si>
  <si>
    <t>A druid’s bonus language options include Sylvan, the language of woodland creatures. This choice is in addition to the bonus languages available to the character because of her race.
A druid also knows Druidic, a secret language known only to druids, which she learns upon becoming a 1st-level druid. Druidic is a free language for a druid; that is, she knows it in addition to her regular allotment of languages and it doesn’t take up a language slot. Druids are forbidden to teach this language to nondruids.
Druidic has its own alphabet.</t>
  </si>
  <si>
    <t>Animal Companion</t>
  </si>
  <si>
    <t>A druid may begin play with an animal companion selected from the following list: badger, camel, dire rat, dog, riding dog, eagle, hawk, horse (light or heavy), owl, pony, snake (Small or Medium viper), or wolf. If the campaign takes place wholly or partly in an aquatic environment, the following creatures are also available: porpoise, Medium shark, and squid. This animal is a loyal companion that accompanies the druid on her adventures as appropriate for its kind.
A 1st-level druid’s companion is completely typical for its kind except as noted below. As a druid advances in level, the animal’s power increases as shown on the table. If a druid releases her companion from service, she may gain a new one by performing a ceremony requiring 24 uninterrupted hours of prayer. This ceremony can also replace an animal companion that has perished.
A druid of 4th level or higher may select from alternative lists of animals. Should she select an animal companion from one of these alternative lists, the creature gains abilities as if the character’s druid level were lower than it actually is. Subtract the value indicated in the appropriate list header from the character’s druid level and compare the result with the druid level entry on the table to determine the animal companion’s powers. (If this adjustment would reduce the druid’s effective level to 0 or lower, she can’t have that animal as a companion.)</t>
  </si>
  <si>
    <t>Nature Sense</t>
  </si>
  <si>
    <t>A druid gains a +2 bonus on Knowledge (nature) and Survival checks.</t>
  </si>
  <si>
    <t>Wild Empathy</t>
  </si>
  <si>
    <t>A druid can improve the attitude of an animal. This ability functions just like a Diplomacy check made to improve the attitude of a person. The druid rolls 1d20 and adds her druid level and her Charisma modifier to determine the wild empathy check result.
The typical domestic animal has a starting attitude of indifferent, while wild animals are usually unfriendly.
To use wild empathy, the druid and the animal must be able to study each other, which means that they must be within 30 feet of one another under normal conditions. Generally, influencing an animal in this way takes 1 minute but, as with influencing people, it might take more or less time.
A druid can also use this ability to influence a magical beast with an Intelligence score of 1 or 2, but she takes a -4 penalty on the check.</t>
  </si>
  <si>
    <t>Woodland Stride</t>
  </si>
  <si>
    <t>Starting at 2nd level, a druid may move through any sort of undergrowth (such as natural thorns, briars, overgrown areas, and similar terrain) at her normal speed and without taking damage or suffering any other impairment. However, thorns, briars, and overgrown areas that have been magically manipulated to impede motion still affect her.</t>
  </si>
  <si>
    <t>Trackless Step</t>
  </si>
  <si>
    <t>Starting at 3rd level, a druid leaves no trail in natural surroundings and cannot be tracked. She may choose to leave a trail if so desired.</t>
  </si>
  <si>
    <t>Resist Natures Lure</t>
  </si>
  <si>
    <t>Starting at 4th level, a druid gains a +4 bonus on saving throws against the spell-like abilities of fey.</t>
  </si>
  <si>
    <t>Wild Shapes per day</t>
  </si>
  <si>
    <t>At 5th level, a druid gains the ability to turn herself into any Small or Medium animal and back again once per day. Her options for new forms include all creatures with the animal type. This ability functions like the alternate form special ability, except as noted here. The effect lasts for 1 hour per druid level, or until she changes back. Changing form (to animal or back) is a standard action and doesn’t provoke an attack of opportunity. Each time you use wild shape, you regain lost hit points as if you had rested for a night.
Any gear worn or carried by the druid melds into the new form and becomes nonfunctional. When the druid reverts to her true form, any objects previously melded into the new form reappear in the same location on her body that they previously occupied and are once again functional. Any new items worn in the assumed form fall off and land at the druid's feet.
The form chosen must be that of an animal the druid is familiar with.
A druid loses her ability to speak while in animal form because she is limited to the sounds that a normal, untrained animal can make, but she can communicate normally with other animals of the same general grouping as her new form. (The normal sound a wild parrot makes is a squawk, so changing to this form does not permit speech.)
A druid can use this ability more times per day at 6th, 7th, 10th, 14th, and 18th level, as noted on Table: The Druid. In addition, she gains the ability to take the shape of a Large animal at 8th level, a Tiny animal at 11th level, and a Huge animal at 15th level.
The new form’s Hit Dice can’t exceed the character’s druid level.</t>
  </si>
  <si>
    <t>Wild Shape Duration:</t>
  </si>
  <si>
    <t>Wild Shape (Large)</t>
  </si>
  <si>
    <t>Venom Immunity</t>
  </si>
  <si>
    <t>At 9th level, a druid gains immunity to all poisons.</t>
  </si>
  <si>
    <t>Wild Shape (Tiny)</t>
  </si>
  <si>
    <t>Wild Shape (Plant)</t>
  </si>
  <si>
    <t>At 12th level, a druid becomes able to use wild shape to change into a plant creature with the same size restrictions as for animal forms. (A druid can’t use this ability to take the form of a plant that isn’t a creature.)</t>
  </si>
  <si>
    <t>A Thousand Faces</t>
  </si>
  <si>
    <t>At 13th level, a druid gains the ability to change her appearance at will, as if using the disguise self spell, but only while in her normal form. This affects the druid’s body but not her possessions. It is not an illusory effect, but a minor physical alteration of the druid’s appearance, within the limits described for the spell.</t>
  </si>
  <si>
    <t>Timeless Body</t>
  </si>
  <si>
    <t>After attaining 15th level, a druid no longer takes ability score penalties for aging and cannot be magically aged. Any penalties she may have already incurred, however, remain in place.</t>
  </si>
  <si>
    <t>Wild Shape (Huge)</t>
  </si>
  <si>
    <t>Wild Shape (Elemental) per day</t>
  </si>
  <si>
    <t>At 16th level, a druid becomes able to use wild shape to change into a Small, Medium, or Large elemental (air, earth, fire, or water) once per day. These elemental forms are in addition to her normal wild shape usage. In addition to the normal effects of wild shape, the druid gains all the elemental’s extraordinary, supernatural, and spell-like abilities. She also gains the elemental’s feats for as long as she maintains the wild shape, but she retains her own creature type.</t>
  </si>
  <si>
    <t>Wild Shape (Huge Elemental)</t>
  </si>
  <si>
    <t>At 18th level, a druid becomes able to assume elemental form twice per day, and at 20th level she can do so three times per day. At 20th level, a druid may use this wild shape ability to change into a Huge elemental.</t>
  </si>
  <si>
    <t>A fighter is proficient with all simple and martial weapons and with all armor (heavy, medium, and light) and shields (including tower shields).</t>
  </si>
  <si>
    <t>At 1st level, a fighter gets a bonus combat-oriented feat in addition to the feat that any 1st-level character gets and the bonus feat granted to a human character. The fighter gains an additional bonus feat at 2nd level and every two fighter levels thereafter (4th, 6th, 8th, 10th, 12th, 14th, 16th, 18th, and 20th). These bonus feats must be drawn from the feats noted as fighter bonus feats. A fighter must still meet all prerequisites for a bonus feat, including ability score and base attack bonus minimums.
These bonus feats are in addition to the feat that a character of any class gets from advancing levels. A fighter is not limited to the list of fighter bonus feats when choosing these feats.</t>
  </si>
  <si>
    <t>Monks are proficient with club, crossbow (light or heavy), dagger, handaxe, javelin, kama, nunchaku, quarterstaff, sai, shuriken, siangham, and sling.
Monks are not proficient with any armor or shields
When wearing armor, using a shield, or carrying a medium or heavy load, a monk loses her AC bonus, as well as her fast movement and flurry of blows abilities.</t>
  </si>
  <si>
    <t>AC Bonus</t>
  </si>
  <si>
    <t>When unarmored and unencumbered, the monk adds her Wisdom bonus (if any) to her AC. In addition, a monk gains a +1 bonus to AC at 5th level. This bonus increases by 1 for every five monk levels thereafter (+2 at 10th, +3 at 15th, and +4 at 20th level).
These bonuses to AC apply even against touch attacks or when the monk is flat-footed. She loses these bonuses when she is immobilized or helpless, when she wears any armor, when she carries a shield, or when she carries a medium or heavy load.</t>
  </si>
  <si>
    <t>When unarmored, a monk may strike with a flurry of blows at the expense of accuracy. When doing so, she may make one extra attack in a round at her highest base attack bonus, but this attack takes a -2 penalty, as does each other attack made that round. The resulting modified base attack bonuses are shown in the Flurry of Blows Attack Bonus column on Table: The Monk. This penalty applies for 1 round, so it also affects attacks of opportunity the monk might make before her next action. When a monk reaches 5th level, the penalty lessens to -1, and at 9th level it disappears. A monk must use a full attack action to strike with a flurry of blows.
When using flurry of blows, a monk may attack only with unarmed strikes or with special monk weapons (kama, nunchaku, quarterstaff, sai, shuriken, and siangham). She may attack with unarmed strikes and special monk weapons interchangeably as desired. When using weapons as part of a flurry of blows, a monk applies her Strength bonus (not Str bonus × 1½ or ×½) to her damage rolls for all successful attacks, whether she wields a weapon in one or both hands. The monk can’t use any weapon other than a special monk weapon as part of a flurry of blows.
In the case of the quarterstaff, each end counts as a separate weapon for the purpose of using the flurry of blows ability. Even though the quarterstaff requires two hands to use, a monk may still intersperse unarmed strikes with quarterstaff strikes, assuming that she has enough attacks in her flurry of blows routine to do so.</t>
  </si>
  <si>
    <t>Unarmed Strike</t>
  </si>
  <si>
    <t>At 1st level, a monk gains Improved Unarmed Strike as a bonus feat. A monk’s attacks may be with either fist interchangeably or even from elbows, knees, and feet. This means that a monk may even make unarmed strikes with her hands full. There is no such thing as an off-hand attack for a monk striking unarmed. A monk may thus apply her full Strength bonus on damage rolls for all her unarmed strikes.
Usually a monk’s unarmed strikes deal lethal damage, but she can choose to deal nonlethal damage instead with no penalty on her attack roll. She has the same choice to deal lethal or nonlethal damage while grappling.
A monk’s unarmed strike is treated both as a manufactured weapon and a natural weapon for the purpose of spells and effects that enhance or improve either manufactured weapons or natural weapons.
A monk also deals more damage with her unarmed strikes than a normal person would, as shown on Table: The Monk. The unarmed damage on Table: The Monk is for Medium monks. A Small monk deals less damage than the amount given there with her unarmed attacks, while a Large monk deals more damage; see Table: Small or Large Monk Unarmed Damage.</t>
  </si>
  <si>
    <t>At 1st level, a monk may select either Improved Grapple or Stunning Fist as a bonus feat. A monk need not have any of the prerequisites normally required for these feats to select them.</t>
  </si>
  <si>
    <t>Stunning Fist DC:</t>
  </si>
  <si>
    <t>Stunning Fists per day</t>
  </si>
  <si>
    <t>Evasion</t>
  </si>
  <si>
    <t>At 2nd level or higher if a monk makes a successful Reflex saving throw against an attack that normally deals half damage on a successful save, she instead takes no damage. Evasion can be used only if a monk is wearing light armor or no armor. A helpless monk does not gain the benefit of evasion.</t>
  </si>
  <si>
    <t>Combat Reflexes</t>
  </si>
  <si>
    <t>At 2nd level, she may select either Combat Reflexes or Deflect Arrows as a bonus feat. A monk need not have any of the prerequisites normally required for these feats to select them.</t>
  </si>
  <si>
    <t>Deflect Arrows</t>
  </si>
  <si>
    <t>At 3rd level, a monk gains an enhancement bonus to her speed, as shown on Table: The Monk. A monk in armor or carrying a medium or heavy load loses this extra speed.</t>
  </si>
  <si>
    <t>A monk of 3rd level or higher gains a +2 bonus on saving throws against spells and effects from the school of enchantment.</t>
  </si>
  <si>
    <t>Ki Strike (Magic)</t>
  </si>
  <si>
    <t>At 4th level, a monk’s unarmed attacks are empowered with ki. Her unarmed attacks are treated as magic weapons for the purpose of dealing damage to creatures with damage reduction. Ki strike improves with the character’s monk level.</t>
  </si>
  <si>
    <t>Slow Fall</t>
  </si>
  <si>
    <t>At 4th level or higher, a monk within arm’s reach of a wall can use it to slow her descent. When first using this ability, she takes damage as if the fall were 20 feet shorter than it actually is. The monk’s ability to slow her fall (that is, to reduce the effective distance of the fall when next to a wall) improves with her monk level until at 20th level she can use a nearby wall to slow her descent and fall any distance without harm.</t>
  </si>
  <si>
    <t>Purity of Body</t>
  </si>
  <si>
    <t>At 5th level, a monk gains immunity to all diseases except for supernatural and magical diseases.</t>
  </si>
  <si>
    <t>At 6th level, she may select either Improved Disarm or Improved Trip as a bonus feat. A monk need not have any of the prerequisites normally required for these feats to select them.</t>
  </si>
  <si>
    <t>Wholeness of Body</t>
  </si>
  <si>
    <t>At 7th level or higher, a monk can heal her own wounds. She can heal a number of hit points of damage equal to twice her current monk level each day, and she can spread this healing out among several uses.</t>
  </si>
  <si>
    <t>Improved Evasion</t>
  </si>
  <si>
    <t>At 9th level, a monk’s evasion ability improves. She still takes no damage on a successful Reflex saving throw against attacks, but henceforth she takes only half damage on a failed save. A helpless monk does not gain the benefit of improved evasion.</t>
  </si>
  <si>
    <t>Ki Strike (Lawful)</t>
  </si>
  <si>
    <t>Ki strike improves with the character’s monk level. At 10th level, her unarmed attacks are also treated as lawful weapons for the purpose of dealing damage to creatures with damage reduction.</t>
  </si>
  <si>
    <t>Diamond Body</t>
  </si>
  <si>
    <t>At 11th level, a monk gains immunity to poisons of all kinds.</t>
  </si>
  <si>
    <t>Greater Flurry</t>
  </si>
  <si>
    <t>When a monk reaches 11th level, her flurry of blows ability improves. In addition to the standard single extra attack she gets from flurry of blows, she gets a second extra attack at her full base attack bonus.</t>
  </si>
  <si>
    <t>Abundant Step Range:</t>
  </si>
  <si>
    <t>At 12th level or higher, a monk can slip magically between spaces, as if using the spell dimension door, once per day. Her caster level for this effect is one-half her monk level (rounded down).</t>
  </si>
  <si>
    <t>Diamond Soul</t>
  </si>
  <si>
    <t>At 13th level, a monk gains spell resistance equal to her current monk level + 10. In order to affect the monk with a spell, a spellcaster must get a result on a caster level check (1d20 + caster level) that equals or exceeds the monk’s spell resistance.</t>
  </si>
  <si>
    <t>Quivering Palm DC:</t>
  </si>
  <si>
    <t>Starting at 15th level, a monk can set up vibrations within the body of another creature that can thereafter be fatal if the monk so desires. She can use this quivering palm attack once a week, and she must announce her intent before making her attack roll. Constructs, oozes, plants, undead, incorporeal creatures, and creatures immune to critical hits cannot be affected. Otherwise, if the monk strikes successfully and the target takes damage from the blow, the quivering palm attack succeeds. Thereafter the monk can try to slay the victim at any later time, as long as the attempt is made within a number of days equal to her monk level. To make such an attempt, the monk merely wills the target to die (a free action), and unless the target makes a Fortitude saving throw (DC 10 + ½ the monk’s level + the monk’s Wis modifier), it dies. If the saving throw is successful, the target is no longer in danger from that particular quivering palm attack, but it may still be affected by another one at a later time.</t>
  </si>
  <si>
    <t>Ki Strike (Adamantine)</t>
  </si>
  <si>
    <t>Ki strike improves with the character’s monk level. At 16th level, her unarmed attacks are treated as adamantine weapons for the purpose of dealing damage to creatures with damage reduction and bypassing hardness.</t>
  </si>
  <si>
    <t>Upon attaining 17th level, a monk no longer takes penalties to her ability scores for aging and cannot be magically aged. Any such penalties that she has already taken, however, remain in place. Bonuses still accrue, and the monk still dies of old age when her time is up.</t>
  </si>
  <si>
    <t>Tongue of the Sun and Moon</t>
  </si>
  <si>
    <t>A monk of 17th level or higher can speak with any living creature.</t>
  </si>
  <si>
    <t>Empty Body</t>
  </si>
  <si>
    <t>At 19th level, a monk gains the ability to assume an ethereal state for 1 round per monk level per day, as though using the spell etherealness. She may go ethereal on a number of different occasions during any single day, as long as the total number of rounds spent in an ethereal state does not exceed her monk level.</t>
  </si>
  <si>
    <t>Perfect Self</t>
  </si>
  <si>
    <t>DR 10/Magic</t>
  </si>
  <si>
    <t>At 20th level, a monk becomes a magical creature. She is forevermore treated as an outsider rather than as a humanoid (or whatever the monk’s creature type was) for the purpose of spells and magical effects. Additionally, the monk gains damage reduction 10/magic, which allows her to ignore the first 10 points of damage from any attack made by a nonmagical weapon or by any natural attack made by a creature that doesn’t have similar damage reduction. Unlike other outsiders, the monk can still be brought back from the dead as if she were a member of her previous creature type.</t>
  </si>
  <si>
    <t>Paladins are proficient with all simple and martial weapons, with all types of armor (heavy, medium, and light), and with shields (except tower shields).</t>
  </si>
  <si>
    <t>Aura of Good</t>
  </si>
  <si>
    <t>The power of a paladin’s aura of good (see the detect good spell) is equal to her paladin level.</t>
  </si>
  <si>
    <t>Detect Evil Duration:</t>
  </si>
  <si>
    <t>At will, a paladin can use detect evil, as the spell.</t>
  </si>
  <si>
    <t>Smite Evils per day</t>
  </si>
  <si>
    <t>Once per day, a paladin may attempt to smite evil with one normal melee attack. She adds her Charisma bonus (if any) to her attack roll and deals 1 extra point of damage per paladin level. If the paladin accidentally smites a creature that is not evil, the smite has no effect, but the ability is still used up for that day.
At 5th level, and at every five levels thereafter, the paladin may smite evil one additional time per day, as indicated on Table: The Paladin, to a maximum of five times per day at 20th level.</t>
  </si>
  <si>
    <t>At 2nd level, a paladin gains a bonus equal to her Charisma bonus (if any) on all saving throws.</t>
  </si>
  <si>
    <t>Lay on Hands</t>
  </si>
  <si>
    <t>Beginning at 2nd level, a paladin with a Charisma score of 12 or higher can heal wounds (her own or those of others) by touch. Each day she can heal a total number of hit points of damage equal to her paladin level × her Charisma bonus. A paladin may choose to divide her healing among multiple recipients, and she doesn’t have to use it all at once. Using lay on hands is a standard action.
Alternatively, a paladin can use any or all of this healing power to deal damage to undead creatures. Using lay on hands in this way requires a successful melee touch attack and doesn’t provoke an attack of opportunity. The paladin decides how many of her daily allotment of points to use as damage after successfully touching an undead creature.</t>
  </si>
  <si>
    <t>Aura of Courage</t>
  </si>
  <si>
    <t>Beginning at 3rd level, a paladin is immune to fear (magical or otherwise). Each ally within 10 feet of her gains a +4 morale bonus on saving throws against fear effects.
This ability functions while the paladin is conscious, but not if she is unconscious or dead.</t>
  </si>
  <si>
    <t>Divine Health</t>
  </si>
  <si>
    <t>At 3rd level, a paladin gains immunity to all diseases, including supernatural and magical diseases.</t>
  </si>
  <si>
    <t>When a paladin reaches 4th level, she gains the supernatural ability to turn undead. She may use this ability a number of times per day equal to 3 + her Charisma modifier. She turns undead as a cleric of three levels lower would.</t>
  </si>
  <si>
    <t>Beginning at 4th level, a paladin gains the ability to cast a small number of divine spells, which are drawn from the paladin spell list. A paladin must choose and prepare her spells in advance.
To prepare or cast a spell, a paladin must have a Wisdom score equal to at least 10 + the spell level. The Difficulty Class for a saving throw against a paladin’s spell is 10 + the spell level + the paladin’s Wisdom modifier.
Like other spellcasters, a paladin can cast only a certain number of spells of each spell level per day. Her base daily spell allotment is given on Table: The Paladin. In addition, she receives bonus spells per day if she has a high Wisdom score. When Table: The Paladin indicates that the paladin gets 0 spells per day of a given spell level, she gains only the bonus spells she would be entitled to based on her Wisdom score for that spell level The paladin does not have access to any domain spells or granted powers, as a cleric does.
A paladin prepares and casts spells the way a cleric does, though she cannot lose a prepared spell to spontaneously cast a cure spell in its place. A paladin may prepare and cast any spell on the paladin spell list, provided that she can cast spells of that level, but she must choose which spells to prepare during her daily meditation.
Through 3rd level, a paladin has no caster level. At 4th level and higher, her caster level is one-half her paladin level.</t>
  </si>
  <si>
    <t>Special Mount</t>
  </si>
  <si>
    <t>Upon reaching 5th level, a paladin gains the service of an unusually intelligent, strong, and loyal steed to serve her in her crusade against evil. This mount is usually a heavy warhorse (for a Medium paladin) or a warpony (for a Small paladin).
Once per day, as a full-round action, a paladin may magically call her mount from the celestial realms in which it resides. This ability is the equivalent of a spell of a level equal to one-third the paladin’s level. The mount immediately appears adjacent to the paladin and remains for 2 hours per paladin level; it may be dismissed at any time as a free action. The mount is the same creature each time it is summoned, though the paladin may release a particular mount from service.
Each time the mount is called, it appears in full health, regardless of any damage it may have taken previously. The mount also appears wearing or carrying any gear it had when it was last dismissed. Calling a mount is a conjuration (calling) effect.
Should the paladin’s mount die, it immediately disappears, leaving behind any equipment it was carrying. The paladin may not summon another mount for thirty days or until she gains a paladin level, whichever comes first, even if the mount is somehow returned from the dead. During this thirty-day period, the paladin takes a -1 penalty on attack and weapon damage rolls.</t>
  </si>
  <si>
    <t>Remove Disease</t>
  </si>
  <si>
    <t>At 6th level, a paladin can produce a remove disease effect, as the spell, once per week. She can use this ability one additional time per week for every three levels after 6th (twice per week at 9th, three times at 12th, and so forth).</t>
  </si>
  <si>
    <t>Code of Conduct</t>
  </si>
  <si>
    <t>A paladin must be of lawful good alignment and loses all class abilities if she ever willingly commits an evil act.
Additionally, a paladin’s code requires that she respect legitimate authority, act with honor (not lying, not cheating, not using poison, and so forth), help those in need (provided they do not use the help for evil or chaotic ends), and punish those who harm or threaten innocents.</t>
  </si>
  <si>
    <t>Associates</t>
  </si>
  <si>
    <t>While she may adventure with characters of any good or neutral alignment, a paladin will never knowingly associate with evil characters, nor will she continue an association with someone who consistently offends her moral code. A paladin may accept only henchmen, followers, or cohorts who are lawful good.</t>
  </si>
  <si>
    <t>A ranger is proficient with all simple and martial weapons, and with light armor and shields (except tower shields).</t>
  </si>
  <si>
    <t>Favored Enemy 1</t>
  </si>
  <si>
    <t>[Favored Enemy 1]</t>
  </si>
  <si>
    <t>At 1st level, a ranger may select a type of creature from among those given on Table: Ranger Favored Enemies. The ranger gains a +2 bonus on Bluff, Listen, Sense Motive, Spot, and Survival checks when using these skills against creatures of this type. Likewise, he gets a +2 bonus on weapon damage rolls against such creatures.
At 5th level and every five levels thereafter (10th, 15th, and 20th level), the ranger may select an additional favored enemy from those given on the table. In addition, at each such interval, the bonus against any one favored enemy (including the one just selected, if so desired) increases by 2.
If the ranger chooses humanoids or outsiders as a favored enemy, he must also choose an associated subtype, as indicated on the table. If a specific creature falls into more than one category of favored enemy, the ranger’s bonuses do not stack; he simply uses whichever bonus is higher.</t>
  </si>
  <si>
    <t>Track</t>
  </si>
  <si>
    <t>A ranger gains Track as a bonus feat.</t>
  </si>
  <si>
    <t>A ranger can improve the attitude of an animal. This ability functions just like a Diplomacy check to improve the attitude of a person. The ranger rolls 1d20 and adds his ranger level and his Charisma modifier to determine the wild empathy check result. The typical domestic animal has a starting attitude of indifferent, while wild animals are usually unfriendly.
To use wild empathy, the ranger and the animal must be able to study each other, which means that they must be within 30 feet of one another under normal visibility conditions. Generally, influencing an animal in this way takes 1 minute, but, as with influencing people, it might take more or less time.
The ranger can also use this ability to influence a magical beast with an Intelligence score of 1 or 2, but he takes a -4 penalty on the check.</t>
  </si>
  <si>
    <t>Combat Style (Archery)</t>
  </si>
  <si>
    <t>At 2nd level, a ranger must select one of two combat styles to pursue: archery or two-weapon combat. This choice affects the character’s class features but does not restrict his selection of feats or special abilities in any way.
If the ranger selects archery, he is treated as having the Rapid Shot feat, even if he does not have the normal prerequisites for that feat.
If the ranger selects two-weapon combat, he is treated as having the Two-Weapon Fighting feat, even if he does not have the normal prerequisites for that feat.
The benefits of the ranger’s chosen style apply only when he wears light or no armor. He loses all benefits of his combat style when wearing medium or heavy armor.</t>
  </si>
  <si>
    <t>Combat Style (Two-Weapon Combat)</t>
  </si>
  <si>
    <t>Endurance</t>
  </si>
  <si>
    <t>A ranger gains Endurance as a bonus feat at 3rd level.</t>
  </si>
  <si>
    <t>At 4th level, a ranger gains an animal companion selected from the following list: badger, camel, dire rat, dog, riding dog, eagle, hawk, horse (light or heavy), owl, pony, snake (Small or Medium viper), or wolf. If the campaign takes place wholly or partly in an aquatic environment, the following creatures may be added to the ranger’s list of options: manta ray, porpoise, Medium shark, and squid. This animal is a loyal companion that accompanies the ranger on his adventures as appropriate for its kind.
This ability functions like the druid ability of the same name, except that the ranger’s effective druid level is one-half his ranger level. A ranger may select from the alternative lists of animal companions just as a druid can, though again his effective druid level is half his ranger level. Like a druid, a ranger cannot select an alternative animal if the choice would reduce his effective druid level below 1st.</t>
  </si>
  <si>
    <t>Beginning at 4th level, a ranger gains the ability to cast a small number of divine spells, which are drawn from the ranger spell list. A ranger must choose and prepare his spells in advance (see below).
To prepare or cast a spell, a ranger must have a Wisdom score equal to at least 10 + the spell level. The Difficulty Class for a saving throw against a ranger’s spell is 10 + the spell level + the ranger’s Wisdom modifier.
Like other spellcasters, a ranger can cast only a certain number of spells of each spell level per day. His base daily spell allotment is given on Table: The Ranger. In addition, he receives bonus spells per day if he has a high Wisdom score. When Table: The Ranger indicates that the ranger gets 0 spells per day of a given spell level, he gains only the bonus spells he would be entitled to based on his Wisdom score for that spell level. The ranger does not have access to any domain spells or granted powers, as a cleric does.
A ranger prepares and casts spells the way a cleric does, though he cannot lose a prepared spell to cast a cure spell in its place. A ranger may prepare and cast any spell on the ranger spell list, provided that he can cast spells of that level, but he must choose which spells to prepare during his daily meditation.
Through 3rd level, a ranger has no caster level. At 4th level and higher, his caster level is one-half his ranger level.</t>
  </si>
  <si>
    <t>Favored Enemy 2</t>
  </si>
  <si>
    <t>[Favored Enemy 2]</t>
  </si>
  <si>
    <t>Improved Combat Style (Archery)</t>
  </si>
  <si>
    <t>At 6th level, a ranger’s aptitude in his chosen combat style (archery or two-weapon combat) improves. If he selected archery at 2nd level, he is treated as having the Manyshot feat, even if he does not have the normal prerequisites for that feat.
If the ranger selected two-weapon combat at 2nd level, he is treated as having the Improved Two-Weapon Fighting feat, even if he does not have the normal prerequisites for that feat.
As before, the benefits of the ranger’s chosen style apply only when he wears light or no armor. He loses all benefits of his combat style when wearing medium or heavy armor.</t>
  </si>
  <si>
    <t>Improved Combat Style (Two-Weapon Combat)</t>
  </si>
  <si>
    <t>Starting at 7th level, a ranger may move through any sort of undergrowth (such as natural thorns, briars, overgrown areas, and similar terrain) at his normal speed and without taking damage or suffering any other impairment.
However, thorns, briars, and overgrown areas that are enchanted or magically manipulated to impede motion still affect him.</t>
  </si>
  <si>
    <t>Swift Tracker</t>
  </si>
  <si>
    <t>Beginning at 8th level, a ranger can move at his normal speed while following tracks without taking the normal -5 penalty. He takes only a -10 penalty (instead of the normal -20) when moving at up to twice normal speed while tracking.</t>
  </si>
  <si>
    <t>At 9th level, a ranger can avoid even magical and unusual attacks with great agility. If he makes a successful Reflex saving throw against an attack that normally deals half damage on a successful save, he instead takes no damage. Evasion can be used only if the ranger is wearing light armor or no armor. A helpless ranger does not gain the benefit of evasion.</t>
  </si>
  <si>
    <t>Favored Enemy 3</t>
  </si>
  <si>
    <t>[Favored Enemy 3]</t>
  </si>
  <si>
    <t>Combat Style Mastery (Archery)</t>
  </si>
  <si>
    <t>At 11th level, a ranger’s aptitude in his chosen combat style (archery or two-weapon combat) improves again. If he selected archery at 2nd level, he is treated as having the Improved Precise Shot feat, even if he does not have the normal prerequisites for that feat.
If the ranger selected two-weapon combat at 2nd level, he is treated as having the Greater Two-Weapon Fighting feat, even if he does not have the normal prerequisites for that feat.
As before, the benefits of the ranger’s chosen style apply only when he wears light or no armor. He loses all benefits of his combat style when wearing medium or heavy armor.</t>
  </si>
  <si>
    <t>Combat Style Mastery(Two-Weapon Combat)</t>
  </si>
  <si>
    <t>Camoflauge</t>
  </si>
  <si>
    <t>A ranger of 13th level or higher can use the Hide skill in any sort of natural terrain, even if the terrain doesn’t grant cover or concealment.</t>
  </si>
  <si>
    <t>Favored Enemy 4</t>
  </si>
  <si>
    <t>[Favored Enemy 4]</t>
  </si>
  <si>
    <t>Hide in Plain Sight</t>
  </si>
  <si>
    <t>While in any sort of natural terrain, a ranger of 17th level or higher can use the Hide skill even while being observed.</t>
  </si>
  <si>
    <t>Favored Enemy 5</t>
  </si>
  <si>
    <t>[Favored Enemy 5]</t>
  </si>
  <si>
    <t>Rogues are proficient with all simple weapons, plus the hand crossbow, rapier, sap, shortbow, and short sword. Rogues are proficient with light armor, but not with shields.</t>
  </si>
  <si>
    <t>If a rogue can catch an opponent when he is unable to defend himself effectively from her attack, she can strike a vital spot for extra damage.
The rogue’s attack deals extra damage any time her target would be denied a Dexterity bonus to AC (whether the target actually has a Dexterity bonus or not), or when the rogue flanks her target. This extra damage is 1d6 at 1st level, and it increases by 1d6 every two rogue levels thereafter. Should the rogue score a critical hit with a sneak attack, this extra damage is not multiplied.
Ranged attacks can count as sneak attacks only if the target is within 30 feet.
With a sap (blackjack) or an unarmed strike, a rogue can make a sneak attack that deals nonlethal damage instead of lethal damage. She cannot use a weapon that deals lethal damage to deal nonlethal damage in a sneak attack, not even with the usual -4 penalty.
A rogue can sneak attack only living creatures with discernible anatomies—undead, constructs, oozes, plants, and incorporeal creatures lack vital areas to attack. Any creature that is immune to critical hits is not vulnerable to sneak attacks. The rogue must be able to see the target well enough to pick out a vital spot and must be able to reach such a spot. A rogue cannot sneak attack while striking a creature with concealment or striking the limbs of a creature whose vitals are beyond reach.</t>
  </si>
  <si>
    <t>Trapfinding</t>
  </si>
  <si>
    <t>Rogues (and only rogues) can use the Search skill to locate traps when the task has a Difficulty Class higher than 20.
Finding a nonmagical trap has a DC of at least 20, or higher if it is well hidden. Finding a magic trap has a DC of 25 + the level of the spell used to create it.
Rogues (and only rogues) can use the Disable Device skill to disarm magic traps. A magic trap generally has a DC of 25 + the level of the spell used to create it.
A rogue who beats a trap’s DC by 10 or more with a Disable Device check can study a trap, figure out how it works, and bypass it (with her party) without disarming it.</t>
  </si>
  <si>
    <t>At 2nd level and higher, a rogue can avoid even magical and unusual attacks with great agility. If she makes a successful Reflex saving throw against an attack that normally deals half damage on a successful save, she instead takes no damage. Evasion can be used only if the rogue is wearing light armor or no armor. A helpless rogue does not gain the benefit of evasion.</t>
  </si>
  <si>
    <t>At 3rd level, a rogue gains an intuitive sense that alerts her to danger from traps, giving her a +1 bonus on Reflex saves made to avoid traps and a +1 dodge bonus to AC against attacks made by traps. These bonuses rise to +2 when the rogue reaches 6th level, to +3 when she reaches 9th level, to +4 when she reaches 12th level, to +5 at 15th, and to +6 at 18th level.
Trap sense bonuses gained from multiple classes stack.</t>
  </si>
  <si>
    <t>Starting at 4th level, a rogue can react to danger before her senses would normally allow her to do so. She retains her Dexterity bonus to AC (if any) even if she is caught flat-footed or struck by an invisible attacker. However, she still loses her Dexterity bonus to AC if immobilized.
If a rogue already has uncanny dodge from a different class she automatically gains improved uncanny dodge instead.</t>
  </si>
  <si>
    <t>A rogue of 8th level or higher can no longer be flanked.
This defense denies another rogue the ability to sneak attack the character by flanking her, unless the attacker has at least four more rogue levels than the target does.
If a character already has uncanny dodge from a second class, the character automatically gains improved uncanny dodge instead, and the levels from the classes that grant uncanny dodge stack to determine the minimum rogue level required to flank the character.</t>
  </si>
  <si>
    <t>Crippling Strike</t>
  </si>
  <si>
    <t>On attaining 10th level, and at every three levels thereafter (13th, 16th, and 19th), a rogue gains a special ability of her choice from among the following options. A rogue with this ability can sneak attack opponents with such precision that her blows weaken and hamper them. An opponent damaged by one of her sneak attacks also takes 2 points of Strength damage. Ability points lost to damage return on their own at the rate of 1 point per day for each damaged ability.</t>
  </si>
  <si>
    <t>Defensive Roll</t>
  </si>
  <si>
    <t>On attaining 10th level, and at every three levels thereafter (13th, 16th, and 19th), a rogue gains a special ability of her choice from among the following options. The rogue can roll with a potentially lethal blow to take less damage from it than she otherwise would. Once per day, when she would be reduced to 0 or fewer hit points by damage in combat (from a weapon or other blow, not a spell or special ability), the rogue can attempt to roll with the damage. To use this ability, the rogue must attempt a Reflex saving throw (DC = damage dealt). If the save succeeds, she takes only half damage from the blow; if it fails, she takes full damage. She must be aware of the attack and able to react to it in order to execute her defensive roll—if she is denied her Dexterity bonus to AC, she can’t use this ability. Since this effect would not normally allow a character to make a Reflex save for half damage, the rogue’s evasion ability does not apply to the defensive roll.</t>
  </si>
  <si>
    <t>On attaining 10th level, and at every three levels thereafter (13th, 16th, and 19th), a rogue gains a special ability of her choice from among the following options. This ability works like evasion, except that while the rogue still takes no damage on a successful Reflex saving throw against attacks henceforth she takes only half damage on a failed save. A helpless rogue does not gain the benefit of improved evasion.</t>
  </si>
  <si>
    <t>Opportunnist</t>
  </si>
  <si>
    <t>On attaining 10th level, and at every three levels thereafter (13th, 16th, and 19th), a rogue gains a special ability of her choice from among the following options. Once per round, the rogue can make an attack of opportunity against an opponent who has just been struck for damage in melee by another character. This attack counts as the rogue’s attack of opportunity for that round. Even a rogue with the Combat Reflexes feat can’t use the opportunist ability more than once per round.</t>
  </si>
  <si>
    <t>Skill Mastery</t>
  </si>
  <si>
    <t>On attaining 10th level, and at every three levels thereafter (13th, 16th, and 19th), a rogue gains a special ability of her choice from among the following options. The rogue becomes so certain in the use of certain skills that she can use them reliably even under adverse conditions.
Upon gaining this ability, she selects a number of skills equal to 3 + her Intelligence modifier. When making a skill check with one of these skills, she may take 10 even if stress and distractions would normally prevent her from doing so. A rogue may gain this special ability multiple times, selecting additional skills for it to apply to each time.</t>
  </si>
  <si>
    <t>Slippery Mind</t>
  </si>
  <si>
    <t>On attaining 10th level, and at every three levels thereafter (13th, 16th, and 19th), a rogue gains a special ability of her choice from among the following options. This ability represents the rogue’s ability to wriggle free from magical effects that would otherwise control or compel her. If a rogue with slippery mind is affected by an enchantment spell or effect and fails her saving throw, she can attempt it again 1 round later at the same DC. She gets only this one extra chance to succeed on her saving throw.</t>
  </si>
  <si>
    <t>Bonus Feat</t>
  </si>
  <si>
    <t>On attaining 10th level, and at every three levels thereafter (13th, 16th, and 19th), a rogue gains a special ability of her choice from among the following options. A rogue may gain a bonus feat in place of a special ability.</t>
  </si>
  <si>
    <t>Sorcerers are proficient with all simple weapons. They are not proficient with any type of armor or shield. Armor of any type interferes with a sorcerer’s gestures, which can cause his spells with somatic components to fail.</t>
  </si>
  <si>
    <t>A sorcerer casts arcane spells which are drawn primarily from the sorcerer/wizard spell list. He can cast any spell he knows without preparing it ahead of time, the way a wizard or a cleric must.
To learn or cast a spell, a sorcerer must have a Charisma score equal to at least 10 + the spell level. The Difficulty Class for a saving throw against a sorcerer’s spell is 10 + the spell level + the sorcerer’s Charisma modifier.
Like other spellcasters, a sorcerer can cast only a certain number of spells of each spell level per day. His base daily spell allotment is given on Table: The Sorcerer. In addition, he receives bonus spells per day if he has a high Charisma score.
A sorcerer’s selection of spells is extremely limited. A sorcerer begins play knowing four 0-level spells and two 1st-level spells of your choice. At each new sorcerer level, he gains one or more new spells, as indicated on Table: Sorcerer Spells Known. (Unlike spells per day, the number of spells a sorcerer knows is not affected by his Charisma score; the numbers on Table: Sorcerer Spells Known are fixed.) These new spells can be common spells chosen from the sorcerer/wizard spell list, or they can be unusual spells that the sorcerer has gained some understanding of by study. The sorcerer can’t use this method of spell acquisition to learn spells at a faster rate, however.
Upon reaching 4th level, and at every even-numbered sorcerer level after that (6th, 8th, and so on), a sorcerer can choose to learn a new spell in place of one he already knows. In effect, the sorcerer "loses" the old spell in exchange for the new one. The new spell’s level must be the same as that of the spell being exchanged, and it must be at least two levels lower than the highest-level sorcerer spell the sorcerer can cast. A sorcerer may swap only a single spell at any given level, and must choose whether or not to swap the spell at the same time that he gains new spells known for the level.
Unlike a wizard or a cleric, a sorcerer need not prepare his spells in advance. He can cast any spell he knows at any time, assuming he has not yet used up his spells per day for that spell level. He does not have to decide ahead of time which spells he’ll cast.</t>
  </si>
  <si>
    <t>Familiar</t>
  </si>
  <si>
    <t>A sorcerer can obtain a familiar. Doing so takes 24 hours and uses up magical materials that cost 100 gp. A familiar is a magical beast that resembles a small animal and is unusually tough and intelligent. The creature serves as a companion and servant.
The sorcerer chooses the kind of familiar he gets. As the sorcerer advances in level, his familiar also increases in power.
If the familiar dies or is dismissed by the sorcerer, the sorcerer must attempt a DC 15 Fortitude saving throw. Failure means he loses 200 experience points per sorcerer level; success reduces the loss to one-half that amount. However, a sorcerer’s experience point total can never go below 0 as the result of a familiar’s demise or dismissal. A slain or dismissed familiar cannot be replaced for a year and day. A slain familiar can be raised from the dead just as a character can be, and it does not lose a level or a Constitution point when this happy event occurs.
A character with more than one class that grants a familiar may have only one familiar at a time.</t>
  </si>
  <si>
    <t>A wizard casts arcane spells which are drawn from the sorcerer/wizard spell list. A wizard must choose and prepare her spells ahead of time (see below).
To learn, prepare, or cast a spell, the wizard must have an Intelligence score equal to at least 10 + the spell level. The Difficulty Class for a saving throw against a wizard’s spell is 10 + the spell level + the wizard’s Intelligence modifier.
Like other spellcasters, a wizard can cast only a certain number of spells of each spell level per day. Her base daily spell allotment is given on Table: The Wizard. In addition, she receives bonus spells per day if she has a high Intelligence score.
Unlike a bard or sorcerer, a wizard may know any number of spells. She must choose and prepare her spells ahead of time by getting a good night’s sleep and spending 1 hour studying her spellbook. While studying, the wizard decides which spells to prepare.</t>
  </si>
  <si>
    <t>A wizard may substitute Draconic for one of the bonus languages available to the character because of her race.</t>
  </si>
  <si>
    <t>A wizard can obtain a familiar in exactly the same manner as a sorcerer can.
A sorcerer can obtain a familiar. Doing so takes 24 hours and uses up magical materials that cost 100 gp. A familiar is a magical beast that resembles a small animal and is unusually tough and intelligent. The creature serves as a companion and servant.
The sorcerer chooses the kind of familiar he gets. As the sorcerer advances in level, his familiar also increases in power.
If the familiar dies or is dismissed by the sorcerer, the sorcerer must attempt a DC 15 Fortitude saving throw. Failure means he loses 200 experience points per sorcerer level; success reduces the loss to one-half that amount. However, a sorcerer’s experience point total can never go below 0 as the result of a familiar’s demise or dismissal. A slain or dismissed familiar cannot be replaced for a year and day. A slain familiar can be raised from the dead just as a character can be, and it does not lose a level or a Constitution point when this happy event occurs.
A character with more than one class that grants a familiar may have only one familiar at a time.</t>
  </si>
  <si>
    <t>Scribe Scroll</t>
  </si>
  <si>
    <t>At 1st level, a wizard gains Scribe Scroll as a bonus feat.</t>
  </si>
  <si>
    <t>Bonus Feats</t>
  </si>
  <si>
    <t>At 5th, 10th, 15th, and 20th level, a wizard gains a bonus feat. At each such opportunity, she can choose a metamagic feat, an item creation feat, or Spell Mastery. The wizard must still meet all prerequisites for a bonus feat, including caster level minimums.
These bonus feats are in addition to the feat that a character of any class gets from advancing levels. The wizard is not limited to the categories of item creation feats, metamagic feats, or Spell Mastery when choosing these feats.</t>
  </si>
  <si>
    <t>Spellbooks</t>
  </si>
  <si>
    <t>A wizard must study her spellbook each day to prepare her spells. She cannot prepare any spell not recorded in her spellbook, except for read magic, which all wizards can prepare from memory.
A wizard begins play with a spellbook containing all 0-level wizard spells (except those from her prohibited school or schools, if any; see School Specialization, below) plus three 1st-level spells of your choice. For each point of Intelligence bonus the wizard has, the spellbook holds one additional 1st-level spell of your choice. At each new wizard level, she gains two new spells of any spell level or levels that she can cast (based on her new wizard level) for her spellbook. At any time, a wizard can also add spells found in other wizards’ spellbooks to her own.</t>
  </si>
  <si>
    <t>School Specialization</t>
  </si>
  <si>
    <t>A school is one of eight groupings of spells, each defined by a common theme. If desired, a wizard may specialize in one school of magic (see below). Specialization allows a wizard to cast extra spells from her chosen school, but she then never learns to cast spells from some other schools.
A specialist wizard can prepare one additional spell of her specialty school per spell level each day. She also gains a +2 bonus on Spellcraft checks to learn the spells of her chosen school.
The wizard must choose whether to specialize and, if she does so, choose her specialty at 1st level. At this time, she must also give up two other schools of magic (unless she chooses to specialize in divination; see below), which become her prohibited schools.
A wizard can never give up divination to fulfill this requirement.
Spells of the prohibited school or schools are not available to the wizard, and she can’t even cast such spells from scrolls or fire them from wands. She may not change either her specialization or her prohibited schools later.
The eight schools of arcane magic are abjuration, conjuration, divination, enchantment, evocation, illusion, necromancy, and transmutation.
Spells that do not fall into any of these schools are called universal spells.</t>
  </si>
  <si>
    <t>Acrobatic</t>
  </si>
  <si>
    <t>You get a +2 bonus on all Jump checks and Tumble checks.</t>
  </si>
  <si>
    <t>Agile</t>
  </si>
  <si>
    <t>You get a +2 bonus on all Balance checks and Escape Artist checks.</t>
  </si>
  <si>
    <t>Alertness</t>
  </si>
  <si>
    <t>You get a +2 bonus on all Listen checks and Spot checks.
The master of a familiar gains the benefit of the Alertness feat whenever the familiar is within arm’s reach.</t>
  </si>
  <si>
    <t>Animal Affinity</t>
  </si>
  <si>
    <t>You get a +2 bonus on all Handle Animal checks and Ride checks.</t>
  </si>
  <si>
    <t>Armor Proficiency (Light)</t>
  </si>
  <si>
    <t>When you wear a type of armor with which you are proficient, the armor check penalty for that armor applies only to Balance, Climb, Escape Artist, Hide, Jump, Move Silently, Sleight of Hand, and Tumble checks.
A character who is wearing armor with which she is not proficient applies its armor check penalty to attack rolls and to all skill checks that involve moving, including Ride.
All characters except wizards, sorcerers, and monks automatically have Armor Proficiency (light) as a bonus feat. They need not select it.</t>
  </si>
  <si>
    <t>Armor Proficiency (Medium)</t>
  </si>
  <si>
    <t>When you wear a type of armor with which you are proficient, the armor check penalty for that armor applies only to Balance, Climb, Escape Artist, Hide, Jump, Move Silently, Sleight of Hand, and Tumble checks.
A character who is wearing armor with which she is not proficient applies its armor check penalty to attack rolls and to all skill checks that involve moving, including Ride.
Fighters, barbarians, paladins, clerics, druids, and bards automatically have Armor Proficiency (medium) as a bonus feat. They need not select it.</t>
  </si>
  <si>
    <t>Armor Proficiency (Heavy)</t>
  </si>
  <si>
    <t>When you wear a type of armor with which you are proficient, the armor check penalty for that armor applies only to Balance, Climb, Escape Artist, Hide, Jump, Move Silently, Sleight of Hand, and Tumble checks.
A character who is wearing armor with which she is not proficient applies its armor check penalty to attack rolls and to all skill checks that involve moving, including Ride.
Fighters, paladins, and clerics automatically have Armor Proficiency (heavy) as a bonus feat. They need not select it.</t>
  </si>
  <si>
    <t>Athletic</t>
  </si>
  <si>
    <t>You get a +2 bonus on all Climb checks and Swim checks.</t>
  </si>
  <si>
    <t>Augment Summoning</t>
  </si>
  <si>
    <t>Each creature you conjure with any summon spell gains a +4 enhancement bonus to Strength and Constitution for the duration of the spell that summoned it.</t>
  </si>
  <si>
    <t>Blind Fight</t>
  </si>
  <si>
    <t>In melee, every time you miss because of concealment, you can reroll your miss chance percentile roll one time to see if you actually hit.
An invisible attacker gets no advantages related to hitting you in melee. That is, you don’t lose your Dexterity bonus to Armor Class, and the attacker doesn’t get the usual +2 bonus for being invisible. The invisible attacker’s bonuses do still apply for ranged attacks, however.
You take only half the usual penalty to speed for being unable to see. Darkness and poor visibility in general reduces your speed to three-quarters normal, instead of one-half.
The Blind-Fight feat is of no use against a character who is the subject of a blink spell.</t>
  </si>
  <si>
    <t>Brew Potion</t>
  </si>
  <si>
    <t>You can create a potion of any 3rd-level or lower spell that you know and that targets one or more creatures. Brewing a potion takes one day. When you create a potion, you set the caster level, which must be sufficient to cast the spell in question and no higher than your own level. The base price of a potion is its spell level × its caster level × 50 gp. To brew a potion, you must spend 1/25 of this base price in XP and use up raw materials costing one half this base price.
When you create a potion, you make any choices that you would normally make when casting the spell. Whoever drinks the potion is the target of the spell.
Any potion that stores a spell with a costly material component or an XP cost also carries a commensurate cost. In addition to the costs derived from the base price, you must expend the material component or pay the XP when creating the potion.</t>
  </si>
  <si>
    <t>Cleave</t>
  </si>
  <si>
    <t>If you deal a creature enough damage to make it drop (typically by dropping it to below 0 hit points or killing it), you get an immediate, extra melee attack against another creature within reach. You cannot take a 5-foot step before making this extra attack. The extra attack is with the same weapon and at the same bonus as the attack that dropped the previous creature. You can use this ability once per round.</t>
  </si>
  <si>
    <t>You get a +4 bonus on Concentration checks made to cast a spell or use a spell-like ability while on the defensive or while you are grappling or pinned.</t>
  </si>
  <si>
    <t>When you use the attack action or the full attack action in melee, you can take a penalty of as much as -5 on your attack roll and add the same number (+5 or less) as a dodge bonus to your Armor Class. This number may not exceed your base attack bonus. The changes to attack rolls and Armor Class last until your next action.</t>
  </si>
  <si>
    <t>You may make a number of additional attacks of opportunity equal to your Dexterity bonus.
With this feat, you may also make attacks of opportunity while flat-footed.</t>
  </si>
  <si>
    <t>Craft Magic Arms and Armor</t>
  </si>
  <si>
    <t>You can create any magic weapon, armor, or shield whose prerequisites you meet. Enhancing a weapon, suit of armor, or shield takes one day for each 1,000 gp in the price of its magical features. To enhance a weapon, suit of armor, or shield, you must spend 1/25 of its features’ total price in XP and use up raw materials costing one-half of this total price.
The weapon, armor, or shield to be enhanced must be a masterwork item that you provide. Its cost is not included in the above cost.
You can also mend a broken magic weapon, suit of armor, or shield if it is one that you could make. Doing so costs half the XP, half the raw materials, and half the time it would take to craft that item in the first place.</t>
  </si>
  <si>
    <t>Craft Rod</t>
  </si>
  <si>
    <t>You can create any rod whose prerequisites you meet. Crafting a rod takes one day for each 1,000 gp in its base price. To craft a rod, you must spend 1/25 of its base price in XP and use up raw materials costing one-half of its base price.
Some rods incur extra costs in material components or XP, as noted in their descriptions. These costs are in addition to those derived from the rod’s base price.</t>
  </si>
  <si>
    <t>Craft Staff</t>
  </si>
  <si>
    <t>You can create any staff whose prerequisites you meet.
Crafting a staff takes one day for each 1,000 gp in its base price. To craft a staff, you must spend 1/25 of its base price in XP and use up raw materials costing one-half of its base price. A newly created staff has 50 charges.
Some staffs incur extra costs in material components or XP, as noted in their descriptions. These costs are in addition to those derived from the staff’s base price.</t>
  </si>
  <si>
    <t>Craft Wand</t>
  </si>
  <si>
    <t>You can create a wand of any 4th-level or lower spell that you know. Crafting a wand takes one day for each 1,000 gp in its base price. The base price of a wand is its caster level × the spell level × 750 gp. To craft a wand, you must spend 1/25 of this base price in XP and use up raw materials costing one-half of this base price. A newly created wand has 50 charges.
Any wand that stores a spell with a costly material component or an XP cost also carries a commensurate cost. In addition to the cost derived from the base price, you must expend fifty copies of the material component or pay fifty times the XP cost.</t>
  </si>
  <si>
    <t>Craft Wondrous Item</t>
  </si>
  <si>
    <t>You can create any wondrous item whose prerequisites you meet. Enchanting a wondrous item takes one day for each 1,000 gp in its price. To enchant a wondrous item, you must spend 1/25 of the item’s price in XP and use up raw materials costing half of this price.
You can also mend a broken wondrous item if it is one that you could make. Doing so costs half the XP, half the raw materials, and half the time it would take to craft that item in the first place.
Some wondrous items incur extra costs in material components or XP, as noted in their descriptions. These costs are in addition to those derived from the item’s base price. You must pay such a cost to create an item or to mend a broken one.</t>
  </si>
  <si>
    <t>Deceitful</t>
  </si>
  <si>
    <t>You get a +2 bonus on all Disguise checks and Forgery checks.</t>
  </si>
  <si>
    <t>You must have at least one hand free (holding nothing) to use this feat. Once per round when you would normally be hit with a ranged weapon, you may deflect it so that you take no damage from it. You must be aware of the attack and not flat-footed.
Attempting to deflect a ranged weapon doesn’t count as an action. Unusually massive ranged weapons and ranged attacks generated by spell effects can’t be deflected.</t>
  </si>
  <si>
    <t>Deft Hands</t>
  </si>
  <si>
    <t>You get a +2 bonus on all Sleight of Hand checks and Use Rope checks.</t>
  </si>
  <si>
    <t>Diehard</t>
  </si>
  <si>
    <t>When reduced to between -1 and -9 hit points, you automatically become stable. You don’t have to roll d% to see if you lose 1 hit point each round.
When reduced to negative hit points, you may choose to act as if you were disabled, rather than dying. You must make this decision as soon as you are reduced to negative hit points (even if it isn’t your turn). If you do not choose to act as if you were disabled, you immediately fall unconscious.
When using this feat, you can take either a single move or standard action each turn, but not both, and you cannot take a full round action. You can take a move action without further injuring yourself, but if you perform any standard action (or any other action deemed as strenuous, including some free actions, swift actions, or immediate actions, such as casting a quickened spell) you take 1 point of damage after completing the act. If you reach -10 hit points, you immediately die.</t>
  </si>
  <si>
    <t>Diligent</t>
  </si>
  <si>
    <t>You get a +2 bonus on all Appraise checks and Decipher Script checks.</t>
  </si>
  <si>
    <t>During your action, you designate an opponent and receive a +1 dodge bonus to Armor Class against attacks from that opponent. You can select a new opponent on any action.
A condition that makes you lose your Dexterity bonus to Armor Class (if any) also makes you lose dodge bonuses. Also, dodge bonuses stack with each other, unlike most other types of bonuses.</t>
  </si>
  <si>
    <t>Empower Spell</t>
  </si>
  <si>
    <t>All variable, numeric effects of an empowered spell are increased by one-half.
Saving throws and opposed rolls are not affected, nor are spells without random variables. An empowered spell uses up a spell slot two levels higher than the spell’s actual level.</t>
  </si>
  <si>
    <t>You gain a +4 bonus on the following checks and saves: Swim checks made to resist nonlethal damage, Constitution checks made to continue running, Constitution checks made to avoid nonlethal damage from a forced march, Constitution checks made to hold your breath, Constitution checks made to avoid nonlethal damage from starvation or thirst, Fortitude saves made to avoid nonlethal damage from hot or cold environments, and Fortitude saves made to resist damage from suffocation. Also, you may sleep in light or medium armor without becoming fatigued.</t>
  </si>
  <si>
    <t>Enlarge Spell</t>
  </si>
  <si>
    <t>You can alter a spell with a range of close, medium, or long to increase its range by 100%. An enlarged spell with a range of close now has a range of 50 ft. + 5 ft./level, while medium-range spells have a range of 200 ft. + 20 ft./level and long-range spells have a range of 800 ft. + 80 ft./level. An enlarged spell uses up a spell slot one level higher than the spell’s actual level.
Spells whose ranges are not defined by distance, as well as spells whose ranges are not close, medium, or long, do not have increased ranges.</t>
  </si>
  <si>
    <t>Eschew Materials</t>
  </si>
  <si>
    <t>You can cast any spell that has a material component costing 1 gp or less without needing that component. (The casting of the spell still provokes attacks of opportunity as normal.) If the spell requires a material component that costs more than 1 gp, you must have the material component at hand to cast the spell, just as normal.</t>
  </si>
  <si>
    <t>Exotic Weapon Proficiency</t>
  </si>
  <si>
    <t>Choose a type of exotic weapon. You understand how to use that type of exotic weapon in combat. You make attack rolls with the weapon normally. You can gain Exotic Weapon Proficiency multiple times. Each time you take the feat, it applies to a new type of exotic weapon. Proficiency with the bastard sword or the dwarven waraxe has an additional prerequisite of Str 13.</t>
  </si>
  <si>
    <t>Extend Spell</t>
  </si>
  <si>
    <t>An extended spell lasts twice as long as normal. A spell with a duration of concentration, instantaneous, or permanent is not affected by this feat. An extended spell uses up a spell slot one level higher than the spell’s actual level.</t>
  </si>
  <si>
    <t>Extra Turning</t>
  </si>
  <si>
    <t>Each time you take this feat, you can use your ability to turn or rebuke creatures four more times per day than normal.
If you have the ability to turn or rebuke more than one kind of creature each of your turning or rebuking abilities gains four additional uses per day.</t>
  </si>
  <si>
    <t>Far Shot</t>
  </si>
  <si>
    <t>When you use a projectile weapon, such as a bow, its range increment increases by one-half (multiply by 1½). When you use a thrown weapon, its range increment is doubled.</t>
  </si>
  <si>
    <t>Forge Ring</t>
  </si>
  <si>
    <t>You can create any ring whose prerequisites you meet. Crafting a ring takes one day for each 1,000 gp in its base price. To craft a ring, you must spend 1/25 of its base price in XP and use up raw materials costing one-half of its base price.
You can also mend a broken ring if it is one that you could make. Doing so costs half the XP, half the raw materials, and half the time it would take to forge that ring in the first place.
Some magic rings incur extra costs in material components or XP, as noted in their descriptions. You must pay such a cost to forge such a ring or to mend a broken one.</t>
  </si>
  <si>
    <t>Great Cleave</t>
  </si>
  <si>
    <t>This feat works like Cleave, except that there is no limit to the number of times you can use it per round.</t>
  </si>
  <si>
    <t>You get a +2 bonus on all Fortitude saving throws.</t>
  </si>
  <si>
    <t>Greater Spell Focus</t>
  </si>
  <si>
    <t xml:space="preserve">Choose a school of magic to which you already have applied the Spell Focus feat. Add +1 to the Difficulty Class for all saving throws against spells from the school of magic you select. This bonus stacks with the bonus from Spell Focus. You can gain this feat multiple times. Its effects do not stack. Each time you take the feat, it applies to a new school of magic to which you already have applied the Spell Focus feat. </t>
  </si>
  <si>
    <t>Greater Spell Penetration</t>
  </si>
  <si>
    <t>You get a +2 bonus on caster level checks (1d20 + caster level) made to overcome a creature’s spell resistance. This bonus stacks with the one from Spell Penetration.</t>
  </si>
  <si>
    <t>Greater Two-Weapon Fighting</t>
  </si>
  <si>
    <t>You get a third attack with your off-hand weapon, albeit at a -10 penalty. See the Two-Weapon Fighting special attack.</t>
  </si>
  <si>
    <t>Greater Weapon Focus</t>
  </si>
  <si>
    <t>Choose one type of weapon for which you have already selected Weapon Focus. You can also choose unarmed strike or grapple as your weapon for purposes of this feat. You gain a +1 bonus on all attack rolls you make using the selected weapon. This bonus stacks with other bonuses on attack rolls, including the one from Weapon Focus (see below).</t>
  </si>
  <si>
    <t>Greater Weapon Specialization</t>
  </si>
  <si>
    <t xml:space="preserve">Choose one type of weapon for which you have already selected Weapon Specialization. You can also choose unarmed strike or grapple as your weapon for purposes of this feat. You gain a +2 bonus on all damage rolls you make using the selected weapon. This bonus stacks with other bonuses on damage rolls, including the one from Weapon Specialization (see below). </t>
  </si>
  <si>
    <t>Heighten Spell</t>
  </si>
  <si>
    <t>A heightened spell has a higher spell level than normal (up to a maximum of 9th level). Unlike other metamagic feats, Heighten Spell actually increases the effective level of the spell that it modifies. All effects dependent on spell level (such as saving throw DCs and ability to penetrate a lesser globe of invulnerability) are calculated according to the heightened level. The heightened spell is as difficult to prepare and cast as a spell of its effective level.</t>
  </si>
  <si>
    <t>When you perform a bull rush you do not provoke an attack of opportunity from the defender. You also gain a +4 bonus on the opposed Strength check you make to push back the defender.</t>
  </si>
  <si>
    <t>Improved Counterspell</t>
  </si>
  <si>
    <t>When counterspelling, you may use a spell of the same school that is one or more spell levels higher than the target spell.</t>
  </si>
  <si>
    <t>Improved Critical</t>
  </si>
  <si>
    <t>Choose one type of weapon. When using the weapon you selected, your threat range is doubled.</t>
  </si>
  <si>
    <t>You do not provoke an attack of opportunity when you attempt to disarm an opponent, nor does the opponent have a chance to disarm you. You also gain a +4 bonus on the opposed attack roll you make to disarm your opponent.</t>
  </si>
  <si>
    <t>Improved Familiar</t>
  </si>
  <si>
    <t>This feat allows spellcasters to acquire a new familiar from a nonstandard list, but only when they could normally acquire a new familiar. When choosing a familiar, the creatures listed below are also available to the spellcaster. The spellcaster may choose a familiar with an alignment up to one step away on each of the alignment axes (lawful through chaotic, good through evil).
Improved familiars otherwise use the rules for regular familiars, with two exceptions: If the creature’s type is something other than animal, its type does not change; and improved familiars do not gain the ability to speak with other creatures of their kind (although many of them already have the ability to communicate).
The list in Table: Improved Familiar by Alignment presents only a few possible improved familiars. Almost any creature of the same general size and power as those on the list makes a suitable familiar. Nor is the master’s alignment the only possible categorization. For instance, improved familiars could be assigned by the master’s creature type or subtype, as shown in Table: Improved Familiar by Type/Subtype.</t>
  </si>
  <si>
    <t>Improved Feint</t>
  </si>
  <si>
    <t>You can make a Bluff check to feint in combat as a move action.</t>
  </si>
  <si>
    <t>You do not provoke an attack of opportunity when you make a touch attack to start a grapple. You also gain a +4 bonus on all grapple checks, regardless of whether you started the grapple.</t>
  </si>
  <si>
    <t>Improved Initiative</t>
  </si>
  <si>
    <t>You get a +4 bonus on initiative checks</t>
  </si>
  <si>
    <t>When you attempt to overrun an opponent, the target may not choose to avoid you. You also gain a +4 bonus on your Strength check to knock down your opponent.</t>
  </si>
  <si>
    <t>Improved Precise Shot</t>
  </si>
  <si>
    <t>Your ranged attacks ignore the AC bonus granted to targets by anything less than total cover, and the miss chance granted to targets by anything less than total concealment. Total cover and total concealment provide their normal benefits against your ranged attacks.
In addition, when you shoot or throw ranged weapons at a grappling opponent, you automatically strike at the opponent you have chosen.</t>
  </si>
  <si>
    <t>Improved Shield Bash</t>
  </si>
  <si>
    <t>When you perform a shield bash, you may still apply the shield’s shield bonus to your AC.</t>
  </si>
  <si>
    <t>When you strike at an object held or carried by an opponent (such as a weapon or shield), you do not provoke an attack of opportunity.
You also gain a +4 bonus on any attack roll made to attack an object held or carried by another character.</t>
  </si>
  <si>
    <t>You do not provoke an attack of opportunity when you attempt to trip an opponent while you are unarmed. You also gain a +4 bonus on your Strength check to trip your opponent.
If you trip an opponent in melee combat, you immediately get a melee attack against that opponent as if you hadn’t used your attack for the trip attempt.</t>
  </si>
  <si>
    <t>Improved Turning</t>
  </si>
  <si>
    <t>You turn or rebuke creatures as if you were one level higher than you are in the class that grants you the ability.</t>
  </si>
  <si>
    <t>Improved Two-Weapon Fighting</t>
  </si>
  <si>
    <t>In addition to the standard single extra attack you get with an off-hand weapon, you get a second attack with it, albeit at a -5 penalty. See the Two-Weapon Fighting special attack.</t>
  </si>
  <si>
    <t>Improved Unarmed Strike</t>
  </si>
  <si>
    <t>You are considered to be armed even when unarmed —that is, you do not provoke attacks or opportunity from armed opponents when you attack them while unarmed. However, you still get an attack of opportunity against any opponent who makes an unarmed attack on you.
In addition, your unarmed strikes can deal lethal or nonlethal damage, at your option.</t>
  </si>
  <si>
    <t>Investigator</t>
  </si>
  <si>
    <t>You get a +2 bonus on all Gather Information checks and Search checks.</t>
  </si>
  <si>
    <t>You get a +2 bonus on all Will saving throws.</t>
  </si>
  <si>
    <t>Leadership</t>
  </si>
  <si>
    <t>Lightning Reflexes</t>
  </si>
  <si>
    <t>You get a +2 bonus on all Reflex saving throws.</t>
  </si>
  <si>
    <t>Magical Aptitude</t>
  </si>
  <si>
    <t>You get a +2 bonus on all Spellcraft checks and Use Magic Device checks.</t>
  </si>
  <si>
    <t>As a standard action, you may fire two arrows at a single opponent within 30 feet. Both arrows use the same attack roll (with a -4 penalty) to determine success and deal damage normally (but see Special).
For every five points of base attack bonus you have above +6, you may add one additional arrow to this attack, to a maximum of four arrows at a base attack bonus of +16. However, each arrow after the second adds a cumulative -2 penalty on the attack roll (for a total penalty of -6 for three arrows and -8 for four).
Damage reduction and other resistances apply separately against each arrow fired.
Regardless of the number of arrows you fire, you apply precision-based damage only once. If you score a critical hit, only the first arrow fired deals critical damage; all others deal regular damage.</t>
  </si>
  <si>
    <t>Martial Weapon Proficiency</t>
  </si>
  <si>
    <t>Choose a type of martial weapon. You understand how to use that type of martial weapon in combat. You make attack rolls with the selected weapon normally. Barbarians, fighters, paladins, and rangers are proficient with all martial weapons. They need not select this feat.</t>
  </si>
  <si>
    <t>Maximize Spell</t>
  </si>
  <si>
    <t>All variable, numeric effects of a spell modified by this feat are maximized. Saving throws and opposed rolls are not affected, nor are spells without random variables. A maximized spell uses up a spell slot three levels higher than the spell’s actual level.
An empowered, maximized spell gains the separate benefits of each feat: the maximum result plus one-half the normally rolled result.</t>
  </si>
  <si>
    <t>You get a +4 dodge bonus to Armor Class against attacks of opportunity caused when you move out of or within a threatened area. A condition that makes you lose your Dexterity bonus to Armor Class (if any) also makes you lose dodge bonuses.
Dodge bonuses stack with each other, unlike most types of bonuses.</t>
  </si>
  <si>
    <t>The penalty you take when using a ranged weapon while mounted is halved: -2 instead of -4 if your mount is taking a double move, and -4 instead of -8 if your mount is running.</t>
  </si>
  <si>
    <t>Mounted Combat</t>
  </si>
  <si>
    <t>Once per round when your mount is hit in combat, you may attempt a Ride check (as a reaction) to negate the hit. The hit is negated if your Ride check result is greater than the opponent’s attack roll. (Essentially, the Ride check result becomes the mount’s Armor Class if it’s higher than the mount’s regular AC.)</t>
  </si>
  <si>
    <t>Natural Spell</t>
  </si>
  <si>
    <t>You can complete the verbal and somatic components of spells while in a wild shape. You substitute various noises and gestures for the normal verbal and somatic components of a spell.
You can also use any material components or focuses you possess, even if such items are melded within your current form. This feat does not permit the use of magic items while you are in a form that could not ordinarily use them, and you do not gain the ability to speak while in a wild shape.</t>
  </si>
  <si>
    <t>Negotiator</t>
  </si>
  <si>
    <t>You get a +2 bonus on all Diplomacy checks and Sense Motive checks.</t>
  </si>
  <si>
    <t>Nimble Fingers</t>
  </si>
  <si>
    <t>You get a +2 bonus on all Disable Device checks and Open Lock checks.</t>
  </si>
  <si>
    <t>Persuasive</t>
  </si>
  <si>
    <t>You get a +2 bonus on all Bluff checks and Intimidate checks.</t>
  </si>
  <si>
    <t>You get a +1 bonus on attack and damage rolls with ranged weapons at ranges of up to 30 feet.</t>
  </si>
  <si>
    <t>On your action, before making attack rolls for a round, you may choose to subtract a number from all melee attack rolls and add the same number to all melee damage rolls. This number may not exceed your base attack bonus. The penalty on attacks and bonus on damage apply until your next turn.
If you attack with a two-handed weapon, or with a one-handed weapon wielded in two hands, instead add twice the number subtracted from your attack rolls. You can’t add the bonus from Power Attack to the damage dealt with a light weapon (except with unarmed strikes or natural weapon attacks), even though the penalty on attack rolls still applies. (Normally, you treat a double weapon as a one-handed weapon and a light weapon. If you choose to use a double weapon like a two-handed weapon, attacking with only one end of it in a round, you treat it as a two-handed weapon.)</t>
  </si>
  <si>
    <t>Precise Shot</t>
  </si>
  <si>
    <t>You can shoot or throw ranged weapons at an opponent engaged in melee without taking the standard -4 penalty on your attack roll.</t>
  </si>
  <si>
    <t>Quick Draw</t>
  </si>
  <si>
    <t>You can draw a weapon as a free action instead of as a move action. You can draw a hidden weapon (see the Sleight of Hand skill) as a move action.
A character who has selected this feat may throw weapons at his full normal rate of attacks (much like a character with a bow).</t>
  </si>
  <si>
    <t>Quicken Spell</t>
  </si>
  <si>
    <t>Casting a quickened spell is an swift action. You can perform another action, even casting another spell, in the same round as you cast a quickened spell. You may cast only one quickened spell per round. A spell whose casting time is more than 1 full round action cannot be quickened. A quickened spell uses up a spell slot four levels higher than the spell’s actual level. Casting a quickened spell doesn’t provoke an attack of opportunity.
This feat can’t be applied to any spell cast spontaneously (including sorcerer spells, bard spells, and cleric or druid spells cast spontaneously), since applying a metamagic feat to a spontaneously cast spell automatically increases the casting time to a full-round action.</t>
  </si>
  <si>
    <t>Rapid Reload</t>
  </si>
  <si>
    <t>Choose a type of crossbow (hand, light, or heavy). The time required for you to reload your chosen type of crossbow is reduced to a free action (for a hand or light crossbow) or a move action (for a heavy crossbow). Reloading a crossbow still provokes an attack of opportunity.
If you have selected this feat for hand crossbow or light crossbow, you may fire that weapon as many times in a full attack action as you could attack if you were using a bow.</t>
  </si>
  <si>
    <t>You can get one extra attack per round with a ranged weapon. The attack is at your highest base attack bonus, but each attack you make in that round (the extra one and the normal ones) takes a -2 penalty. You must use the full attack action to use this feat.</t>
  </si>
  <si>
    <t>Ride-By Attack</t>
  </si>
  <si>
    <t>When you are mounted and use the charge action, you may move and attack as if with a standard charge and then move again (continuing the straight line of the charge). Your total movement for the round can’t exceed double your mounted speed. You and your mount do not provoke an attack of opportunity from the opponent that you attack.</t>
  </si>
  <si>
    <t>Run</t>
  </si>
  <si>
    <t>When running, you move five times your normal speed (if wearing medium, light, or no armor and carrying no more than a medium load) or four times your speed (if wearing heavy armor or carrying a heavy load). If you make a jump after a running start (see the Jump skill description), you gain a +4 bonus on your Jump check. While running, you retain your Dexterity bonus to AC.</t>
  </si>
  <si>
    <t>You can create a scroll of any spell that you know. Scribing a scroll takes one day for each 1,000 gp in its base price. The base price of a scroll is its spell level × its caster level × 25 gp. To scribe a scroll, you must spend 1/25 of this base price in XP and use up raw materials costing one-half of this base price.
Any scroll that stores a spell with a costly material component or an XP cost also carries a commensurate cost. In addition to the costs derived from the base price, you must expend the material component or pay the XP when scribing the scroll.</t>
  </si>
  <si>
    <t>Self-Sufficient</t>
  </si>
  <si>
    <t>You get a +2 bonus on all Heal checks and Survival checks.</t>
  </si>
  <si>
    <t>Shield Proficiency</t>
  </si>
  <si>
    <t>You can use a shield and take only the standard penalties.</t>
  </si>
  <si>
    <t>Shot on the Run</t>
  </si>
  <si>
    <t>When using the attack action with a ranged weapon, you can move both before and after the attack, provided that your total distance moved is not greater than your speed.</t>
  </si>
  <si>
    <t>Silent Spell</t>
  </si>
  <si>
    <t>A silent spell can be cast with no verbal components. Spells without verbal components are not affected. A silent spell uses up a spell slot one level higher than the spell’s actual level.
Bard spells cannot be enhanced by this metamagic feat.</t>
  </si>
  <si>
    <t>Simple Weapon Proficiency</t>
  </si>
  <si>
    <t>You make attack rolls with simple weapons normally. All characters except for druids, monks, and wizards are automatically proficient with all simple weapons. They need not select this feat.</t>
  </si>
  <si>
    <t>Skill Focus</t>
  </si>
  <si>
    <t>You get a +3 bonus on all checks involving that skill.</t>
  </si>
  <si>
    <t>Snatch Arrows</t>
  </si>
  <si>
    <t>When using the Deflect Arrows feat you may catch the weapon instead of just deflecting it. Thrown weapons can immediately be thrown back at the original attacker (even though it isn’t your turn) or kept for later use.
You must have at least one hand free (holding nothing) to use this feat.</t>
  </si>
  <si>
    <t>Choose a school of magic. Add +1 to the Difficulty Class for all saving throws against spells from the school of magic you select.</t>
  </si>
  <si>
    <t>Spell Mastery</t>
  </si>
  <si>
    <t>Each time you take this feat, choose a number of spells equal to your Intelligence modifier that you already know. From that point on, you can prepare these spells without referring to a spellbook.</t>
  </si>
  <si>
    <t>Spell Penetration</t>
  </si>
  <si>
    <t xml:space="preserve">You get a +2 bonus on caster level checks (1d20 + caster level) made to overcome a creature’s spell resistance. </t>
  </si>
  <si>
    <t>When mounted and using the charge action, you deal double damage with a melee weapon (or triple damage with a lance).</t>
  </si>
  <si>
    <t>Spring Attack</t>
  </si>
  <si>
    <t>When using the attack action with a melee weapon, you can move both before and after the attack, provided that your total distance moved is not greater than your speed. Moving in this way does not provoke an attack of opportunity from the defender you attack, though it might provoke attacks of opportunity from other creatures, if appropriate. You can’t use this feat if you are wearing heavy armor.
You must move at least 5 feet both before and after you make your attack in order to utilize the benefits of Spring Attack.</t>
  </si>
  <si>
    <t>Stealthy</t>
  </si>
  <si>
    <t>You get a +2 bonus on all Hide checks and Move Silently checks.</t>
  </si>
  <si>
    <t>Still Spell</t>
  </si>
  <si>
    <t>A stilled spell can be cast with no somatic components.
Spells without somatic components are not affected. A stilled spell uses up a spell slot one level higher than the spell’s actual level.</t>
  </si>
  <si>
    <t>You must declare that you are using this feat before you make your attack roll (thus, a failed attack roll ruins the attempt). Stunning Fist forces a foe damaged by your unarmed attack to make a Fortitude saving throw (DC 10 + ½ your character level + your Wis modifier), in addition to dealing damage normally. A defender who fails this saving throw is stunned for 1 round (until just before your next action). A stunned creature drops everything held, can’t take actions, takes a -2 penalty to AC, and loses his Dexterity bonus to AC. You may attempt a stunning attack once per day for every four levels you have attained (but see Special), and no more than once per round. Constructs, oozes, plants, undead, incorporeal creatures, and creatures immune to critical hits cannot be stunned.</t>
  </si>
  <si>
    <t>Toughness</t>
  </si>
  <si>
    <t>You gain +3 hit points.</t>
  </si>
  <si>
    <t>Tower Shield Proficiency</t>
  </si>
  <si>
    <t>You can use a tower shield and suffer only the standard penalties. Fighters automatically have Tower Shield Proficiency as a bonus feat. They need not select it.</t>
  </si>
  <si>
    <t>To find tracks or to follow them for 1 mile requires a successful Survival check. You must make another Survival check every time the tracks become difficult to follow.
You move at half your normal speed (or at your normal speed with a -5 penalty on the check, or at up to twice your normal speed with a -20 penalty on the check). The DC depends on the surface and the prevailing conditions, as given on Table: Track DC.
A ranger automatically has Track as a bonus feat. He need not select it.
This feat does not allow you to find or follow the tracks made by a subject of a pass without trace spell.</t>
  </si>
  <si>
    <t>Trample</t>
  </si>
  <si>
    <t>When you attempt to overrun an opponent while mounted, your target may not choose to avoid you. Your mount may make one hoof attack against any target you knock down, gaining the standard +4 bonus on attack rolls against prone targets.</t>
  </si>
  <si>
    <t>Two-Weapon Defense</t>
  </si>
  <si>
    <t>When wielding a double weapon or two weapons (not including natural weapons or unarmed strikes), you gain a +1 shield bonus to your AC. See the Two-Weapon Fighting special attack.
When you are fighting defensively or using the total defense action, this shield bonus increases to +2.</t>
  </si>
  <si>
    <t>Two-Weapon Fighting</t>
  </si>
  <si>
    <t>Your penalties on attack rolls for fighting with two weapons are reduced. The penalty for your primary hand lessens by 2 and the one for your off hand lessens by 6. See the Two-Weapon Fighting special attack.</t>
  </si>
  <si>
    <t>Weapon Finesse</t>
  </si>
  <si>
    <t>With a light weapon, rapier, whip, or spiked chain made for a creature of your size category, you may use your Dexterity modifier instead of your Strength modifier on attack rolls. If you carry a shield, its armor check penalty applies to your attack rolls.</t>
  </si>
  <si>
    <t>Weapon Focus</t>
  </si>
  <si>
    <t xml:space="preserve">Choose one type of weapon. You can also choose unarmed strike or grapple (or ray, if you are a spellcaster) as your weapon for purposes of this feat. You gain a +1 bonus on all attack rolls you make using the selected weapon. </t>
  </si>
  <si>
    <t>Weapon Specialization</t>
  </si>
  <si>
    <t>Choose one type of weapon for which you have already selected the Weapon Focus feat. You can also choose unarmed strike or grapple as your weapon for purposes of this feat. You deal extra damage when using this weapon. You gain a +2 bonus on all damage rolls you make using the selected weapon.</t>
  </si>
  <si>
    <t>Whirlwind Attack</t>
  </si>
  <si>
    <t>When you use the full attack action, you can give up your regular attacks and instead make one melee attack at your full base attack bonus against each opponent within reach.
When you use the Whirlwind Attack feat, you also forfeit any bonus or extra attacks granted by other feats, spells, or abilities.</t>
  </si>
  <si>
    <t>Widen Spell</t>
  </si>
  <si>
    <t>You can alter a burst, emanation, line, or spread shaped spell to increase its area. Any numeric measurements of the spell’s area increase by 100%.A widened spell uses up a spell slot three levels higher than the spell’s actual level.
Spells that do not have an area of one of these four sorts are not affected by this feat.</t>
  </si>
  <si>
    <t>Races</t>
  </si>
  <si>
    <t>Racial Features</t>
  </si>
  <si>
    <t>Extra</t>
  </si>
  <si>
    <t>Saves (Fear)</t>
  </si>
  <si>
    <t>+1</t>
  </si>
  <si>
    <t>+if(dget(Main!$AB$2:$AD$36,Main!$AD$2,{"States";"Saves (Fear)"}),2,0)</t>
  </si>
  <si>
    <t>Thrown Weapon or Sling</t>
  </si>
  <si>
    <t>+if(dget(Main!$AB$2:$AD$36,Main!$AD$2,{"States";"Thrown Weapon or Sling"}),1,0)</t>
  </si>
  <si>
    <t>Darkvision 60 ft</t>
  </si>
  <si>
    <t>Sleep Immunity</t>
  </si>
  <si>
    <t>Saves (Enchantment)</t>
  </si>
  <si>
    <t>+if(dget(Main!$AB$2:$AD$36,Main!$AD$2,{"States";"Saves (Enchantment)"}),2,0)</t>
  </si>
  <si>
    <t>Low-Light Vision</t>
  </si>
  <si>
    <t>Saves (Illusion)</t>
  </si>
  <si>
    <t>+if(dget(Main!$AB$2:$AD$36,Main!$AD$2,{"States";"Saves (Illusion)"}),2,0)</t>
  </si>
  <si>
    <t>Casting (Illusion)</t>
  </si>
  <si>
    <t>+if(dget(Main!$AB$2:$AD$36,Main!$AD$2,{"States";"Casting (Illusion)"}),1,0)</t>
  </si>
  <si>
    <t>Dancing Lights</t>
  </si>
  <si>
    <t>Attacking (Kobolds and Goblinoids)</t>
  </si>
  <si>
    <t>+if(dget(Main!$AB$2:$AD$36,Main!$AD$2,{"States";"Attacking (Kobolds and Goblinoids)"}),1,0)</t>
  </si>
  <si>
    <t>Ghost Sound</t>
  </si>
  <si>
    <t>Defending (Giants)</t>
  </si>
  <si>
    <t>+if(dget(Main!$AB$2:$AD$36,Main!$AD$2,{"States";"Defending (Giants)"}),4,0)</t>
  </si>
  <si>
    <t>Prestidigitation</t>
  </si>
  <si>
    <t>Saves (Poison)</t>
  </si>
  <si>
    <t>+if(dget(Main!$AB$2:$AD$36,Main!$AD$2,{"States";"Saves (Poison)"}),2,0)</t>
  </si>
  <si>
    <t>Stonecunning</t>
  </si>
  <si>
    <t>Saves (Spells)</t>
  </si>
  <si>
    <t>+if(dget(Main!$AB$2:$AD$36,Main!$AD$2,{"States";"Saves (Spells)"}),2,0)</t>
  </si>
  <si>
    <t>Stability</t>
  </si>
  <si>
    <t>Attacking (Orcs and Goblinoids)</t>
  </si>
  <si>
    <t>+if(dget(Main!$AB$2:$AD$36,Main!$AD$2,{"States";"Attacking (Orcs and Goblinoids)"}),1,0)</t>
  </si>
  <si>
    <t>+4</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</si>
</sst>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quot;+&quot;0;&quot;-&quot;0"/>
    <numFmt numFmtId="165" formatCode="0&quot; HP&quot;"/>
    <numFmt numFmtId="166" formatCode="0&quot; lbs&quot;"/>
    <numFmt numFmtId="167" formatCode="&quot;x&quot;0"/>
    <numFmt numFmtId="168" formatCode="0&quot;-20&quot;"/>
    <numFmt numFmtId="169" formatCode="0&quot; cp&quot;"/>
    <numFmt numFmtId="170" formatCode="0&quot; sp&quot;"/>
    <numFmt numFmtId="171" formatCode="0&quot; gp&quot;"/>
    <numFmt numFmtId="172" formatCode="0&quot; pp&quot;"/>
    <numFmt numFmtId="173" formatCode="0&quot; ft&quot;"/>
    <numFmt numFmtId="174" formatCode="0&quot; lbs or less&quot;"/>
    <numFmt numFmtId="175" formatCode="0.000&quot; lbs&quot;"/>
  </numFmts>
  <fonts count="28">
    <font>
      <sz val="10.0"/>
      <color rgb="FF000000"/>
      <name val="Arial"/>
    </font>
    <font>
      <color theme="1"/>
      <name val="Arial"/>
    </font>
    <font>
      <sz val="18.0"/>
      <color theme="1"/>
      <name val="Arial"/>
    </font>
    <font/>
    <font>
      <sz val="12.0"/>
      <color theme="1"/>
      <name val="Arial"/>
    </font>
    <font>
      <sz val="14.0"/>
      <color theme="1"/>
      <name val="Arial"/>
    </font>
    <font>
      <sz val="11.0"/>
      <color rgb="FF000000"/>
      <name val="Inconsolata"/>
    </font>
    <font>
      <sz val="11.0"/>
      <color theme="1"/>
      <name val="Arial"/>
    </font>
    <font>
      <sz val="10.0"/>
      <color theme="1"/>
      <name val="Arial"/>
    </font>
    <font>
      <sz val="10.0"/>
      <color rgb="FF8C7054"/>
      <name val="Arial"/>
    </font>
    <font>
      <sz val="14.0"/>
      <color rgb="FF000000"/>
      <name val="Arial"/>
    </font>
    <font>
      <sz val="12.0"/>
      <color rgb="FF000000"/>
      <name val="Arial"/>
    </font>
    <font>
      <sz val="24.0"/>
      <color theme="1"/>
      <name val="Arial"/>
    </font>
    <font>
      <sz val="24.0"/>
      <color rgb="FF000000"/>
      <name val="Roboto"/>
    </font>
    <font>
      <sz val="12.0"/>
      <color rgb="FF000000"/>
      <name val="Roboto"/>
    </font>
    <font>
      <sz val="11.0"/>
      <color rgb="FF000000"/>
      <name val="Arial"/>
    </font>
    <font>
      <color rgb="FF000000"/>
      <name val="Arial"/>
    </font>
    <font>
      <sz val="11.0"/>
      <color rgb="FF000000"/>
      <name val="&quot;Trebuchet MS&quot;"/>
    </font>
    <font>
      <b/>
      <color theme="1"/>
      <name val="Arial"/>
    </font>
    <font>
      <u/>
      <sz val="14.0"/>
      <color rgb="FF1155CC"/>
    </font>
    <font>
      <u/>
      <sz val="14.0"/>
      <color rgb="FF1155CC"/>
    </font>
    <font>
      <u/>
      <sz val="14.0"/>
      <color rgb="FF1155CC"/>
    </font>
    <font>
      <u/>
      <sz val="14.0"/>
      <color rgb="FF1155CC"/>
    </font>
    <font>
      <u/>
      <sz val="14.0"/>
      <color rgb="FF1155CC"/>
    </font>
    <font>
      <u/>
      <sz val="14.0"/>
      <color rgb="FF1155CC"/>
    </font>
    <font>
      <color rgb="FF8C7054"/>
      <name val="Arial"/>
    </font>
    <font>
      <u/>
      <sz val="14.0"/>
      <color rgb="FF1155CC"/>
    </font>
    <font>
      <u/>
      <sz val="14.0"/>
      <color rgb="FF1155CC"/>
    </font>
  </fonts>
  <fills count="14">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EA4335"/>
        <bgColor rgb="FFEA4335"/>
      </patternFill>
    </fill>
    <fill>
      <patternFill patternType="solid">
        <fgColor theme="5"/>
        <bgColor theme="5"/>
      </patternFill>
    </fill>
    <fill>
      <patternFill patternType="solid">
        <fgColor theme="7"/>
        <bgColor theme="7"/>
      </patternFill>
    </fill>
    <fill>
      <patternFill patternType="solid">
        <fgColor theme="9"/>
        <bgColor theme="9"/>
      </patternFill>
    </fill>
    <fill>
      <patternFill patternType="solid">
        <fgColor rgb="FFDB00FF"/>
        <bgColor rgb="FFDB00FF"/>
      </patternFill>
    </fill>
    <fill>
      <patternFill patternType="solid">
        <fgColor rgb="FFEFEFEF"/>
        <bgColor rgb="FFEFEFEF"/>
      </patternFill>
    </fill>
    <fill>
      <patternFill patternType="solid">
        <fgColor rgb="FFFFF2E5"/>
        <bgColor rgb="FFFFF2E5"/>
      </patternFill>
    </fill>
    <fill>
      <patternFill patternType="solid">
        <fgColor rgb="FFF2E0CE"/>
        <bgColor rgb="FFF2E0CE"/>
      </patternFill>
    </fill>
  </fills>
  <borders count="3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right style="thin">
        <color rgb="FF000000"/>
      </right>
      <top style="thin">
        <color rgb="FF000000"/>
      </top>
      <bottom style="double">
        <color rgb="FF000000"/>
      </bottom>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right style="thin">
        <color rgb="FF000000"/>
      </right>
    </border>
    <border>
      <right style="thin">
        <color rgb="FF8C7054"/>
      </right>
      <top style="thin">
        <color rgb="FF8C7054"/>
      </top>
      <bottom style="thin">
        <color rgb="FF000000"/>
      </bottom>
    </border>
    <border>
      <right style="thin">
        <color rgb="FF8C7054"/>
      </right>
      <top style="thin">
        <color rgb="FF8C7054"/>
      </top>
    </border>
    <border>
      <left style="thin">
        <color rgb="FF8C7054"/>
      </left>
      <right style="thin">
        <color rgb="FF8C7054"/>
      </right>
      <top style="thin">
        <color rgb="FF8C7054"/>
      </top>
      <bottom style="thin">
        <color rgb="FF8C7054"/>
      </bottom>
    </border>
    <border>
      <right style="thin">
        <color rgb="FF8C7054"/>
      </right>
      <top style="thin">
        <color rgb="FF000000"/>
      </top>
      <bottom style="thin">
        <color rgb="FF000000"/>
      </bottom>
    </border>
    <border>
      <right style="thin">
        <color rgb="FF8C7054"/>
      </right>
    </border>
    <border>
      <right style="thin">
        <color rgb="FF8C7054"/>
      </right>
      <top style="thin">
        <color rgb="FF000000"/>
      </top>
      <bottom style="thin">
        <color rgb="FF8C7054"/>
      </bottom>
    </border>
    <border>
      <right style="thin">
        <color rgb="FF8C7054"/>
      </right>
      <bottom style="thin">
        <color rgb="FF8C7054"/>
      </bottom>
    </border>
    <border>
      <left style="thin">
        <color rgb="FF8C7054"/>
      </left>
      <top style="thin">
        <color rgb="FF8C7054"/>
      </top>
      <bottom style="thin">
        <color rgb="FF8C7054"/>
      </bottom>
    </border>
    <border>
      <right style="thin">
        <color rgb="FF8C7054"/>
      </right>
      <top style="thin">
        <color rgb="FF8C7054"/>
      </top>
      <bottom style="thin">
        <color rgb="FF8C7054"/>
      </bottom>
    </border>
    <border>
      <left style="thin">
        <color rgb="FF000000"/>
      </left>
      <bottom style="double">
        <color rgb="FF000000"/>
      </bottom>
    </border>
    <border>
      <right style="thin">
        <color rgb="FF000000"/>
      </right>
      <bottom style="double">
        <color rgb="FF000000"/>
      </bottom>
    </border>
    <border>
      <top style="double">
        <color rgb="FF000000"/>
      </top>
      <bottom style="thin">
        <color rgb="FF000000"/>
      </bottom>
    </border>
    <border>
      <right style="thin">
        <color rgb="FF000000"/>
      </right>
      <top style="double">
        <color rgb="FF000000"/>
      </top>
      <bottom style="thin">
        <color rgb="FF000000"/>
      </bottom>
    </border>
    <border>
      <bottom style="double">
        <color rgb="FF000000"/>
      </bottom>
    </border>
    <border>
      <left style="thin">
        <color rgb="FF000000"/>
      </left>
      <top style="double">
        <color rgb="FF000000"/>
      </top>
    </border>
    <border>
      <right style="thin">
        <color rgb="FF000000"/>
      </right>
      <top style="double">
        <color rgb="FF000000"/>
      </top>
    </border>
    <border>
      <left style="thin">
        <color rgb="FF000000"/>
      </left>
      <top style="double">
        <color rgb="FF000000"/>
      </top>
      <bottom style="thin">
        <color rgb="FF000000"/>
      </bottom>
    </border>
  </borders>
  <cellStyleXfs count="1">
    <xf borderId="0" fillId="0" fontId="0" numFmtId="0" applyAlignment="1" applyFont="1"/>
  </cellStyleXfs>
  <cellXfs count="611">
    <xf borderId="0" fillId="0" fontId="0" numFmtId="0" xfId="0" applyAlignment="1" applyFont="1">
      <alignment readingOrder="0" shrinkToFit="0" vertical="bottom" wrapText="0"/>
    </xf>
    <xf borderId="1" fillId="0" fontId="1" numFmtId="0" xfId="0" applyAlignment="1" applyBorder="1" applyFont="1">
      <alignment readingOrder="0"/>
    </xf>
    <xf borderId="2" fillId="2" fontId="2" numFmtId="0" xfId="0" applyAlignment="1" applyBorder="1" applyFill="1" applyFont="1">
      <alignment horizontal="center" readingOrder="0"/>
    </xf>
    <xf borderId="3" fillId="2" fontId="3" numFmtId="0" xfId="0" applyBorder="1" applyFont="1"/>
    <xf borderId="4" fillId="2" fontId="3" numFmtId="0" xfId="0" applyBorder="1" applyFont="1"/>
    <xf borderId="1" fillId="0" fontId="1" numFmtId="0" xfId="0" applyBorder="1" applyFont="1"/>
    <xf borderId="2" fillId="2" fontId="2" numFmtId="0" xfId="0" applyAlignment="1" applyBorder="1" applyFont="1">
      <alignment horizontal="center" readingOrder="0" vertical="center"/>
    </xf>
    <xf borderId="1" fillId="3" fontId="4" numFmtId="0" xfId="0" applyAlignment="1" applyBorder="1" applyFill="1" applyFont="1">
      <alignment horizontal="center" readingOrder="0"/>
    </xf>
    <xf borderId="0" fillId="0" fontId="2" numFmtId="0" xfId="0" applyAlignment="1" applyFont="1">
      <alignment horizontal="center" readingOrder="0" vertical="center"/>
    </xf>
    <xf borderId="2" fillId="3" fontId="5" numFmtId="0" xfId="0" applyAlignment="1" applyBorder="1" applyFont="1">
      <alignment horizontal="center" readingOrder="0" vertical="center"/>
    </xf>
    <xf borderId="3" fillId="3" fontId="3" numFmtId="0" xfId="0" applyBorder="1" applyFont="1"/>
    <xf borderId="4" fillId="3" fontId="3" numFmtId="0" xfId="0" applyBorder="1" applyFont="1"/>
    <xf borderId="1" fillId="3" fontId="5" numFmtId="0" xfId="0" applyAlignment="1" applyBorder="1" applyFont="1">
      <alignment horizontal="center" readingOrder="0" vertical="center"/>
    </xf>
    <xf borderId="1" fillId="2" fontId="4" numFmtId="0" xfId="0" applyAlignment="1" applyBorder="1" applyFont="1">
      <alignment readingOrder="0"/>
    </xf>
    <xf borderId="1" fillId="2" fontId="4" numFmtId="0" xfId="0" applyAlignment="1" applyBorder="1" applyFont="1">
      <alignment horizontal="center" readingOrder="0"/>
    </xf>
    <xf borderId="1" fillId="2" fontId="4" numFmtId="164" xfId="0" applyBorder="1" applyFont="1" applyNumberFormat="1"/>
    <xf borderId="1" fillId="2" fontId="4" numFmtId="49" xfId="0" applyBorder="1" applyFont="1" applyNumberFormat="1"/>
    <xf borderId="2" fillId="2" fontId="4" numFmtId="0" xfId="0" applyAlignment="1" applyBorder="1" applyFont="1">
      <alignment readingOrder="0" shrinkToFit="0" vertical="center" wrapText="1"/>
    </xf>
    <xf borderId="1" fillId="2" fontId="4" numFmtId="0" xfId="0" applyAlignment="1" applyBorder="1" applyFont="1">
      <alignment horizontal="center" readingOrder="0" vertical="center"/>
    </xf>
    <xf borderId="2" fillId="2" fontId="4" numFmtId="0" xfId="0" applyAlignment="1" applyBorder="1" applyFont="1">
      <alignment horizontal="center" vertical="center"/>
    </xf>
    <xf borderId="1" fillId="3" fontId="4" numFmtId="0" xfId="0" applyAlignment="1" applyBorder="1" applyFont="1">
      <alignment readingOrder="0"/>
    </xf>
    <xf borderId="1" fillId="3" fontId="4" numFmtId="164" xfId="0" applyBorder="1" applyFont="1" applyNumberFormat="1"/>
    <xf borderId="1" fillId="3" fontId="4" numFmtId="49" xfId="0" applyBorder="1" applyFont="1" applyNumberFormat="1"/>
    <xf borderId="2" fillId="3" fontId="4" numFmtId="0" xfId="0" applyAlignment="1" applyBorder="1" applyFont="1">
      <alignment readingOrder="0" vertical="center"/>
    </xf>
    <xf borderId="1" fillId="3" fontId="4" numFmtId="0" xfId="0" applyAlignment="1" applyBorder="1" applyFont="1">
      <alignment horizontal="center" readingOrder="0" vertical="center"/>
    </xf>
    <xf borderId="2" fillId="3" fontId="4" numFmtId="0" xfId="0" applyAlignment="1" applyBorder="1" applyFont="1">
      <alignment horizontal="center" vertical="center"/>
    </xf>
    <xf borderId="2" fillId="2" fontId="4" numFmtId="0" xfId="0" applyAlignment="1" applyBorder="1" applyFont="1">
      <alignment readingOrder="0" vertical="center"/>
    </xf>
    <xf borderId="1" fillId="3" fontId="4" numFmtId="0" xfId="0" applyBorder="1" applyFont="1"/>
    <xf borderId="2" fillId="2" fontId="4" numFmtId="0" xfId="0" applyAlignment="1" applyBorder="1" applyFont="1">
      <alignment readingOrder="0"/>
    </xf>
    <xf borderId="2" fillId="2" fontId="4" numFmtId="0" xfId="0" applyAlignment="1" applyBorder="1" applyFont="1">
      <alignment horizontal="center" vertical="center"/>
    </xf>
    <xf borderId="2" fillId="3" fontId="4" numFmtId="0" xfId="0" applyAlignment="1" applyBorder="1" applyFont="1">
      <alignment readingOrder="0"/>
    </xf>
    <xf borderId="2" fillId="3" fontId="4" numFmtId="0" xfId="0" applyAlignment="1" applyBorder="1" applyFont="1">
      <alignment horizontal="center" vertical="center"/>
    </xf>
    <xf borderId="2" fillId="3" fontId="4" numFmtId="165" xfId="0" applyAlignment="1" applyBorder="1" applyFont="1" applyNumberFormat="1">
      <alignment horizontal="center" vertical="center"/>
    </xf>
    <xf borderId="0" fillId="4" fontId="6" numFmtId="0" xfId="0" applyFill="1" applyFont="1"/>
    <xf borderId="2" fillId="3" fontId="4" numFmtId="0" xfId="0" applyAlignment="1" applyBorder="1" applyFont="1">
      <alignment readingOrder="0" shrinkToFit="0" wrapText="1"/>
    </xf>
    <xf borderId="2" fillId="3" fontId="4" numFmtId="0" xfId="0" applyAlignment="1" applyBorder="1" applyFont="1">
      <alignment readingOrder="0" shrinkToFit="0" vertical="center" wrapText="1"/>
    </xf>
    <xf borderId="2" fillId="3" fontId="4" numFmtId="0" xfId="0" applyAlignment="1" applyBorder="1" applyFont="1">
      <alignment horizontal="center"/>
    </xf>
    <xf borderId="2" fillId="2" fontId="4" numFmtId="0" xfId="0" applyAlignment="1" applyBorder="1" applyFont="1">
      <alignment horizontal="center"/>
    </xf>
    <xf borderId="1" fillId="2" fontId="4" numFmtId="0" xfId="0" applyAlignment="1" applyBorder="1" applyFont="1">
      <alignment horizontal="center" readingOrder="0" shrinkToFit="0" vertical="center" wrapText="1"/>
    </xf>
    <xf borderId="2" fillId="2" fontId="4" numFmtId="0" xfId="0" applyAlignment="1" applyBorder="1" applyFont="1">
      <alignment horizontal="center" shrinkToFit="0" vertical="center" wrapText="1"/>
    </xf>
    <xf borderId="2" fillId="2" fontId="4" numFmtId="165" xfId="0" applyAlignment="1" applyBorder="1" applyFont="1" applyNumberFormat="1">
      <alignment horizontal="center" vertical="center"/>
    </xf>
    <xf borderId="2" fillId="3" fontId="4" numFmtId="165" xfId="0" applyAlignment="1" applyBorder="1" applyFont="1" applyNumberFormat="1">
      <alignment horizontal="center"/>
    </xf>
    <xf borderId="1" fillId="3" fontId="4" numFmtId="0" xfId="0" applyAlignment="1" applyBorder="1" applyFont="1">
      <alignment horizontal="center" readingOrder="0" shrinkToFit="0" vertical="center" wrapText="1"/>
    </xf>
    <xf borderId="2" fillId="3" fontId="4" numFmtId="0" xfId="0" applyAlignment="1" applyBorder="1" applyFont="1">
      <alignment horizontal="center" shrinkToFit="0" vertical="center" wrapText="1"/>
    </xf>
    <xf borderId="2" fillId="2" fontId="4" numFmtId="0" xfId="0" applyAlignment="1" applyBorder="1" applyFont="1">
      <alignment readingOrder="0" shrinkToFit="0" wrapText="1"/>
    </xf>
    <xf borderId="4" fillId="3" fontId="4" numFmtId="0" xfId="0" applyAlignment="1" applyBorder="1" applyFont="1">
      <alignment horizontal="center" vertical="bottom"/>
    </xf>
    <xf borderId="3" fillId="3" fontId="4" numFmtId="0" xfId="0" applyAlignment="1" applyBorder="1" applyFont="1">
      <alignment horizontal="center"/>
    </xf>
    <xf borderId="2" fillId="2" fontId="4" numFmtId="9" xfId="0" applyAlignment="1" applyBorder="1" applyFont="1" applyNumberFormat="1">
      <alignment horizontal="center" shrinkToFit="0" vertical="center" wrapText="1"/>
    </xf>
    <xf borderId="2" fillId="3" fontId="4" numFmtId="0" xfId="0" applyAlignment="1" applyBorder="1" applyFont="1">
      <alignment horizontal="center" shrinkToFit="0" vertical="center" wrapText="1"/>
    </xf>
    <xf borderId="2" fillId="2" fontId="4" numFmtId="0" xfId="0" applyAlignment="1" applyBorder="1" applyFont="1">
      <alignment horizontal="center" shrinkToFit="0" vertical="center" wrapText="1"/>
    </xf>
    <xf borderId="0" fillId="0" fontId="7" numFmtId="0" xfId="0" applyFont="1"/>
    <xf borderId="2" fillId="2" fontId="5" numFmtId="0" xfId="0" applyAlignment="1" applyBorder="1" applyFont="1">
      <alignment horizontal="center" readingOrder="0" vertical="center"/>
    </xf>
    <xf borderId="0" fillId="0" fontId="5" numFmtId="0" xfId="0" applyAlignment="1" applyFont="1">
      <alignment horizontal="center" readingOrder="0"/>
    </xf>
    <xf borderId="0" fillId="0" fontId="5" numFmtId="0" xfId="0" applyFont="1"/>
    <xf borderId="0" fillId="5" fontId="5" numFmtId="0" xfId="0" applyAlignment="1" applyFill="1" applyFont="1">
      <alignment horizontal="center" readingOrder="0" vertical="center"/>
    </xf>
    <xf borderId="1" fillId="3" fontId="8" numFmtId="0" xfId="0" applyAlignment="1" applyBorder="1" applyFont="1">
      <alignment horizontal="center" readingOrder="0" vertical="center"/>
    </xf>
    <xf borderId="0" fillId="0" fontId="4" numFmtId="0" xfId="0" applyAlignment="1" applyFont="1">
      <alignment horizontal="center" readingOrder="0"/>
    </xf>
    <xf borderId="2" fillId="3" fontId="8" numFmtId="0" xfId="0" applyAlignment="1" applyBorder="1" applyFont="1">
      <alignment horizontal="center" readingOrder="0" vertical="center"/>
    </xf>
    <xf borderId="3" fillId="3" fontId="8" numFmtId="0" xfId="0" applyAlignment="1" applyBorder="1" applyFont="1">
      <alignment horizontal="center" readingOrder="0" vertical="center"/>
    </xf>
    <xf borderId="4" fillId="3" fontId="8" numFmtId="0" xfId="0" applyAlignment="1" applyBorder="1" applyFont="1">
      <alignment horizontal="center" readingOrder="0" vertical="center"/>
    </xf>
    <xf borderId="0" fillId="0" fontId="8" numFmtId="0" xfId="0" applyFont="1"/>
    <xf borderId="2" fillId="3" fontId="8" numFmtId="0" xfId="0" applyAlignment="1" applyBorder="1" applyFont="1">
      <alignment horizontal="center" readingOrder="0" shrinkToFit="0" vertical="center" wrapText="1"/>
    </xf>
    <xf borderId="0" fillId="5" fontId="8" numFmtId="0" xfId="0" applyAlignment="1" applyFont="1">
      <alignment horizontal="center" readingOrder="0" vertical="center"/>
    </xf>
    <xf borderId="1" fillId="2" fontId="8" numFmtId="0" xfId="0" applyAlignment="1" applyBorder="1" applyFont="1">
      <alignment horizontal="center" readingOrder="0" vertical="center"/>
    </xf>
    <xf borderId="1" fillId="2" fontId="8" numFmtId="164" xfId="0" applyAlignment="1" applyBorder="1" applyFont="1" applyNumberFormat="1">
      <alignment horizontal="center" readingOrder="0" vertical="center"/>
    </xf>
    <xf borderId="2" fillId="2" fontId="8" numFmtId="164" xfId="0" applyAlignment="1" applyBorder="1" applyFont="1" applyNumberFormat="1">
      <alignment horizontal="center" readingOrder="0" vertical="center"/>
    </xf>
    <xf borderId="1" fillId="2" fontId="8" numFmtId="164" xfId="0" applyAlignment="1" applyBorder="1" applyFont="1" applyNumberFormat="1">
      <alignment horizontal="center" vertical="center"/>
    </xf>
    <xf borderId="3" fillId="2" fontId="8" numFmtId="164" xfId="0" applyAlignment="1" applyBorder="1" applyFont="1" applyNumberFormat="1">
      <alignment horizontal="center" vertical="center"/>
    </xf>
    <xf borderId="4" fillId="2" fontId="8" numFmtId="164" xfId="0" applyAlignment="1" applyBorder="1" applyFont="1" applyNumberFormat="1">
      <alignment horizontal="center" vertical="center"/>
    </xf>
    <xf borderId="2" fillId="2" fontId="8" numFmtId="49" xfId="0" applyAlignment="1" applyBorder="1" applyFont="1" applyNumberFormat="1">
      <alignment horizontal="center" vertical="center"/>
    </xf>
    <xf borderId="2" fillId="2" fontId="8" numFmtId="0" xfId="0" applyAlignment="1" applyBorder="1" applyFont="1">
      <alignment horizontal="center" readingOrder="0" shrinkToFit="0" vertical="center" wrapText="1"/>
    </xf>
    <xf borderId="1" fillId="3" fontId="8" numFmtId="0" xfId="0" applyAlignment="1" applyBorder="1" applyFont="1">
      <alignment horizontal="center" readingOrder="0" shrinkToFit="0" vertical="center" wrapText="1"/>
    </xf>
    <xf borderId="0" fillId="0" fontId="4" numFmtId="3" xfId="0" applyAlignment="1" applyFont="1" applyNumberFormat="1">
      <alignment horizontal="center" readingOrder="0"/>
    </xf>
    <xf borderId="1" fillId="3" fontId="8" numFmtId="0" xfId="0" applyAlignment="1" applyBorder="1" applyFont="1">
      <alignment horizontal="center" readingOrder="0"/>
    </xf>
    <xf borderId="1" fillId="3" fontId="8" numFmtId="164" xfId="0" applyAlignment="1" applyBorder="1" applyFont="1" applyNumberFormat="1">
      <alignment horizontal="center" readingOrder="0" vertical="center"/>
    </xf>
    <xf borderId="2" fillId="3" fontId="8" numFmtId="164" xfId="0" applyAlignment="1" applyBorder="1" applyFont="1" applyNumberFormat="1">
      <alignment horizontal="center" readingOrder="0"/>
    </xf>
    <xf borderId="1" fillId="3" fontId="8" numFmtId="164" xfId="0" applyAlignment="1" applyBorder="1" applyFont="1" applyNumberFormat="1">
      <alignment horizontal="center" readingOrder="0"/>
    </xf>
    <xf borderId="1" fillId="3" fontId="8" numFmtId="164" xfId="0" applyAlignment="1" applyBorder="1" applyFont="1" applyNumberFormat="1">
      <alignment horizontal="center"/>
    </xf>
    <xf borderId="3" fillId="3" fontId="8" numFmtId="164" xfId="0" applyAlignment="1" applyBorder="1" applyFont="1" applyNumberFormat="1">
      <alignment horizontal="center"/>
    </xf>
    <xf borderId="4" fillId="3" fontId="8" numFmtId="164" xfId="0" applyAlignment="1" applyBorder="1" applyFont="1" applyNumberFormat="1">
      <alignment horizontal="center"/>
    </xf>
    <xf borderId="2" fillId="3" fontId="8" numFmtId="49" xfId="0" applyAlignment="1" applyBorder="1" applyFont="1" applyNumberFormat="1">
      <alignment horizontal="center" vertical="center"/>
    </xf>
    <xf borderId="1" fillId="2" fontId="8" numFmtId="0" xfId="0" applyAlignment="1" applyBorder="1" applyFont="1">
      <alignment horizontal="center" readingOrder="0"/>
    </xf>
    <xf borderId="2" fillId="2" fontId="8" numFmtId="164" xfId="0" applyAlignment="1" applyBorder="1" applyFont="1" applyNumberFormat="1">
      <alignment horizontal="center" readingOrder="0"/>
    </xf>
    <xf borderId="1" fillId="2" fontId="8" numFmtId="164" xfId="0" applyAlignment="1" applyBorder="1" applyFont="1" applyNumberFormat="1">
      <alignment horizontal="center" readingOrder="0"/>
    </xf>
    <xf borderId="1" fillId="2" fontId="8" numFmtId="164" xfId="0" applyAlignment="1" applyBorder="1" applyFont="1" applyNumberFormat="1">
      <alignment horizontal="center"/>
    </xf>
    <xf borderId="3" fillId="2" fontId="8" numFmtId="164" xfId="0" applyAlignment="1" applyBorder="1" applyFont="1" applyNumberFormat="1">
      <alignment horizontal="center"/>
    </xf>
    <xf borderId="4" fillId="2" fontId="8" numFmtId="164" xfId="0" applyAlignment="1" applyBorder="1" applyFont="1" applyNumberFormat="1">
      <alignment horizontal="center"/>
    </xf>
    <xf borderId="1" fillId="3" fontId="8" numFmtId="3" xfId="0" applyAlignment="1" applyBorder="1" applyFont="1" applyNumberFormat="1">
      <alignment horizontal="center" readingOrder="0" vertical="center"/>
    </xf>
    <xf borderId="5" fillId="2" fontId="8" numFmtId="0" xfId="0" applyAlignment="1" applyBorder="1" applyFont="1">
      <alignment horizontal="center" readingOrder="0" vertical="center"/>
    </xf>
    <xf borderId="3" fillId="2" fontId="8" numFmtId="164" xfId="0" applyAlignment="1" applyBorder="1" applyFont="1" applyNumberFormat="1">
      <alignment horizontal="center" readingOrder="0"/>
    </xf>
    <xf borderId="0" fillId="5" fontId="9" numFmtId="0" xfId="0" applyAlignment="1" applyFont="1">
      <alignment horizontal="center" readingOrder="0" vertical="center"/>
    </xf>
    <xf borderId="0" fillId="0" fontId="7" numFmtId="0" xfId="0" applyAlignment="1" applyFont="1">
      <alignment vertical="center"/>
    </xf>
    <xf borderId="0" fillId="0" fontId="4" numFmtId="0" xfId="0" applyAlignment="1" applyFont="1">
      <alignment horizontal="center" readingOrder="0" vertical="center"/>
    </xf>
    <xf borderId="2" fillId="3" fontId="8" numFmtId="164" xfId="0" applyAlignment="1" applyBorder="1" applyFont="1" applyNumberFormat="1">
      <alignment horizontal="center" readingOrder="0" vertical="center"/>
    </xf>
    <xf borderId="3" fillId="3" fontId="8" numFmtId="164" xfId="0" applyAlignment="1" applyBorder="1" applyFont="1" applyNumberFormat="1">
      <alignment horizontal="center" readingOrder="0" vertical="center"/>
    </xf>
    <xf borderId="1" fillId="3" fontId="8" numFmtId="164" xfId="0" applyAlignment="1" applyBorder="1" applyFont="1" applyNumberFormat="1">
      <alignment horizontal="center" vertical="center"/>
    </xf>
    <xf borderId="4" fillId="3" fontId="8" numFmtId="164" xfId="0" applyAlignment="1" applyBorder="1" applyFont="1" applyNumberFormat="1">
      <alignment horizontal="center" vertical="center"/>
    </xf>
    <xf borderId="0" fillId="0" fontId="8" numFmtId="0" xfId="0" applyAlignment="1" applyFont="1">
      <alignment vertical="center"/>
    </xf>
    <xf borderId="0" fillId="0" fontId="4" numFmtId="0" xfId="0" applyFont="1"/>
    <xf borderId="2" fillId="2" fontId="5" numFmtId="0" xfId="0" applyAlignment="1" applyBorder="1" applyFont="1">
      <alignment horizontal="center" readingOrder="0" shrinkToFit="0" vertical="center" wrapText="1"/>
    </xf>
    <xf borderId="1" fillId="2" fontId="4" numFmtId="0" xfId="0" applyAlignment="1" applyBorder="1" applyFont="1">
      <alignment horizontal="right" readingOrder="0" shrinkToFit="0" vertical="center" wrapText="1"/>
    </xf>
    <xf borderId="3" fillId="2" fontId="4" numFmtId="0" xfId="0" applyAlignment="1" applyBorder="1" applyFont="1">
      <alignment horizontal="center" readingOrder="0" shrinkToFit="0" vertical="center" wrapText="1"/>
    </xf>
    <xf borderId="1" fillId="2" fontId="4" numFmtId="0" xfId="0" applyAlignment="1" applyBorder="1" applyFont="1">
      <alignment horizontal="left" readingOrder="0" shrinkToFit="0" vertical="center" wrapText="1"/>
    </xf>
    <xf borderId="0" fillId="0" fontId="1" numFmtId="0" xfId="0" applyAlignment="1" applyFont="1">
      <alignment vertical="center"/>
    </xf>
    <xf borderId="2" fillId="2" fontId="5" numFmtId="0" xfId="0" applyAlignment="1" applyBorder="1" applyFont="1">
      <alignment horizontal="center" shrinkToFit="0" vertical="center" wrapText="1"/>
    </xf>
    <xf borderId="0" fillId="4" fontId="2" numFmtId="0" xfId="0" applyAlignment="1" applyFont="1">
      <alignment horizontal="center" shrinkToFit="0" vertical="center" wrapText="1"/>
    </xf>
    <xf borderId="1" fillId="2" fontId="8" numFmtId="166" xfId="0" applyAlignment="1" applyBorder="1" applyFont="1" applyNumberFormat="1">
      <alignment horizontal="center" readingOrder="0" vertical="center"/>
    </xf>
    <xf borderId="2" fillId="3" fontId="4" numFmtId="0" xfId="0" applyAlignment="1" applyBorder="1" applyFont="1">
      <alignment horizontal="center" readingOrder="0" vertical="center"/>
    </xf>
    <xf borderId="2" fillId="3" fontId="4" numFmtId="164" xfId="0" applyAlignment="1" applyBorder="1" applyFont="1" applyNumberFormat="1">
      <alignment horizontal="center" readingOrder="0" vertical="center"/>
    </xf>
    <xf borderId="0" fillId="4" fontId="5" numFmtId="0" xfId="0" applyAlignment="1" applyFont="1">
      <alignment horizontal="center" vertical="center"/>
    </xf>
    <xf borderId="1" fillId="3" fontId="4" numFmtId="0" xfId="0" applyAlignment="1" applyBorder="1" applyFont="1">
      <alignment horizontal="center" vertical="center"/>
    </xf>
    <xf borderId="2" fillId="3" fontId="4" numFmtId="0" xfId="0" applyAlignment="1" applyBorder="1" applyFont="1">
      <alignment horizontal="center" readingOrder="0" shrinkToFit="0" vertical="center" wrapText="1"/>
    </xf>
    <xf borderId="0" fillId="5" fontId="8" numFmtId="49" xfId="0" applyAlignment="1" applyFont="1" applyNumberFormat="1">
      <alignment horizontal="center" readingOrder="0" vertical="center"/>
    </xf>
    <xf borderId="1" fillId="3" fontId="8" numFmtId="0" xfId="0" applyAlignment="1" applyBorder="1" applyFont="1">
      <alignment horizontal="center" readingOrder="0" vertical="center"/>
    </xf>
    <xf borderId="2" fillId="2" fontId="4" numFmtId="0" xfId="0" applyAlignment="1" applyBorder="1" applyFont="1">
      <alignment horizontal="center" readingOrder="0" vertical="center"/>
    </xf>
    <xf borderId="2" fillId="2" fontId="4" numFmtId="167" xfId="0" applyAlignment="1" applyBorder="1" applyFont="1" applyNumberFormat="1">
      <alignment horizontal="center" readingOrder="0" vertical="center"/>
    </xf>
    <xf borderId="0" fillId="0" fontId="5" numFmtId="0" xfId="0" applyAlignment="1" applyFont="1">
      <alignment vertical="center"/>
    </xf>
    <xf borderId="2" fillId="2" fontId="4" numFmtId="164" xfId="0" applyAlignment="1" applyBorder="1" applyFont="1" applyNumberFormat="1">
      <alignment horizontal="center" readingOrder="0" vertical="center"/>
    </xf>
    <xf borderId="0" fillId="4" fontId="4" numFmtId="164" xfId="0" applyAlignment="1" applyFont="1" applyNumberFormat="1">
      <alignment horizontal="center" readingOrder="0" vertical="center"/>
    </xf>
    <xf borderId="2" fillId="2" fontId="8" numFmtId="164" xfId="0" applyAlignment="1" applyBorder="1" applyFont="1" applyNumberFormat="1">
      <alignment horizontal="center" readingOrder="0" shrinkToFit="0" vertical="center" wrapText="1"/>
    </xf>
    <xf borderId="1" fillId="2" fontId="8" numFmtId="164" xfId="0" applyAlignment="1" applyBorder="1" applyFont="1" applyNumberFormat="1">
      <alignment horizontal="center" readingOrder="0" shrinkToFit="0" vertical="center" wrapText="1"/>
    </xf>
    <xf borderId="1" fillId="2" fontId="8" numFmtId="49" xfId="0" applyAlignment="1" applyBorder="1" applyFont="1" applyNumberFormat="1">
      <alignment horizontal="center" readingOrder="0" vertical="center"/>
    </xf>
    <xf borderId="2" fillId="3" fontId="4" numFmtId="168" xfId="0" applyAlignment="1" applyBorder="1" applyFont="1" applyNumberFormat="1">
      <alignment horizontal="center" readingOrder="0" vertical="center"/>
    </xf>
    <xf borderId="0" fillId="0" fontId="4" numFmtId="0" xfId="0" applyAlignment="1" applyFont="1">
      <alignment vertical="center"/>
    </xf>
    <xf borderId="1" fillId="3" fontId="4" numFmtId="9" xfId="0" applyAlignment="1" applyBorder="1" applyFont="1" applyNumberFormat="1">
      <alignment horizontal="center" readingOrder="0" vertical="center"/>
    </xf>
    <xf borderId="0" fillId="4" fontId="4" numFmtId="164" xfId="0" applyAlignment="1" applyFont="1" applyNumberFormat="1">
      <alignment horizontal="center" vertical="center"/>
    </xf>
    <xf borderId="2" fillId="3" fontId="8" numFmtId="164" xfId="0" applyAlignment="1" applyBorder="1" applyFont="1" applyNumberFormat="1">
      <alignment horizontal="center" readingOrder="0" shrinkToFit="0" vertical="center" wrapText="1"/>
    </xf>
    <xf borderId="1" fillId="3" fontId="8" numFmtId="164" xfId="0" applyAlignment="1" applyBorder="1" applyFont="1" applyNumberFormat="1">
      <alignment horizontal="center" readingOrder="0" shrinkToFit="0" vertical="center" wrapText="1"/>
    </xf>
    <xf borderId="1" fillId="2" fontId="1" numFmtId="0" xfId="0" applyBorder="1" applyFont="1"/>
    <xf borderId="1" fillId="3" fontId="8" numFmtId="169" xfId="0" applyAlignment="1" applyBorder="1" applyFont="1" applyNumberFormat="1">
      <alignment horizontal="center" readingOrder="0" vertical="center"/>
    </xf>
    <xf borderId="1" fillId="2" fontId="4" numFmtId="164" xfId="0" applyAlignment="1" applyBorder="1" applyFont="1" applyNumberFormat="1">
      <alignment horizontal="center" readingOrder="0" vertical="center"/>
    </xf>
    <xf borderId="1" fillId="3" fontId="1" numFmtId="0" xfId="0" applyBorder="1" applyFont="1"/>
    <xf borderId="1" fillId="2" fontId="8" numFmtId="169" xfId="0" applyAlignment="1" applyBorder="1" applyFont="1" applyNumberFormat="1">
      <alignment horizontal="center" readingOrder="0" vertical="center"/>
    </xf>
    <xf borderId="1" fillId="3" fontId="8" numFmtId="0" xfId="0" applyAlignment="1" applyBorder="1" applyFont="1">
      <alignment horizontal="center" vertical="center"/>
    </xf>
    <xf borderId="2" fillId="3" fontId="8" numFmtId="164" xfId="0" applyAlignment="1" applyBorder="1" applyFont="1" applyNumberFormat="1">
      <alignment horizontal="center" vertical="center"/>
    </xf>
    <xf borderId="1" fillId="2" fontId="1" numFmtId="0" xfId="0" applyAlignment="1" applyBorder="1" applyFont="1">
      <alignment readingOrder="0"/>
    </xf>
    <xf borderId="1" fillId="3" fontId="8" numFmtId="170" xfId="0" applyAlignment="1" applyBorder="1" applyFont="1" applyNumberFormat="1">
      <alignment horizontal="center" readingOrder="0" vertical="center"/>
    </xf>
    <xf borderId="1" fillId="2" fontId="8" numFmtId="0" xfId="0" applyAlignment="1" applyBorder="1" applyFont="1">
      <alignment horizontal="center" vertical="center"/>
    </xf>
    <xf borderId="2" fillId="2" fontId="8" numFmtId="164" xfId="0" applyAlignment="1" applyBorder="1" applyFont="1" applyNumberFormat="1">
      <alignment horizontal="center" vertical="center"/>
    </xf>
    <xf borderId="2" fillId="6" fontId="8" numFmtId="164" xfId="0" applyAlignment="1" applyBorder="1" applyFill="1" applyFont="1" applyNumberFormat="1">
      <alignment horizontal="center" readingOrder="0" shrinkToFit="0" vertical="center" wrapText="1"/>
    </xf>
    <xf borderId="1" fillId="6" fontId="8" numFmtId="164" xfId="0" applyAlignment="1" applyBorder="1" applyFont="1" applyNumberFormat="1">
      <alignment horizontal="center" readingOrder="0" shrinkToFit="0" vertical="center" wrapText="1"/>
    </xf>
    <xf borderId="1" fillId="2" fontId="8" numFmtId="171" xfId="0" applyAlignment="1" applyBorder="1" applyFont="1" applyNumberFormat="1">
      <alignment horizontal="center" readingOrder="0" vertical="center"/>
    </xf>
    <xf borderId="1" fillId="3" fontId="8" numFmtId="172" xfId="0" applyAlignment="1" applyBorder="1" applyFont="1" applyNumberFormat="1">
      <alignment horizontal="center" readingOrder="0" vertical="center"/>
    </xf>
    <xf borderId="1" fillId="3" fontId="1" numFmtId="0" xfId="0" applyAlignment="1" applyBorder="1" applyFont="1">
      <alignment readingOrder="0"/>
    </xf>
    <xf borderId="1" fillId="2" fontId="8" numFmtId="2" xfId="0" applyAlignment="1" applyBorder="1" applyFont="1" applyNumberFormat="1">
      <alignment horizontal="center" readingOrder="0" vertical="center"/>
    </xf>
    <xf borderId="3" fillId="3" fontId="8" numFmtId="164" xfId="0" applyAlignment="1" applyBorder="1" applyFont="1" applyNumberFormat="1">
      <alignment horizontal="center" shrinkToFit="0" vertical="center" wrapText="1"/>
    </xf>
    <xf borderId="4" fillId="3" fontId="8" numFmtId="164" xfId="0" applyAlignment="1" applyBorder="1" applyFont="1" applyNumberFormat="1">
      <alignment horizontal="center" shrinkToFit="0" vertical="center" wrapText="1"/>
    </xf>
    <xf borderId="3" fillId="2" fontId="8" numFmtId="164" xfId="0" applyAlignment="1" applyBorder="1" applyFont="1" applyNumberFormat="1">
      <alignment horizontal="center" shrinkToFit="0" vertical="center" wrapText="1"/>
    </xf>
    <xf borderId="4" fillId="2" fontId="8" numFmtId="164" xfId="0" applyAlignment="1" applyBorder="1" applyFont="1" applyNumberFormat="1">
      <alignment horizontal="center" shrinkToFit="0" vertical="center" wrapText="1"/>
    </xf>
    <xf borderId="2" fillId="2" fontId="8" numFmtId="0" xfId="0" applyAlignment="1" applyBorder="1" applyFont="1">
      <alignment horizontal="center" readingOrder="0" vertical="center"/>
    </xf>
    <xf borderId="3" fillId="7" fontId="8" numFmtId="164" xfId="0" applyAlignment="1" applyBorder="1" applyFill="1" applyFont="1" applyNumberFormat="1">
      <alignment horizontal="center" shrinkToFit="0" vertical="center" wrapText="1"/>
    </xf>
    <xf borderId="4" fillId="2" fontId="8" numFmtId="164" xfId="0" applyAlignment="1" applyBorder="1" applyFont="1" applyNumberFormat="1">
      <alignment horizontal="center" readingOrder="0" shrinkToFit="0" vertical="center" wrapText="1"/>
    </xf>
    <xf borderId="4" fillId="7" fontId="8" numFmtId="164" xfId="0" applyAlignment="1" applyBorder="1" applyFont="1" applyNumberFormat="1">
      <alignment horizontal="center" shrinkToFit="0" vertical="center" wrapText="1"/>
    </xf>
    <xf borderId="6" fillId="2" fontId="8" numFmtId="0" xfId="0" applyAlignment="1" applyBorder="1" applyFont="1">
      <alignment horizontal="center" readingOrder="0" vertical="center"/>
    </xf>
    <xf borderId="7" fillId="2" fontId="3" numFmtId="0" xfId="0" applyBorder="1" applyFont="1"/>
    <xf borderId="8" fillId="2" fontId="8" numFmtId="0" xfId="0" applyAlignment="1" applyBorder="1" applyFont="1">
      <alignment horizontal="center" readingOrder="0" vertical="center"/>
    </xf>
    <xf borderId="1" fillId="2" fontId="8" numFmtId="0" xfId="0" applyAlignment="1" applyBorder="1" applyFont="1">
      <alignment horizontal="center" readingOrder="0" shrinkToFit="0" vertical="center" wrapText="1"/>
    </xf>
    <xf borderId="9" fillId="5" fontId="8" numFmtId="0" xfId="0" applyAlignment="1" applyBorder="1" applyFont="1">
      <alignment horizontal="center" readingOrder="0" vertical="center"/>
    </xf>
    <xf borderId="0" fillId="4" fontId="4" numFmtId="49" xfId="0" applyAlignment="1" applyFont="1" applyNumberFormat="1">
      <alignment horizontal="center" vertical="center"/>
    </xf>
    <xf borderId="4" fillId="6" fontId="8" numFmtId="164" xfId="0" applyAlignment="1" applyBorder="1" applyFont="1" applyNumberFormat="1">
      <alignment horizontal="center" shrinkToFit="0" vertical="center" wrapText="1"/>
    </xf>
    <xf borderId="3" fillId="6" fontId="8" numFmtId="164" xfId="0" applyAlignment="1" applyBorder="1" applyFont="1" applyNumberFormat="1">
      <alignment horizontal="center" shrinkToFit="0" vertical="center" wrapText="1"/>
    </xf>
    <xf borderId="2" fillId="3" fontId="8" numFmtId="164" xfId="0" applyAlignment="1" applyBorder="1" applyFont="1" applyNumberFormat="1">
      <alignment horizontal="center" readingOrder="0" shrinkToFit="0" vertical="center" wrapText="0"/>
    </xf>
    <xf borderId="4" fillId="2" fontId="8" numFmtId="0" xfId="0" applyAlignment="1" applyBorder="1" applyFont="1">
      <alignment horizontal="center" readingOrder="0" vertical="center"/>
    </xf>
    <xf borderId="0" fillId="0" fontId="8" numFmtId="0" xfId="0" applyAlignment="1" applyFont="1">
      <alignment horizontal="center" readingOrder="0" vertical="center"/>
    </xf>
    <xf borderId="10" fillId="2" fontId="8" numFmtId="0" xfId="0" applyAlignment="1" applyBorder="1" applyFont="1">
      <alignment horizontal="center" readingOrder="0" vertical="center"/>
    </xf>
    <xf borderId="10" fillId="2" fontId="8" numFmtId="164" xfId="0" applyAlignment="1" applyBorder="1" applyFont="1" applyNumberFormat="1">
      <alignment horizontal="center" readingOrder="0" vertical="center"/>
    </xf>
    <xf borderId="10" fillId="2" fontId="8" numFmtId="0" xfId="0" applyAlignment="1" applyBorder="1" applyFont="1">
      <alignment horizontal="center" vertical="center"/>
    </xf>
    <xf borderId="11" fillId="2" fontId="8" numFmtId="164" xfId="0" applyAlignment="1" applyBorder="1" applyFont="1" applyNumberFormat="1">
      <alignment horizontal="center" vertical="center"/>
    </xf>
    <xf borderId="12" fillId="2" fontId="3" numFmtId="0" xfId="0" applyBorder="1" applyFont="1"/>
    <xf borderId="13" fillId="2" fontId="3" numFmtId="0" xfId="0" applyBorder="1" applyFont="1"/>
    <xf borderId="5" fillId="3" fontId="8" numFmtId="0" xfId="0" applyAlignment="1" applyBorder="1" applyFont="1">
      <alignment horizontal="center" readingOrder="0" vertical="center"/>
    </xf>
    <xf borderId="5" fillId="3" fontId="8" numFmtId="49" xfId="0" applyAlignment="1" applyBorder="1" applyFont="1" applyNumberFormat="1">
      <alignment horizontal="center" vertical="center"/>
    </xf>
    <xf borderId="14" fillId="3" fontId="8" numFmtId="49" xfId="0" applyAlignment="1" applyBorder="1" applyFont="1" applyNumberFormat="1">
      <alignment horizontal="center" readingOrder="0" vertical="center"/>
    </xf>
    <xf borderId="15" fillId="3" fontId="3" numFmtId="0" xfId="0" applyBorder="1" applyFont="1"/>
    <xf borderId="16" fillId="3" fontId="3" numFmtId="0" xfId="0" applyBorder="1" applyFont="1"/>
    <xf borderId="0" fillId="4" fontId="1" numFmtId="0" xfId="0" applyFont="1"/>
    <xf borderId="5" fillId="3" fontId="8" numFmtId="49" xfId="0" applyAlignment="1" applyBorder="1" applyFont="1" applyNumberFormat="1">
      <alignment horizontal="center" readingOrder="0" vertical="center"/>
    </xf>
    <xf borderId="10" fillId="3" fontId="8" numFmtId="0" xfId="0" applyAlignment="1" applyBorder="1" applyFont="1">
      <alignment horizontal="center" readingOrder="0" vertical="center"/>
    </xf>
    <xf borderId="10" fillId="3" fontId="8" numFmtId="164" xfId="0" applyAlignment="1" applyBorder="1" applyFont="1" applyNumberFormat="1">
      <alignment horizontal="center" readingOrder="0" vertical="center"/>
    </xf>
    <xf borderId="17" fillId="4" fontId="8" numFmtId="0" xfId="0" applyAlignment="1" applyBorder="1" applyFont="1">
      <alignment horizontal="center" readingOrder="0" vertical="center"/>
    </xf>
    <xf borderId="2" fillId="2" fontId="8" numFmtId="49" xfId="0" applyAlignment="1" applyBorder="1" applyFont="1" applyNumberFormat="1">
      <alignment horizontal="center" readingOrder="0" vertical="center"/>
    </xf>
    <xf borderId="5" fillId="2" fontId="8" numFmtId="0" xfId="0" applyAlignment="1" applyBorder="1" applyFont="1">
      <alignment horizontal="center" vertical="center"/>
    </xf>
    <xf borderId="5" fillId="2" fontId="8" numFmtId="49" xfId="0" applyAlignment="1" applyBorder="1" applyFont="1" applyNumberFormat="1">
      <alignment horizontal="center" vertical="center"/>
    </xf>
    <xf borderId="17" fillId="4" fontId="8" numFmtId="0" xfId="0" applyAlignment="1" applyBorder="1" applyFont="1">
      <alignment horizontal="center" vertical="center"/>
    </xf>
    <xf borderId="1" fillId="3" fontId="8" numFmtId="49" xfId="0" applyAlignment="1" applyBorder="1" applyFont="1" applyNumberFormat="1">
      <alignment horizontal="center" readingOrder="0" vertical="center"/>
    </xf>
    <xf borderId="2" fillId="3" fontId="8" numFmtId="49" xfId="0" applyAlignment="1" applyBorder="1" applyFont="1" applyNumberFormat="1">
      <alignment horizontal="center" readingOrder="0" vertical="center"/>
    </xf>
    <xf borderId="1" fillId="3" fontId="8" numFmtId="49" xfId="0" applyAlignment="1" applyBorder="1" applyFont="1" applyNumberFormat="1">
      <alignment horizontal="center" vertical="center"/>
    </xf>
    <xf borderId="0" fillId="4" fontId="7" numFmtId="0" xfId="0" applyFont="1"/>
    <xf borderId="1" fillId="2" fontId="8" numFmtId="49" xfId="0" applyAlignment="1" applyBorder="1" applyFont="1" applyNumberFormat="1">
      <alignment horizontal="center" vertical="center"/>
    </xf>
    <xf borderId="0" fillId="4" fontId="8" numFmtId="0" xfId="0" applyFont="1"/>
    <xf borderId="1" fillId="2" fontId="8" numFmtId="0" xfId="0" applyAlignment="1" applyBorder="1" applyFont="1">
      <alignment readingOrder="0"/>
    </xf>
    <xf borderId="2" fillId="2" fontId="8" numFmtId="0" xfId="0" applyAlignment="1" applyBorder="1" applyFont="1">
      <alignment horizontal="center" vertical="center"/>
    </xf>
    <xf borderId="2" fillId="2" fontId="1" numFmtId="0" xfId="0" applyAlignment="1" applyBorder="1" applyFont="1">
      <alignment horizontal="center" readingOrder="0"/>
    </xf>
    <xf borderId="2" fillId="3" fontId="1" numFmtId="0" xfId="0" applyAlignment="1" applyBorder="1" applyFont="1">
      <alignment horizontal="center" readingOrder="0"/>
    </xf>
    <xf borderId="0" fillId="5" fontId="8" numFmtId="0" xfId="0" applyAlignment="1" applyFont="1">
      <alignment horizontal="center" readingOrder="0" vertical="center"/>
    </xf>
    <xf borderId="0" fillId="5" fontId="1" numFmtId="0" xfId="0" applyFont="1"/>
    <xf borderId="0" fillId="4" fontId="4" numFmtId="0" xfId="0" applyAlignment="1" applyFont="1">
      <alignment horizontal="center" readingOrder="0" vertical="center"/>
    </xf>
    <xf borderId="0" fillId="4" fontId="1" numFmtId="0" xfId="0" applyAlignment="1" applyFont="1">
      <alignment readingOrder="0"/>
    </xf>
    <xf borderId="1" fillId="2" fontId="5" numFmtId="0" xfId="0" applyAlignment="1" applyBorder="1" applyFont="1">
      <alignment horizontal="center" readingOrder="0" vertical="center"/>
    </xf>
    <xf borderId="1" fillId="3" fontId="4" numFmtId="0" xfId="0" applyAlignment="1" applyBorder="1" applyFont="1">
      <alignment horizontal="center" vertical="center"/>
    </xf>
    <xf borderId="2" fillId="2" fontId="4" numFmtId="0" xfId="0" applyAlignment="1" applyBorder="1" applyFont="1">
      <alignment horizontal="left" readingOrder="0" shrinkToFit="0" vertical="center" wrapText="1"/>
    </xf>
    <xf borderId="2" fillId="3" fontId="4" numFmtId="0" xfId="0" applyAlignment="1" applyBorder="1" applyFont="1">
      <alignment horizontal="left" readingOrder="0" shrinkToFit="0" vertical="center" wrapText="1"/>
    </xf>
    <xf borderId="3" fillId="0" fontId="3" numFmtId="0" xfId="0" applyBorder="1" applyFont="1"/>
    <xf borderId="4" fillId="0" fontId="3" numFmtId="0" xfId="0" applyBorder="1" applyFont="1"/>
    <xf borderId="2" fillId="3" fontId="4" numFmtId="0" xfId="0" applyAlignment="1" applyBorder="1" applyFont="1">
      <alignment horizontal="center" readingOrder="0"/>
    </xf>
    <xf borderId="14" fillId="3" fontId="8" numFmtId="0" xfId="0" applyAlignment="1" applyBorder="1" applyFont="1">
      <alignment horizontal="center" readingOrder="0" vertical="center"/>
    </xf>
    <xf borderId="1" fillId="2" fontId="5" numFmtId="0" xfId="0" applyAlignment="1" applyBorder="1" applyFont="1">
      <alignment horizontal="center" readingOrder="0" shrinkToFit="0" vertical="top" wrapText="1"/>
    </xf>
    <xf borderId="1" fillId="2" fontId="4" numFmtId="0" xfId="0" applyAlignment="1" applyBorder="1" applyFont="1">
      <alignment horizontal="left" readingOrder="0" shrinkToFit="0" vertical="top" wrapText="1"/>
    </xf>
    <xf borderId="2" fillId="2" fontId="8" numFmtId="0" xfId="0" applyAlignment="1" applyBorder="1" applyFont="1">
      <alignment horizontal="left" readingOrder="0" shrinkToFit="0" vertical="top" wrapText="1"/>
    </xf>
    <xf borderId="1" fillId="3" fontId="5" numFmtId="0" xfId="0" applyAlignment="1" applyBorder="1" applyFont="1">
      <alignment horizontal="center" readingOrder="0" shrinkToFit="0" vertical="top" wrapText="1"/>
    </xf>
    <xf borderId="1" fillId="3" fontId="4" numFmtId="0" xfId="0" applyAlignment="1" applyBorder="1" applyFont="1">
      <alignment horizontal="left" readingOrder="0" shrinkToFit="0" vertical="top" wrapText="1"/>
    </xf>
    <xf borderId="2" fillId="3" fontId="8" numFmtId="0" xfId="0" applyAlignment="1" applyBorder="1" applyFont="1">
      <alignment horizontal="left" readingOrder="0" shrinkToFit="0" vertical="top" wrapText="1"/>
    </xf>
    <xf borderId="0" fillId="0" fontId="4" numFmtId="0" xfId="0" applyAlignment="1" applyFont="1">
      <alignment horizontal="left" readingOrder="0" shrinkToFit="0" vertical="top" wrapText="1"/>
    </xf>
    <xf borderId="2" fillId="2" fontId="10" numFmtId="0" xfId="0" applyAlignment="1" applyBorder="1" applyFont="1">
      <alignment horizontal="center" vertical="center"/>
    </xf>
    <xf borderId="1" fillId="2" fontId="11" numFmtId="0" xfId="0" applyAlignment="1" applyBorder="1" applyFont="1">
      <alignment horizontal="center" readingOrder="0" vertical="center"/>
    </xf>
    <xf borderId="1" fillId="3" fontId="10" numFmtId="0" xfId="0" applyAlignment="1" applyBorder="1" applyFont="1">
      <alignment horizontal="center" vertical="center"/>
    </xf>
    <xf borderId="4" fillId="3" fontId="10" numFmtId="0" xfId="0" applyAlignment="1" applyBorder="1" applyFont="1">
      <alignment horizontal="center" vertical="center"/>
    </xf>
    <xf borderId="1" fillId="2" fontId="1" numFmtId="0" xfId="0" applyBorder="1" applyFont="1"/>
    <xf borderId="4" fillId="2" fontId="1" numFmtId="0" xfId="0" applyBorder="1" applyFont="1"/>
    <xf borderId="4" fillId="2" fontId="1" numFmtId="0" xfId="0" applyAlignment="1" applyBorder="1" applyFont="1">
      <alignment vertical="top"/>
    </xf>
    <xf borderId="15" fillId="2" fontId="8" numFmtId="0" xfId="0" applyAlignment="1" applyBorder="1" applyFont="1">
      <alignment horizontal="left" readingOrder="0" shrinkToFit="0" vertical="top" wrapText="1"/>
    </xf>
    <xf borderId="15" fillId="2" fontId="3" numFmtId="0" xfId="0" applyBorder="1" applyFont="1"/>
    <xf borderId="16" fillId="2" fontId="3" numFmtId="0" xfId="0" applyBorder="1" applyFont="1"/>
    <xf borderId="5" fillId="3" fontId="1" numFmtId="0" xfId="0" applyBorder="1" applyFont="1"/>
    <xf borderId="16" fillId="3" fontId="1" numFmtId="0" xfId="0" applyBorder="1" applyFont="1"/>
    <xf borderId="15" fillId="3" fontId="8" numFmtId="0" xfId="0" applyAlignment="1" applyBorder="1" applyFont="1">
      <alignment horizontal="left" readingOrder="0" shrinkToFit="0" vertical="top" wrapText="1"/>
    </xf>
    <xf borderId="5" fillId="2" fontId="1" numFmtId="0" xfId="0" applyAlignment="1" applyBorder="1" applyFont="1">
      <alignment vertical="top"/>
    </xf>
    <xf borderId="16" fillId="2" fontId="1" numFmtId="0" xfId="0" applyAlignment="1" applyBorder="1" applyFont="1">
      <alignment vertical="top"/>
    </xf>
    <xf borderId="5" fillId="3" fontId="1" numFmtId="0" xfId="0" applyAlignment="1" applyBorder="1" applyFont="1">
      <alignment vertical="top"/>
    </xf>
    <xf borderId="16" fillId="3" fontId="1" numFmtId="0" xfId="0" applyAlignment="1" applyBorder="1" applyFont="1">
      <alignment vertical="top"/>
    </xf>
    <xf borderId="0" fillId="5" fontId="1" numFmtId="0" xfId="0" applyAlignment="1" applyFont="1">
      <alignment vertical="top"/>
    </xf>
    <xf borderId="0" fillId="5" fontId="4" numFmtId="0" xfId="0" applyAlignment="1" applyFont="1">
      <alignment horizontal="left" readingOrder="0" shrinkToFit="0" vertical="top" wrapText="1"/>
    </xf>
    <xf borderId="0" fillId="0" fontId="12" numFmtId="0" xfId="0" applyAlignment="1" applyFont="1">
      <alignment horizontal="center" vertical="center"/>
    </xf>
    <xf borderId="0" fillId="0" fontId="12" numFmtId="0" xfId="0" applyAlignment="1" applyFont="1">
      <alignment horizontal="center" shrinkToFit="0" vertical="center" wrapText="1"/>
    </xf>
    <xf borderId="0" fillId="0" fontId="13" numFmtId="0" xfId="0" applyAlignment="1" applyFont="1">
      <alignment horizontal="center"/>
    </xf>
    <xf borderId="2" fillId="2" fontId="4" numFmtId="0" xfId="0" applyAlignment="1" applyBorder="1" applyFont="1">
      <alignment horizontal="center" vertical="center"/>
    </xf>
    <xf borderId="0" fillId="0" fontId="5" numFmtId="0" xfId="0" applyAlignment="1" applyFont="1">
      <alignment horizontal="center" shrinkToFit="0" vertical="center" wrapText="1"/>
    </xf>
    <xf borderId="1" fillId="2" fontId="4" numFmtId="0" xfId="0" applyAlignment="1" applyBorder="1" applyFont="1">
      <alignment horizontal="center" shrinkToFit="0" vertical="center" wrapText="1"/>
    </xf>
    <xf borderId="1" fillId="2" fontId="4" numFmtId="0" xfId="0" applyAlignment="1" applyBorder="1" applyFont="1">
      <alignment horizontal="center" vertical="center"/>
    </xf>
    <xf borderId="2" fillId="3" fontId="4" numFmtId="0" xfId="0" applyAlignment="1" applyBorder="1" applyFont="1">
      <alignment horizontal="center" shrinkToFit="0" vertical="top" wrapText="1"/>
    </xf>
    <xf borderId="1" fillId="3" fontId="14" numFmtId="0" xfId="0" applyAlignment="1" applyBorder="1" applyFont="1">
      <alignment horizontal="center" vertical="center"/>
    </xf>
    <xf borderId="0" fillId="0" fontId="5" numFmtId="0" xfId="0" applyAlignment="1" applyFont="1">
      <alignment horizontal="center" vertical="center"/>
    </xf>
    <xf borderId="1" fillId="3" fontId="4" numFmtId="0" xfId="0" applyAlignment="1" applyBorder="1" applyFont="1">
      <alignment horizontal="center" vertical="center"/>
    </xf>
    <xf borderId="2" fillId="3" fontId="4" numFmtId="0" xfId="0" applyAlignment="1" applyBorder="1" applyFont="1">
      <alignment horizontal="center" vertical="center"/>
    </xf>
    <xf borderId="1" fillId="3" fontId="4" numFmtId="173" xfId="0" applyAlignment="1" applyBorder="1" applyFont="1" applyNumberFormat="1">
      <alignment horizontal="center" vertical="center"/>
    </xf>
    <xf borderId="2" fillId="3" fontId="4" numFmtId="164" xfId="0" applyAlignment="1" applyBorder="1" applyFont="1" applyNumberFormat="1">
      <alignment horizontal="center" vertical="center"/>
    </xf>
    <xf borderId="2" fillId="2" fontId="4" numFmtId="0" xfId="0" applyAlignment="1" applyBorder="1" applyFont="1">
      <alignment horizontal="center" shrinkToFit="0" vertical="top" wrapText="1"/>
    </xf>
    <xf borderId="1" fillId="2" fontId="14" numFmtId="0" xfId="0" applyAlignment="1" applyBorder="1" applyFont="1">
      <alignment horizontal="center" vertical="center"/>
    </xf>
    <xf borderId="2" fillId="2" fontId="4" numFmtId="164" xfId="0" applyAlignment="1" applyBorder="1" applyFont="1" applyNumberFormat="1">
      <alignment horizontal="center" vertical="center"/>
    </xf>
    <xf borderId="0" fillId="0" fontId="7" numFmtId="0" xfId="0" applyAlignment="1" applyFont="1">
      <alignment horizontal="left" shrinkToFit="0" vertical="top" wrapText="1"/>
    </xf>
    <xf borderId="0" fillId="4" fontId="7" numFmtId="0" xfId="0" applyAlignment="1" applyFont="1">
      <alignment horizontal="left" shrinkToFit="0" vertical="top" wrapText="1"/>
    </xf>
    <xf borderId="8" fillId="3" fontId="4" numFmtId="0" xfId="0" applyAlignment="1" applyBorder="1" applyFont="1">
      <alignment horizontal="center" vertical="center"/>
    </xf>
    <xf borderId="16" fillId="3" fontId="4" numFmtId="0" xfId="0" applyAlignment="1" applyBorder="1" applyFont="1">
      <alignment horizontal="center" vertical="center"/>
    </xf>
    <xf borderId="1" fillId="3" fontId="4" numFmtId="0" xfId="0" applyAlignment="1" applyBorder="1" applyFont="1">
      <alignment horizontal="center" shrinkToFit="0" vertical="center" wrapText="1"/>
    </xf>
    <xf borderId="1" fillId="3" fontId="4" numFmtId="0" xfId="0" applyAlignment="1" applyBorder="1" applyFont="1">
      <alignment horizontal="center" shrinkToFit="0" vertical="top" wrapText="1"/>
    </xf>
    <xf borderId="2" fillId="3" fontId="4" numFmtId="0" xfId="0" applyAlignment="1" applyBorder="1" applyFont="1">
      <alignment horizontal="center" shrinkToFit="0" vertical="center" wrapText="1"/>
    </xf>
    <xf borderId="0" fillId="0" fontId="1" numFmtId="0" xfId="0" applyFont="1"/>
    <xf borderId="1" fillId="2" fontId="8" numFmtId="0" xfId="0" applyAlignment="1" applyBorder="1" applyFont="1">
      <alignment horizontal="center" vertical="center"/>
    </xf>
    <xf borderId="1" fillId="2" fontId="8" numFmtId="164" xfId="0" applyAlignment="1" applyBorder="1" applyFont="1" applyNumberFormat="1">
      <alignment horizontal="center" vertical="center"/>
    </xf>
    <xf borderId="1" fillId="2" fontId="8" numFmtId="0" xfId="0" applyAlignment="1" applyBorder="1" applyFont="1">
      <alignment horizontal="center" shrinkToFit="0" vertical="top" wrapText="1"/>
    </xf>
    <xf borderId="1" fillId="2" fontId="8" numFmtId="164" xfId="0" applyAlignment="1" applyBorder="1" applyFont="1" applyNumberFormat="1">
      <alignment horizontal="center" readingOrder="0" shrinkToFit="0" vertical="top" wrapText="1"/>
    </xf>
    <xf borderId="2" fillId="2" fontId="8" numFmtId="0" xfId="0" applyAlignment="1" applyBorder="1" applyFont="1">
      <alignment horizontal="center" shrinkToFit="0" vertical="top" wrapText="1"/>
    </xf>
    <xf borderId="1" fillId="3" fontId="8" numFmtId="0" xfId="0" applyAlignment="1" applyBorder="1" applyFont="1">
      <alignment horizontal="center" vertical="center"/>
    </xf>
    <xf borderId="1" fillId="3" fontId="8" numFmtId="164" xfId="0" applyAlignment="1" applyBorder="1" applyFont="1" applyNumberFormat="1">
      <alignment horizontal="center" vertical="center"/>
    </xf>
    <xf borderId="1" fillId="3" fontId="8" numFmtId="0" xfId="0" applyAlignment="1" applyBorder="1" applyFont="1">
      <alignment horizontal="center" shrinkToFit="0" vertical="top" wrapText="1"/>
    </xf>
    <xf borderId="1" fillId="3" fontId="8" numFmtId="164" xfId="0" applyAlignment="1" applyBorder="1" applyFont="1" applyNumberFormat="1">
      <alignment horizontal="center" readingOrder="0" shrinkToFit="0" vertical="top" wrapText="1"/>
    </xf>
    <xf borderId="2" fillId="3" fontId="8" numFmtId="0" xfId="0" applyAlignment="1" applyBorder="1" applyFont="1">
      <alignment horizontal="center" shrinkToFit="0" vertical="top" wrapText="1"/>
    </xf>
    <xf borderId="6" fillId="2" fontId="4" numFmtId="0" xfId="0" applyAlignment="1" applyBorder="1" applyFont="1">
      <alignment horizontal="center" vertical="center"/>
    </xf>
    <xf borderId="7" fillId="0" fontId="3" numFmtId="0" xfId="0" applyBorder="1" applyFont="1"/>
    <xf borderId="8" fillId="2" fontId="4" numFmtId="0" xfId="0" applyAlignment="1" applyBorder="1" applyFont="1">
      <alignment horizontal="center" readingOrder="0" vertical="center"/>
    </xf>
    <xf borderId="14" fillId="0" fontId="3" numFmtId="0" xfId="0" applyBorder="1" applyFont="1"/>
    <xf borderId="16" fillId="0" fontId="3" numFmtId="0" xfId="0" applyBorder="1" applyFont="1"/>
    <xf borderId="5" fillId="0" fontId="3" numFmtId="0" xfId="0" applyBorder="1" applyFont="1"/>
    <xf borderId="2" fillId="8" fontId="4" numFmtId="0" xfId="0" applyAlignment="1" applyBorder="1" applyFill="1" applyFont="1">
      <alignment horizontal="center" vertical="center"/>
    </xf>
    <xf borderId="8" fillId="3" fontId="4" numFmtId="164" xfId="0" applyAlignment="1" applyBorder="1" applyFont="1" applyNumberFormat="1">
      <alignment horizontal="center" readingOrder="0" vertical="center"/>
    </xf>
    <xf borderId="2" fillId="9" fontId="4" numFmtId="0" xfId="0" applyAlignment="1" applyBorder="1" applyFill="1" applyFont="1">
      <alignment horizontal="center" vertical="center"/>
    </xf>
    <xf borderId="18" fillId="0" fontId="3" numFmtId="0" xfId="0" applyBorder="1" applyFont="1"/>
    <xf borderId="2" fillId="10" fontId="4" numFmtId="0" xfId="0" applyAlignment="1" applyBorder="1" applyFill="1" applyFont="1">
      <alignment horizontal="center" vertical="center"/>
    </xf>
    <xf borderId="1" fillId="2" fontId="14" numFmtId="0" xfId="0" applyAlignment="1" applyBorder="1" applyFont="1">
      <alignment horizontal="center" readingOrder="0" vertical="center"/>
    </xf>
    <xf borderId="0" fillId="0" fontId="4" numFmtId="0" xfId="0" applyAlignment="1" applyFont="1">
      <alignment horizontal="center" vertical="center"/>
    </xf>
    <xf borderId="2" fillId="2" fontId="4" numFmtId="0" xfId="0" applyAlignment="1" applyBorder="1" applyFont="1">
      <alignment horizontal="center"/>
    </xf>
    <xf borderId="0" fillId="0" fontId="15" numFmtId="0" xfId="0" applyAlignment="1" applyFont="1">
      <alignment horizontal="center" shrinkToFit="0" wrapText="1"/>
    </xf>
    <xf borderId="1" fillId="3" fontId="0" numFmtId="0" xfId="0" applyAlignment="1" applyBorder="1" applyFont="1">
      <alignment horizontal="center" shrinkToFit="0" vertical="top" wrapText="1"/>
    </xf>
    <xf borderId="1" fillId="3" fontId="8" numFmtId="0" xfId="0" applyAlignment="1" applyBorder="1" applyFont="1">
      <alignment horizontal="center" vertical="top"/>
    </xf>
    <xf borderId="2" fillId="3" fontId="8" numFmtId="0" xfId="0" applyAlignment="1" applyBorder="1" applyFont="1">
      <alignment horizontal="center" vertical="top"/>
    </xf>
    <xf borderId="1" fillId="3" fontId="8" numFmtId="164" xfId="0" applyAlignment="1" applyBorder="1" applyFont="1" applyNumberFormat="1">
      <alignment horizontal="center" vertical="top"/>
    </xf>
    <xf borderId="2" fillId="3" fontId="8" numFmtId="0" xfId="0" applyAlignment="1" applyBorder="1" applyFont="1">
      <alignment horizontal="center"/>
    </xf>
    <xf borderId="1" fillId="2" fontId="0" numFmtId="0" xfId="0" applyAlignment="1" applyBorder="1" applyFont="1">
      <alignment horizontal="center" readingOrder="0" shrinkToFit="0" vertical="top" wrapText="1"/>
    </xf>
    <xf borderId="1" fillId="2" fontId="8" numFmtId="0" xfId="0" applyAlignment="1" applyBorder="1" applyFont="1">
      <alignment horizontal="center" vertical="top"/>
    </xf>
    <xf borderId="1" fillId="2" fontId="8" numFmtId="0" xfId="0" applyAlignment="1" applyBorder="1" applyFont="1">
      <alignment horizontal="center" readingOrder="0" vertical="top"/>
    </xf>
    <xf borderId="2" fillId="2" fontId="8" numFmtId="0" xfId="0" applyAlignment="1" applyBorder="1" applyFont="1">
      <alignment horizontal="center" readingOrder="0" vertical="top"/>
    </xf>
    <xf borderId="1" fillId="2" fontId="8" numFmtId="164" xfId="0" applyAlignment="1" applyBorder="1" applyFont="1" applyNumberFormat="1">
      <alignment horizontal="center" vertical="top"/>
    </xf>
    <xf borderId="2" fillId="2" fontId="8" numFmtId="0" xfId="0" applyAlignment="1" applyBorder="1" applyFont="1">
      <alignment readingOrder="0" vertical="top"/>
    </xf>
    <xf borderId="2" fillId="3" fontId="8" numFmtId="0" xfId="0" applyAlignment="1" applyBorder="1" applyFont="1">
      <alignment vertical="top"/>
    </xf>
    <xf borderId="1" fillId="2" fontId="0" numFmtId="0" xfId="0" applyAlignment="1" applyBorder="1" applyFont="1">
      <alignment horizontal="center" shrinkToFit="0" vertical="top" wrapText="1"/>
    </xf>
    <xf borderId="2" fillId="2" fontId="8" numFmtId="0" xfId="0" applyAlignment="1" applyBorder="1" applyFont="1">
      <alignment horizontal="center" vertical="top"/>
    </xf>
    <xf borderId="2" fillId="2" fontId="8" numFmtId="0" xfId="0" applyAlignment="1" applyBorder="1" applyFont="1">
      <alignment shrinkToFit="0" vertical="top" wrapText="1"/>
    </xf>
    <xf borderId="0" fillId="0" fontId="16" numFmtId="0" xfId="0" applyAlignment="1" applyFont="1">
      <alignment horizontal="center" shrinkToFit="0" wrapText="1"/>
    </xf>
    <xf borderId="2" fillId="3" fontId="8" numFmtId="0" xfId="0" applyAlignment="1" applyBorder="1" applyFont="1">
      <alignment shrinkToFit="0" vertical="top" wrapText="1"/>
    </xf>
    <xf borderId="2" fillId="3" fontId="8" numFmtId="0" xfId="0" applyAlignment="1" applyBorder="1" applyFont="1">
      <alignment horizontal="center" readingOrder="0" vertical="top"/>
    </xf>
    <xf borderId="2" fillId="3" fontId="8" numFmtId="0" xfId="0" applyAlignment="1" applyBorder="1" applyFont="1">
      <alignment readingOrder="0" shrinkToFit="0" vertical="top" wrapText="1"/>
    </xf>
    <xf borderId="0" fillId="3" fontId="8" numFmtId="0" xfId="0" applyAlignment="1" applyFont="1">
      <alignment shrinkToFit="0" vertical="top" wrapText="1"/>
    </xf>
    <xf borderId="19" fillId="3" fontId="3" numFmtId="0" xfId="0" applyBorder="1" applyFont="1"/>
    <xf borderId="19" fillId="2" fontId="0" numFmtId="164" xfId="0" applyAlignment="1" applyBorder="1" applyFont="1" applyNumberFormat="1">
      <alignment horizontal="center" vertical="top"/>
    </xf>
    <xf borderId="0" fillId="3" fontId="0" numFmtId="164" xfId="0" applyAlignment="1" applyFont="1" applyNumberFormat="1">
      <alignment horizontal="center" vertical="top"/>
    </xf>
    <xf borderId="2" fillId="3" fontId="8" numFmtId="0" xfId="0" applyAlignment="1" applyBorder="1" applyFont="1">
      <alignment horizontal="left" shrinkToFit="0" vertical="top" wrapText="1"/>
    </xf>
    <xf borderId="2" fillId="2" fontId="8" numFmtId="0" xfId="0" applyAlignment="1" applyBorder="1" applyFont="1">
      <alignment horizontal="left" shrinkToFit="0" vertical="top" wrapText="1"/>
    </xf>
    <xf borderId="1" fillId="2" fontId="8" numFmtId="0" xfId="0" applyAlignment="1" applyBorder="1" applyFont="1">
      <alignment horizontal="center" readingOrder="0" shrinkToFit="0" vertical="top" wrapText="1"/>
    </xf>
    <xf borderId="0" fillId="2" fontId="0" numFmtId="0" xfId="0" applyAlignment="1" applyFont="1">
      <alignment horizontal="center" vertical="top"/>
    </xf>
    <xf borderId="1" fillId="3" fontId="8" numFmtId="0" xfId="0" applyAlignment="1" applyBorder="1" applyFont="1">
      <alignment horizontal="center" shrinkToFit="0" vertical="center" wrapText="1"/>
    </xf>
    <xf borderId="2" fillId="3" fontId="8" numFmtId="0" xfId="0" applyAlignment="1" applyBorder="1" applyFont="1">
      <alignment horizontal="center" vertical="center"/>
    </xf>
    <xf borderId="6" fillId="3" fontId="8" numFmtId="0" xfId="0" applyAlignment="1" applyBorder="1" applyFont="1">
      <alignment horizontal="center" vertical="top"/>
    </xf>
    <xf borderId="6" fillId="3" fontId="8" numFmtId="0" xfId="0" applyAlignment="1" applyBorder="1" applyFont="1">
      <alignment shrinkToFit="0" vertical="top" wrapText="1"/>
    </xf>
    <xf borderId="6" fillId="2" fontId="8" numFmtId="0" xfId="0" applyAlignment="1" applyBorder="1" applyFont="1">
      <alignment horizontal="center" vertical="top"/>
    </xf>
    <xf borderId="6" fillId="2" fontId="8" numFmtId="0" xfId="0" applyAlignment="1" applyBorder="1" applyFont="1">
      <alignment shrinkToFit="0" vertical="top" wrapText="1"/>
    </xf>
    <xf borderId="17" fillId="0" fontId="3" numFmtId="0" xfId="0" applyBorder="1" applyFont="1"/>
    <xf borderId="19" fillId="0" fontId="3" numFmtId="0" xfId="0" applyBorder="1" applyFont="1"/>
    <xf borderId="0" fillId="0" fontId="1" numFmtId="0" xfId="0" applyAlignment="1" applyFont="1">
      <alignment vertical="top"/>
    </xf>
    <xf borderId="0" fillId="0" fontId="1" numFmtId="0" xfId="0" applyAlignment="1" applyFont="1">
      <alignment horizontal="center" vertical="top"/>
    </xf>
    <xf borderId="3" fillId="3" fontId="4" numFmtId="0" xfId="0" applyAlignment="1" applyBorder="1" applyFont="1">
      <alignment horizontal="center" readingOrder="0" vertical="center"/>
    </xf>
    <xf borderId="2" fillId="2" fontId="1" numFmtId="0" xfId="0" applyAlignment="1" applyBorder="1" applyFont="1">
      <alignment readingOrder="0"/>
    </xf>
    <xf borderId="0" fillId="0" fontId="12" numFmtId="0" xfId="0" applyAlignment="1" applyFont="1">
      <alignment horizontal="center" readingOrder="0" vertical="center"/>
    </xf>
    <xf borderId="0" fillId="0" fontId="12" numFmtId="0" xfId="0" applyAlignment="1" applyFont="1">
      <alignment horizontal="center" readingOrder="0" shrinkToFit="0" vertical="center" wrapText="1"/>
    </xf>
    <xf borderId="0" fillId="0" fontId="12" numFmtId="0" xfId="0" applyFont="1"/>
    <xf borderId="6" fillId="2" fontId="5" numFmtId="0" xfId="0" applyAlignment="1" applyBorder="1" applyFont="1">
      <alignment horizontal="center" readingOrder="0" vertical="center"/>
    </xf>
    <xf borderId="9" fillId="0" fontId="3" numFmtId="0" xfId="0" applyBorder="1" applyFont="1"/>
    <xf borderId="1" fillId="11" fontId="8" numFmtId="0" xfId="0" applyAlignment="1" applyBorder="1" applyFill="1" applyFont="1">
      <alignment horizontal="center" readingOrder="0" vertical="top"/>
    </xf>
    <xf borderId="1" fillId="11" fontId="8" numFmtId="174" xfId="0" applyAlignment="1" applyBorder="1" applyFont="1" applyNumberFormat="1">
      <alignment horizontal="center" readingOrder="0" vertical="top"/>
    </xf>
    <xf borderId="8" fillId="3" fontId="5" numFmtId="0" xfId="0" applyAlignment="1" applyBorder="1" applyFont="1">
      <alignment horizontal="center" readingOrder="0" vertical="center"/>
    </xf>
    <xf borderId="8" fillId="3" fontId="5" numFmtId="0" xfId="0" applyAlignment="1" applyBorder="1" applyFont="1">
      <alignment horizontal="center" readingOrder="0" shrinkToFit="0" vertical="center" wrapText="1"/>
    </xf>
    <xf borderId="1" fillId="11" fontId="8" numFmtId="175" xfId="0" applyAlignment="1" applyBorder="1" applyFont="1" applyNumberFormat="1">
      <alignment horizontal="center" readingOrder="0" vertical="top"/>
    </xf>
    <xf borderId="0" fillId="0" fontId="4" numFmtId="0" xfId="0" applyAlignment="1" applyFont="1">
      <alignment horizontal="center" readingOrder="0" vertical="top"/>
    </xf>
    <xf borderId="1" fillId="0" fontId="4" numFmtId="0" xfId="0" applyAlignment="1" applyBorder="1" applyFont="1">
      <alignment horizontal="center" readingOrder="0" shrinkToFit="0" vertical="top" wrapText="1"/>
    </xf>
    <xf borderId="1" fillId="11" fontId="8" numFmtId="0" xfId="0" applyAlignment="1" applyBorder="1" applyFont="1">
      <alignment horizontal="left" readingOrder="0" shrinkToFit="0" vertical="top" wrapText="1"/>
    </xf>
    <xf borderId="1" fillId="0" fontId="4" numFmtId="0" xfId="0" applyAlignment="1" applyBorder="1" applyFont="1">
      <alignment horizontal="center" readingOrder="0" vertical="center"/>
    </xf>
    <xf borderId="1" fillId="0" fontId="4" numFmtId="175" xfId="0" applyAlignment="1" applyBorder="1" applyFont="1" applyNumberFormat="1">
      <alignment horizontal="center" readingOrder="0" vertical="center"/>
    </xf>
    <xf borderId="1" fillId="0" fontId="4" numFmtId="175" xfId="0" applyAlignment="1" applyBorder="1" applyFont="1" applyNumberFormat="1">
      <alignment horizontal="center" vertical="center"/>
    </xf>
    <xf borderId="0" fillId="0" fontId="16" numFmtId="0" xfId="0" applyFont="1"/>
    <xf borderId="1" fillId="11" fontId="4" numFmtId="0" xfId="0" applyAlignment="1" applyBorder="1" applyFont="1">
      <alignment horizontal="center" readingOrder="0" vertical="top"/>
    </xf>
    <xf borderId="1" fillId="3" fontId="4" numFmtId="0" xfId="0" applyAlignment="1" applyBorder="1" applyFont="1">
      <alignment horizontal="center" readingOrder="0" vertical="top"/>
    </xf>
    <xf borderId="1" fillId="3" fontId="8" numFmtId="0" xfId="0" applyAlignment="1" applyBorder="1" applyFont="1">
      <alignment readingOrder="0" shrinkToFit="0" vertical="top" wrapText="1"/>
    </xf>
    <xf borderId="1" fillId="3" fontId="4" numFmtId="0" xfId="0" applyAlignment="1" applyBorder="1" applyFont="1">
      <alignment horizontal="center" readingOrder="0" vertical="center"/>
    </xf>
    <xf borderId="1" fillId="3" fontId="4" numFmtId="175" xfId="0" applyAlignment="1" applyBorder="1" applyFont="1" applyNumberFormat="1">
      <alignment horizontal="center" readingOrder="0" vertical="center"/>
    </xf>
    <xf borderId="0" fillId="0" fontId="1" numFmtId="0" xfId="0" applyAlignment="1" applyFont="1">
      <alignment horizontal="center" vertical="center"/>
    </xf>
    <xf borderId="1" fillId="3" fontId="4" numFmtId="175" xfId="0" applyAlignment="1" applyBorder="1" applyFont="1" applyNumberFormat="1">
      <alignment horizontal="center" readingOrder="0" vertical="center"/>
    </xf>
    <xf borderId="1" fillId="0" fontId="4" numFmtId="0" xfId="0" applyAlignment="1" applyBorder="1" applyFont="1">
      <alignment horizontal="center" vertical="top"/>
    </xf>
    <xf borderId="1" fillId="0" fontId="8" numFmtId="0" xfId="0" applyAlignment="1" applyBorder="1" applyFont="1">
      <alignment vertical="top"/>
    </xf>
    <xf borderId="1" fillId="0" fontId="4" numFmtId="0" xfId="0" applyAlignment="1" applyBorder="1" applyFont="1">
      <alignment horizontal="center" vertical="center"/>
    </xf>
    <xf borderId="1" fillId="0" fontId="4" numFmtId="175" xfId="0" applyAlignment="1" applyBorder="1" applyFont="1" applyNumberFormat="1">
      <alignment horizontal="center" vertical="center"/>
    </xf>
    <xf borderId="9" fillId="2" fontId="3" numFmtId="0" xfId="0" applyBorder="1" applyFont="1"/>
    <xf borderId="17" fillId="3" fontId="3" numFmtId="0" xfId="0" applyBorder="1" applyFont="1"/>
    <xf borderId="5" fillId="3" fontId="3" numFmtId="0" xfId="0" applyBorder="1" applyFont="1"/>
    <xf borderId="1" fillId="2" fontId="4" numFmtId="0" xfId="0" applyAlignment="1" applyBorder="1" applyFont="1">
      <alignment horizontal="center" readingOrder="0" shrinkToFit="0" vertical="top" wrapText="1"/>
    </xf>
    <xf borderId="1" fillId="2" fontId="8" numFmtId="0" xfId="0" applyAlignment="1" applyBorder="1" applyFont="1">
      <alignment readingOrder="0" vertical="top"/>
    </xf>
    <xf borderId="1" fillId="2" fontId="4" numFmtId="49" xfId="0" applyAlignment="1" applyBorder="1" applyFont="1" applyNumberFormat="1">
      <alignment horizontal="center" vertical="center"/>
    </xf>
    <xf borderId="1" fillId="2" fontId="4" numFmtId="175" xfId="0" applyAlignment="1" applyBorder="1" applyFont="1" applyNumberFormat="1">
      <alignment horizontal="center" vertical="center"/>
    </xf>
    <xf borderId="1" fillId="3" fontId="4" numFmtId="0" xfId="0" applyAlignment="1" applyBorder="1" applyFont="1">
      <alignment horizontal="center" readingOrder="0" vertical="top"/>
    </xf>
    <xf borderId="1" fillId="3" fontId="8" numFmtId="0" xfId="0" applyAlignment="1" applyBorder="1" applyFont="1">
      <alignment shrinkToFit="0" vertical="top" wrapText="1"/>
    </xf>
    <xf borderId="1" fillId="3" fontId="4" numFmtId="175" xfId="0" applyAlignment="1" applyBorder="1" applyFont="1" applyNumberFormat="1">
      <alignment horizontal="center" vertical="center"/>
    </xf>
    <xf borderId="1" fillId="2" fontId="4" numFmtId="0" xfId="0" applyAlignment="1" applyBorder="1" applyFont="1">
      <alignment horizontal="center" readingOrder="0" vertical="top"/>
    </xf>
    <xf borderId="1" fillId="2" fontId="8" numFmtId="0" xfId="0" applyAlignment="1" applyBorder="1" applyFont="1">
      <alignment shrinkToFit="0" vertical="top" wrapText="1"/>
    </xf>
    <xf borderId="1" fillId="2" fontId="4" numFmtId="0" xfId="0" applyAlignment="1" applyBorder="1" applyFont="1">
      <alignment horizontal="center" vertical="center"/>
    </xf>
    <xf borderId="1" fillId="2" fontId="4" numFmtId="175" xfId="0" applyAlignment="1" applyBorder="1" applyFont="1" applyNumberFormat="1">
      <alignment horizontal="center" readingOrder="0" vertical="center"/>
    </xf>
    <xf borderId="1" fillId="2" fontId="8" numFmtId="0" xfId="0" applyAlignment="1" applyBorder="1" applyFont="1">
      <alignment readingOrder="0" shrinkToFit="0" vertical="top" wrapText="1"/>
    </xf>
    <xf borderId="1" fillId="0" fontId="8" numFmtId="175" xfId="0" applyAlignment="1" applyBorder="1" applyFont="1" applyNumberFormat="1">
      <alignment horizontal="center" vertical="top"/>
    </xf>
    <xf borderId="1" fillId="2" fontId="4" numFmtId="0" xfId="0" applyAlignment="1" applyBorder="1" applyFont="1">
      <alignment horizontal="center" readingOrder="0" shrinkToFit="0" vertical="top" wrapText="1"/>
    </xf>
    <xf borderId="1" fillId="2" fontId="8" numFmtId="0" xfId="0" applyAlignment="1" applyBorder="1" applyFont="1">
      <alignment vertical="top"/>
    </xf>
    <xf borderId="1" fillId="2" fontId="4" numFmtId="0" xfId="0" applyAlignment="1" applyBorder="1" applyFont="1">
      <alignment horizontal="center" vertical="center"/>
    </xf>
    <xf borderId="1" fillId="2" fontId="4" numFmtId="175" xfId="0" applyAlignment="1" applyBorder="1" applyFont="1" applyNumberFormat="1">
      <alignment horizontal="center" vertical="center"/>
    </xf>
    <xf borderId="0" fillId="4" fontId="4" numFmtId="0" xfId="0" applyAlignment="1" applyFont="1">
      <alignment horizontal="center" readingOrder="0" vertical="top"/>
    </xf>
    <xf borderId="0" fillId="4" fontId="5" numFmtId="0" xfId="0" applyAlignment="1" applyFont="1">
      <alignment horizontal="center" readingOrder="0" shrinkToFit="0" vertical="top" wrapText="1"/>
    </xf>
    <xf borderId="0" fillId="4" fontId="4" numFmtId="0" xfId="0" applyAlignment="1" applyFont="1">
      <alignment vertical="top"/>
    </xf>
    <xf borderId="0" fillId="4" fontId="5" numFmtId="0" xfId="0" applyAlignment="1" applyFont="1">
      <alignment horizontal="center" vertical="center"/>
    </xf>
    <xf borderId="0" fillId="4" fontId="5" numFmtId="175" xfId="0" applyAlignment="1" applyFont="1" applyNumberFormat="1">
      <alignment horizontal="center" vertical="center"/>
    </xf>
    <xf borderId="2" fillId="2" fontId="5" numFmtId="0" xfId="0" applyAlignment="1" applyBorder="1" applyFont="1">
      <alignment horizontal="center" readingOrder="0"/>
    </xf>
    <xf borderId="2" fillId="3" fontId="4" numFmtId="0" xfId="0" applyAlignment="1" applyBorder="1" applyFont="1">
      <alignment horizontal="center" readingOrder="0" shrinkToFit="0" vertical="top" wrapText="1"/>
    </xf>
    <xf borderId="2" fillId="3" fontId="5" numFmtId="0" xfId="0" applyAlignment="1" applyBorder="1" applyFont="1">
      <alignment horizontal="center" readingOrder="0" shrinkToFit="0" vertical="top" wrapText="1"/>
    </xf>
    <xf borderId="2" fillId="2" fontId="4" numFmtId="0" xfId="0" applyAlignment="1" applyBorder="1" applyFont="1">
      <alignment horizontal="center" readingOrder="0" shrinkToFit="0" vertical="top" wrapText="1"/>
    </xf>
    <xf borderId="2" fillId="2" fontId="5" numFmtId="0" xfId="0" applyAlignment="1" applyBorder="1" applyFont="1">
      <alignment horizontal="center" shrinkToFit="0" vertical="top" wrapText="1"/>
    </xf>
    <xf borderId="2" fillId="2" fontId="5" numFmtId="0" xfId="0" applyAlignment="1" applyBorder="1" applyFont="1">
      <alignment horizontal="center" readingOrder="0" shrinkToFit="0" vertical="top" wrapText="1"/>
    </xf>
    <xf borderId="2" fillId="3" fontId="5" numFmtId="0" xfId="0" applyAlignment="1" applyBorder="1" applyFont="1">
      <alignment horizontal="center" shrinkToFit="0" vertical="top" wrapText="1"/>
    </xf>
    <xf borderId="15" fillId="2" fontId="5" numFmtId="0" xfId="0" applyAlignment="1" applyBorder="1" applyFont="1">
      <alignment horizontal="center" readingOrder="0" shrinkToFit="0" vertical="top" wrapText="1"/>
    </xf>
    <xf borderId="6" fillId="3" fontId="4" numFmtId="0" xfId="0" applyAlignment="1" applyBorder="1" applyFont="1">
      <alignment horizontal="center" readingOrder="0" shrinkToFit="0" vertical="top" wrapText="1"/>
    </xf>
    <xf borderId="7" fillId="3" fontId="3" numFmtId="0" xfId="0" applyBorder="1" applyFont="1"/>
    <xf borderId="6" fillId="3" fontId="8" numFmtId="0" xfId="0" applyAlignment="1" applyBorder="1" applyFont="1">
      <alignment readingOrder="0" shrinkToFit="0" vertical="top" wrapText="1"/>
    </xf>
    <xf borderId="9" fillId="3" fontId="3" numFmtId="0" xfId="0" applyBorder="1" applyFont="1"/>
    <xf borderId="2" fillId="2" fontId="8" numFmtId="0" xfId="0" applyAlignment="1" applyBorder="1" applyFont="1">
      <alignment readingOrder="0" shrinkToFit="0" vertical="top" wrapText="1"/>
    </xf>
    <xf borderId="2" fillId="3" fontId="8" numFmtId="0" xfId="0" applyAlignment="1" applyBorder="1" applyFont="1">
      <alignment readingOrder="0" shrinkToFit="0" vertical="top" wrapText="1"/>
    </xf>
    <xf borderId="2" fillId="2" fontId="4" numFmtId="0" xfId="0" applyAlignment="1" applyBorder="1" applyFont="1">
      <alignment horizontal="center" readingOrder="0" vertical="top"/>
    </xf>
    <xf borderId="2" fillId="2" fontId="8" numFmtId="0" xfId="0" applyAlignment="1" applyBorder="1" applyFont="1">
      <alignment readingOrder="0" shrinkToFit="0" vertical="top" wrapText="1"/>
    </xf>
    <xf borderId="2" fillId="3" fontId="4" numFmtId="0" xfId="0" applyAlignment="1" applyBorder="1" applyFont="1">
      <alignment horizontal="center" readingOrder="0" vertical="top"/>
    </xf>
    <xf borderId="1" fillId="3" fontId="8" numFmtId="0" xfId="0" applyAlignment="1" applyBorder="1" applyFont="1">
      <alignment vertical="center"/>
    </xf>
    <xf borderId="1" fillId="2" fontId="8" numFmtId="0" xfId="0" applyAlignment="1" applyBorder="1" applyFont="1">
      <alignment vertical="center"/>
    </xf>
    <xf borderId="1" fillId="3" fontId="8" numFmtId="0" xfId="0" applyAlignment="1" applyBorder="1" applyFont="1">
      <alignment horizontal="center" readingOrder="0" shrinkToFit="0" vertical="center" wrapText="0"/>
    </xf>
    <xf borderId="1" fillId="2" fontId="8" numFmtId="0" xfId="0" applyAlignment="1" applyBorder="1" applyFont="1">
      <alignment horizontal="center" readingOrder="0" vertical="center"/>
    </xf>
    <xf borderId="1" fillId="2" fontId="8" numFmtId="0" xfId="0" applyAlignment="1" applyBorder="1" applyFont="1">
      <alignment horizontal="center" readingOrder="0" shrinkToFit="0" vertical="center" wrapText="0"/>
    </xf>
    <xf borderId="1" fillId="2" fontId="8" numFmtId="0" xfId="0" applyAlignment="1" applyBorder="1" applyFont="1">
      <alignment readingOrder="0" vertical="center"/>
    </xf>
    <xf borderId="2" fillId="3" fontId="8" numFmtId="0" xfId="0" applyAlignment="1" applyBorder="1" applyFont="1">
      <alignment horizontal="center" readingOrder="0" shrinkToFit="0" vertical="center" wrapText="1"/>
    </xf>
    <xf borderId="6" fillId="2" fontId="2" numFmtId="0" xfId="0" applyAlignment="1" applyBorder="1" applyFont="1">
      <alignment horizontal="center" readingOrder="0" vertical="center"/>
    </xf>
    <xf borderId="2" fillId="3" fontId="5" numFmtId="0" xfId="0" applyAlignment="1" applyBorder="1" applyFont="1">
      <alignment horizontal="right" readingOrder="0" vertical="center"/>
    </xf>
    <xf borderId="2" fillId="3" fontId="5" numFmtId="0" xfId="0" applyAlignment="1" applyBorder="1" applyFont="1">
      <alignment readingOrder="0"/>
    </xf>
    <xf borderId="1" fillId="2" fontId="8" numFmtId="164" xfId="0" applyAlignment="1" applyBorder="1" applyFont="1" applyNumberFormat="1">
      <alignment vertical="center"/>
    </xf>
    <xf borderId="1" fillId="2" fontId="8" numFmtId="49" xfId="0" applyAlignment="1" applyBorder="1" applyFont="1" applyNumberFormat="1">
      <alignment vertical="center"/>
    </xf>
    <xf borderId="14" fillId="2" fontId="8" numFmtId="0" xfId="0" applyAlignment="1" applyBorder="1" applyFont="1">
      <alignment shrinkToFit="0" vertical="center" wrapText="1"/>
    </xf>
    <xf borderId="5" fillId="2" fontId="8" numFmtId="0" xfId="0" applyAlignment="1" applyBorder="1" applyFont="1">
      <alignment horizontal="center" shrinkToFit="0" vertical="center" wrapText="1"/>
    </xf>
    <xf borderId="14" fillId="2" fontId="8" numFmtId="0" xfId="0" applyAlignment="1" applyBorder="1" applyFont="1">
      <alignment horizontal="center" shrinkToFit="0" vertical="center" wrapText="1"/>
    </xf>
    <xf borderId="1" fillId="3" fontId="8" numFmtId="0" xfId="0" applyAlignment="1" applyBorder="1" applyFont="1">
      <alignment readingOrder="0" vertical="center"/>
    </xf>
    <xf borderId="1" fillId="3" fontId="8" numFmtId="164" xfId="0" applyAlignment="1" applyBorder="1" applyFont="1" applyNumberFormat="1">
      <alignment vertical="center"/>
    </xf>
    <xf borderId="1" fillId="3" fontId="8" numFmtId="49" xfId="0" applyAlignment="1" applyBorder="1" applyFont="1" applyNumberFormat="1">
      <alignment vertical="center"/>
    </xf>
    <xf borderId="2" fillId="3" fontId="8" numFmtId="0" xfId="0" applyAlignment="1" applyBorder="1" applyFont="1">
      <alignment shrinkToFit="0" vertical="center" wrapText="1"/>
    </xf>
    <xf borderId="1" fillId="3" fontId="8" numFmtId="0" xfId="0" applyAlignment="1" applyBorder="1" applyFont="1">
      <alignment horizontal="center" shrinkToFit="0" vertical="center" wrapText="1"/>
    </xf>
    <xf borderId="2" fillId="3" fontId="8" numFmtId="0" xfId="0" applyAlignment="1" applyBorder="1" applyFont="1">
      <alignment horizontal="center" shrinkToFit="0" vertical="center" wrapText="1"/>
    </xf>
    <xf borderId="1" fillId="0" fontId="8" numFmtId="0" xfId="0" applyAlignment="1" applyBorder="1" applyFont="1">
      <alignment horizontal="center" readingOrder="0" vertical="center"/>
    </xf>
    <xf borderId="2" fillId="2" fontId="8" numFmtId="0" xfId="0" applyAlignment="1" applyBorder="1" applyFont="1">
      <alignment shrinkToFit="0" vertical="center" wrapText="1"/>
    </xf>
    <xf borderId="1" fillId="2" fontId="8" numFmtId="0" xfId="0" applyAlignment="1" applyBorder="1" applyFont="1">
      <alignment horizontal="center" shrinkToFit="0" vertical="center" wrapText="1"/>
    </xf>
    <xf borderId="2" fillId="2" fontId="8" numFmtId="0" xfId="0" applyAlignment="1" applyBorder="1" applyFont="1">
      <alignment horizontal="center" shrinkToFit="0" vertical="center" wrapText="1"/>
    </xf>
    <xf borderId="2" fillId="2" fontId="8" numFmtId="0" xfId="0" applyAlignment="1" applyBorder="1" applyFont="1">
      <alignment horizontal="left" shrinkToFit="0" vertical="center" wrapText="1"/>
    </xf>
    <xf borderId="2" fillId="3" fontId="8" numFmtId="0" xfId="0" applyAlignment="1" applyBorder="1" applyFont="1">
      <alignment horizontal="left" shrinkToFit="0" vertical="center" wrapText="1"/>
    </xf>
    <xf borderId="1" fillId="12" fontId="17" numFmtId="0" xfId="0" applyAlignment="1" applyBorder="1" applyFill="1" applyFont="1">
      <alignment horizontal="center" readingOrder="0" shrinkToFit="0" vertical="top" wrapText="0"/>
    </xf>
    <xf borderId="0" fillId="0" fontId="17" numFmtId="0" xfId="0" applyAlignment="1" applyFont="1">
      <alignment horizontal="center" readingOrder="0" shrinkToFit="0" vertical="top" wrapText="0"/>
    </xf>
    <xf borderId="2" fillId="12" fontId="17" numFmtId="0" xfId="0" applyAlignment="1" applyBorder="1" applyFont="1">
      <alignment horizontal="center" readingOrder="0" shrinkToFit="0" vertical="top" wrapText="0"/>
    </xf>
    <xf borderId="20" fillId="12" fontId="17" numFmtId="0" xfId="0" applyAlignment="1" applyBorder="1" applyFont="1">
      <alignment horizontal="center" readingOrder="0" shrinkToFit="0" vertical="top" wrapText="0"/>
    </xf>
    <xf borderId="21" fillId="0" fontId="17" numFmtId="0" xfId="0" applyAlignment="1" applyBorder="1" applyFont="1">
      <alignment horizontal="center" readingOrder="0" shrinkToFit="0" vertical="top" wrapText="0"/>
    </xf>
    <xf borderId="22" fillId="12" fontId="17" numFmtId="0" xfId="0" applyAlignment="1" applyBorder="1" applyFont="1">
      <alignment horizontal="center" readingOrder="0" shrinkToFit="0" vertical="top" wrapText="0"/>
    </xf>
    <xf borderId="1" fillId="13" fontId="17" numFmtId="0" xfId="0" applyAlignment="1" applyBorder="1" applyFill="1" applyFont="1">
      <alignment horizontal="center" readingOrder="0" shrinkToFit="0" vertical="top" wrapText="0"/>
    </xf>
    <xf borderId="2" fillId="13" fontId="17" numFmtId="0" xfId="0" applyAlignment="1" applyBorder="1" applyFont="1">
      <alignment horizontal="center" readingOrder="0" shrinkToFit="0" vertical="top" wrapText="0"/>
    </xf>
    <xf borderId="23" fillId="13" fontId="17" numFmtId="0" xfId="0" applyAlignment="1" applyBorder="1" applyFont="1">
      <alignment horizontal="center" readingOrder="0" shrinkToFit="0" vertical="top" wrapText="0"/>
    </xf>
    <xf borderId="24" fillId="0" fontId="17" numFmtId="0" xfId="0" applyAlignment="1" applyBorder="1" applyFont="1">
      <alignment horizontal="center" readingOrder="0" shrinkToFit="0" vertical="top" wrapText="0"/>
    </xf>
    <xf borderId="22" fillId="13" fontId="17" numFmtId="0" xfId="0" applyAlignment="1" applyBorder="1" applyFont="1">
      <alignment horizontal="center" readingOrder="0" shrinkToFit="0" vertical="top" wrapText="0"/>
    </xf>
    <xf borderId="23" fillId="12" fontId="17" numFmtId="0" xfId="0" applyAlignment="1" applyBorder="1" applyFont="1">
      <alignment horizontal="center" readingOrder="0" shrinkToFit="0" vertical="top" wrapText="0"/>
    </xf>
    <xf borderId="0" fillId="0" fontId="1" numFmtId="0" xfId="0" applyAlignment="1" applyFont="1">
      <alignment readingOrder="0"/>
    </xf>
    <xf borderId="0" fillId="0" fontId="1" numFmtId="0" xfId="0" applyAlignment="1" applyFont="1">
      <alignment horizontal="left" readingOrder="0"/>
    </xf>
    <xf borderId="0" fillId="0" fontId="1" numFmtId="169" xfId="0" applyAlignment="1" applyFont="1" applyNumberFormat="1">
      <alignment readingOrder="0"/>
    </xf>
    <xf borderId="0" fillId="0" fontId="1" numFmtId="0" xfId="0" applyFont="1"/>
    <xf borderId="0" fillId="0" fontId="1" numFmtId="164" xfId="0" applyAlignment="1" applyFont="1" applyNumberFormat="1">
      <alignment readingOrder="0"/>
    </xf>
    <xf borderId="0" fillId="0" fontId="1" numFmtId="49" xfId="0" applyAlignment="1" applyFont="1" applyNumberFormat="1">
      <alignment readingOrder="0"/>
    </xf>
    <xf borderId="0" fillId="0" fontId="1" numFmtId="164" xfId="0" applyFont="1" applyNumberFormat="1"/>
    <xf borderId="1" fillId="0" fontId="1" numFmtId="0" xfId="0" applyAlignment="1" applyBorder="1" applyFont="1">
      <alignment readingOrder="0"/>
    </xf>
    <xf borderId="25" fillId="12" fontId="17" numFmtId="0" xfId="0" applyAlignment="1" applyBorder="1" applyFont="1">
      <alignment horizontal="center" readingOrder="0" shrinkToFit="0" vertical="top" wrapText="0"/>
    </xf>
    <xf quotePrefix="1" borderId="1" fillId="13" fontId="17" numFmtId="0" xfId="0" applyAlignment="1" applyBorder="1" applyFont="1">
      <alignment horizontal="center" readingOrder="0" shrinkToFit="0" vertical="top" wrapText="0"/>
    </xf>
    <xf borderId="0" fillId="0" fontId="17" numFmtId="0" xfId="0" applyAlignment="1" applyFont="1">
      <alignment horizontal="center" shrinkToFit="0" vertical="top" wrapText="0"/>
    </xf>
    <xf borderId="18" fillId="0" fontId="17" numFmtId="0" xfId="0" applyAlignment="1" applyBorder="1" applyFont="1">
      <alignment horizontal="center" readingOrder="0" shrinkToFit="0" vertical="top" wrapText="0"/>
    </xf>
    <xf borderId="26" fillId="13" fontId="17" numFmtId="0" xfId="0" applyAlignment="1" applyBorder="1" applyFont="1">
      <alignment horizontal="center" readingOrder="0" shrinkToFit="0" vertical="top" wrapText="0"/>
    </xf>
    <xf borderId="27" fillId="13" fontId="17" numFmtId="0" xfId="0" applyAlignment="1" applyBorder="1" applyFont="1">
      <alignment horizontal="center" readingOrder="0" shrinkToFit="0" vertical="top" wrapText="0"/>
    </xf>
    <xf borderId="28" fillId="13" fontId="17" numFmtId="0" xfId="0" applyAlignment="1" applyBorder="1" applyFont="1">
      <alignment horizontal="center" readingOrder="0" shrinkToFit="0" vertical="top" wrapText="0"/>
    </xf>
    <xf borderId="0" fillId="4" fontId="6" numFmtId="0" xfId="0" applyAlignment="1" applyFont="1">
      <alignment readingOrder="0"/>
    </xf>
    <xf borderId="2" fillId="0" fontId="1" numFmtId="0" xfId="0" applyAlignment="1" applyBorder="1" applyFont="1">
      <alignment horizontal="center" readingOrder="0"/>
    </xf>
    <xf borderId="2" fillId="0" fontId="1" numFmtId="0" xfId="0" applyAlignment="1" applyBorder="1" applyFont="1">
      <alignment readingOrder="0"/>
    </xf>
    <xf borderId="4" fillId="0" fontId="1" numFmtId="0" xfId="0" applyAlignment="1" applyBorder="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horizontal="center" readingOrder="0"/>
    </xf>
    <xf borderId="0" fillId="0" fontId="1" numFmtId="0" xfId="0" applyAlignment="1" applyFont="1">
      <alignment horizontal="right" readingOrder="0"/>
    </xf>
    <xf borderId="0" fillId="5" fontId="8" numFmtId="164" xfId="0" applyAlignment="1" applyFont="1" applyNumberFormat="1">
      <alignment horizontal="center" readingOrder="0" vertical="center"/>
    </xf>
    <xf borderId="0" fillId="5" fontId="8" numFmtId="164" xfId="0" applyAlignment="1" applyFont="1" applyNumberFormat="1">
      <alignment horizontal="left" readingOrder="0" vertical="center"/>
    </xf>
    <xf borderId="0" fillId="5" fontId="8" numFmtId="164" xfId="0" applyAlignment="1" applyFont="1" applyNumberFormat="1">
      <alignment horizontal="left" vertical="center"/>
    </xf>
    <xf borderId="0" fillId="5" fontId="8" numFmtId="0" xfId="0" applyAlignment="1" applyFont="1">
      <alignment horizontal="center" vertical="center"/>
    </xf>
    <xf borderId="0" fillId="5" fontId="8" numFmtId="0" xfId="0" applyAlignment="1" applyFont="1">
      <alignment horizontal="left" readingOrder="0" vertical="center"/>
    </xf>
    <xf borderId="0" fillId="5" fontId="8" numFmtId="0" xfId="0" applyAlignment="1" applyFont="1">
      <alignment horizontal="left" readingOrder="0"/>
    </xf>
    <xf borderId="0" fillId="0" fontId="18" numFmtId="0" xfId="0" applyAlignment="1" applyFont="1">
      <alignment vertical="bottom"/>
    </xf>
    <xf borderId="0" fillId="0" fontId="1" numFmtId="0" xfId="0" applyAlignment="1" applyFont="1">
      <alignment readingOrder="0" vertical="bottom"/>
    </xf>
    <xf borderId="1" fillId="0" fontId="18" numFmtId="0" xfId="0" applyAlignment="1" applyBorder="1" applyFont="1">
      <alignment vertical="bottom"/>
    </xf>
    <xf borderId="1" fillId="0" fontId="1" numFmtId="0" xfId="0" applyAlignment="1" applyBorder="1" applyFont="1">
      <alignment readingOrder="0" vertical="bottom"/>
    </xf>
    <xf borderId="1" fillId="2" fontId="1" numFmtId="0" xfId="0" applyAlignment="1" applyBorder="1" applyFont="1">
      <alignment vertical="bottom"/>
    </xf>
    <xf borderId="1" fillId="0" fontId="1" numFmtId="0" xfId="0" applyAlignment="1" applyBorder="1" applyFont="1">
      <alignment vertical="bottom"/>
    </xf>
    <xf borderId="1" fillId="0" fontId="1" numFmtId="0" xfId="0" applyBorder="1" applyFont="1"/>
    <xf borderId="5" fillId="3" fontId="1" numFmtId="0" xfId="0" applyAlignment="1" applyBorder="1" applyFont="1">
      <alignment vertical="bottom"/>
    </xf>
    <xf borderId="2" fillId="2" fontId="2" numFmtId="0" xfId="0" applyAlignment="1" applyBorder="1" applyFont="1">
      <alignment horizontal="center"/>
    </xf>
    <xf borderId="2" fillId="3" fontId="2" numFmtId="0" xfId="0" applyAlignment="1" applyBorder="1" applyFont="1">
      <alignment horizontal="center"/>
    </xf>
    <xf borderId="2" fillId="3" fontId="2" numFmtId="0" xfId="0" applyAlignment="1" applyBorder="1" applyFont="1">
      <alignment horizontal="center" readingOrder="0"/>
    </xf>
    <xf borderId="2" fillId="2" fontId="5" numFmtId="0" xfId="0" applyAlignment="1" applyBorder="1" applyFont="1">
      <alignment horizontal="center" readingOrder="0" shrinkToFit="0" vertical="center" wrapText="0"/>
    </xf>
    <xf borderId="2" fillId="3" fontId="5" numFmtId="0" xfId="0" applyAlignment="1" applyBorder="1" applyFont="1">
      <alignment horizontal="center" shrinkToFit="0" vertical="center" wrapText="0"/>
    </xf>
    <xf borderId="17" fillId="2" fontId="3" numFmtId="0" xfId="0" applyBorder="1" applyFont="1"/>
    <xf borderId="19" fillId="2" fontId="3" numFmtId="0" xfId="0" applyBorder="1" applyFont="1"/>
    <xf borderId="1" fillId="3" fontId="5" numFmtId="0" xfId="0" applyAlignment="1" applyBorder="1" applyFont="1">
      <alignment horizontal="center" readingOrder="0" shrinkToFit="0" vertical="center" wrapText="0"/>
    </xf>
    <xf borderId="2" fillId="3" fontId="5" numFmtId="0" xfId="0" applyAlignment="1" applyBorder="1" applyFont="1">
      <alignment horizontal="right" shrinkToFit="0" vertical="center" wrapText="0"/>
    </xf>
    <xf borderId="7" fillId="3" fontId="5" numFmtId="0" xfId="0" applyAlignment="1" applyBorder="1" applyFont="1">
      <alignment horizontal="left" readingOrder="0" shrinkToFit="0" vertical="center" wrapText="0"/>
    </xf>
    <xf borderId="1" fillId="2" fontId="5" numFmtId="0" xfId="0" applyAlignment="1" applyBorder="1" applyFont="1">
      <alignment horizontal="center" shrinkToFit="0" vertical="center" wrapText="0"/>
    </xf>
    <xf borderId="2" fillId="2" fontId="5" numFmtId="0" xfId="0" applyAlignment="1" applyBorder="1" applyFont="1">
      <alignment horizontal="right" shrinkToFit="0" vertical="center" wrapText="0"/>
    </xf>
    <xf borderId="4" fillId="2" fontId="5" numFmtId="0" xfId="0" applyAlignment="1" applyBorder="1" applyFont="1">
      <alignment horizontal="left" readingOrder="0" shrinkToFit="0" vertical="center" wrapText="0"/>
    </xf>
    <xf borderId="2" fillId="2" fontId="5" numFmtId="0" xfId="0" applyAlignment="1" applyBorder="1" applyFont="1">
      <alignment horizontal="center" shrinkToFit="0" vertical="center" wrapText="0"/>
    </xf>
    <xf borderId="1" fillId="2" fontId="5" numFmtId="0" xfId="0" applyAlignment="1" applyBorder="1" applyFont="1">
      <alignment horizontal="center" readingOrder="0" shrinkToFit="0" vertical="center" wrapText="0"/>
    </xf>
    <xf borderId="29" fillId="2" fontId="3" numFmtId="0" xfId="0" applyBorder="1" applyFont="1"/>
    <xf borderId="30" fillId="2" fontId="3" numFmtId="0" xfId="0" applyBorder="1" applyFont="1"/>
    <xf borderId="11" fillId="2" fontId="5" numFmtId="0" xfId="0" applyAlignment="1" applyBorder="1" applyFont="1">
      <alignment horizontal="center" shrinkToFit="0" vertical="center" wrapText="0"/>
    </xf>
    <xf borderId="6" fillId="2" fontId="8" numFmtId="0" xfId="0" applyAlignment="1" applyBorder="1" applyFont="1">
      <alignment horizontal="left" readingOrder="0" shrinkToFit="0" vertical="top" wrapText="1"/>
    </xf>
    <xf borderId="17" fillId="3" fontId="2" numFmtId="0" xfId="0" applyAlignment="1" applyBorder="1" applyFont="1">
      <alignment horizontal="center" vertical="center"/>
    </xf>
    <xf borderId="2" fillId="3" fontId="5" numFmtId="0" xfId="0" applyAlignment="1" applyBorder="1" applyFont="1">
      <alignment horizontal="center" shrinkToFit="0" vertical="center" wrapText="0"/>
    </xf>
    <xf borderId="31" fillId="3" fontId="8" numFmtId="0" xfId="0" applyAlignment="1" applyBorder="1" applyFont="1">
      <alignment readingOrder="0" shrinkToFit="0" vertical="top" wrapText="1"/>
    </xf>
    <xf borderId="31" fillId="3" fontId="3" numFmtId="0" xfId="0" applyBorder="1" applyFont="1"/>
    <xf borderId="32" fillId="3" fontId="3" numFmtId="0" xfId="0" applyBorder="1" applyFont="1"/>
    <xf borderId="15" fillId="2" fontId="8" numFmtId="0" xfId="0" applyAlignment="1" applyBorder="1" applyFont="1">
      <alignment readingOrder="0" shrinkToFit="0" vertical="top" wrapText="1"/>
    </xf>
    <xf borderId="14" fillId="3" fontId="5" numFmtId="0" xfId="0" applyAlignment="1" applyBorder="1" applyFont="1">
      <alignment horizontal="center" shrinkToFit="0" vertical="center" wrapText="0"/>
    </xf>
    <xf borderId="5" fillId="3" fontId="5" numFmtId="0" xfId="0" applyAlignment="1" applyBorder="1" applyFont="1">
      <alignment horizontal="center" readingOrder="0" shrinkToFit="0" vertical="center" wrapText="0"/>
    </xf>
    <xf borderId="1" fillId="3" fontId="5" numFmtId="0" xfId="0" applyAlignment="1" applyBorder="1" applyFont="1">
      <alignment horizontal="center" shrinkToFit="0" vertical="center" wrapText="0"/>
    </xf>
    <xf borderId="3" fillId="3" fontId="5" numFmtId="0" xfId="0" applyAlignment="1" applyBorder="1" applyFont="1">
      <alignment horizontal="center" readingOrder="0" shrinkToFit="0" vertical="center" wrapText="0"/>
    </xf>
    <xf borderId="15" fillId="2" fontId="5" numFmtId="0" xfId="0" applyAlignment="1" applyBorder="1" applyFont="1">
      <alignment horizontal="center" readingOrder="0" shrinkToFit="0" vertical="center" wrapText="0"/>
    </xf>
    <xf borderId="2" fillId="3" fontId="19" numFmtId="0" xfId="0" applyAlignment="1" applyBorder="1" applyFont="1">
      <alignment horizontal="center" shrinkToFit="0" vertical="center" wrapText="0"/>
    </xf>
    <xf borderId="2" fillId="3" fontId="5" numFmtId="0" xfId="0" applyAlignment="1" applyBorder="1" applyFont="1">
      <alignment horizontal="center" readingOrder="0" shrinkToFit="0" vertical="center" wrapText="0"/>
    </xf>
    <xf borderId="3" fillId="2" fontId="5" numFmtId="0" xfId="0" applyAlignment="1" applyBorder="1" applyFont="1">
      <alignment horizontal="right" shrinkToFit="0" vertical="center" wrapText="0"/>
    </xf>
    <xf borderId="29" fillId="3" fontId="3" numFmtId="0" xfId="0" applyBorder="1" applyFont="1"/>
    <xf borderId="30" fillId="3" fontId="3" numFmtId="0" xfId="0" applyBorder="1" applyFont="1"/>
    <xf borderId="11" fillId="3" fontId="20" numFmtId="0" xfId="0" applyAlignment="1" applyBorder="1" applyFont="1">
      <alignment horizontal="center" shrinkToFit="0" vertical="center" wrapText="0"/>
    </xf>
    <xf borderId="12" fillId="3" fontId="3" numFmtId="0" xfId="0" applyBorder="1" applyFont="1"/>
    <xf borderId="13" fillId="3" fontId="3" numFmtId="0" xfId="0" applyBorder="1" applyFont="1"/>
    <xf borderId="11" fillId="3" fontId="8" numFmtId="0" xfId="0" applyAlignment="1" applyBorder="1" applyFont="1">
      <alignment horizontal="left" readingOrder="0" shrinkToFit="0" vertical="top" wrapText="1"/>
    </xf>
    <xf borderId="17" fillId="2" fontId="2" numFmtId="0" xfId="0" applyAlignment="1" applyBorder="1" applyFont="1">
      <alignment horizontal="center" vertical="center"/>
    </xf>
    <xf borderId="2" fillId="2" fontId="5" numFmtId="0" xfId="0" applyAlignment="1" applyBorder="1" applyFont="1">
      <alignment horizontal="center" shrinkToFit="0" vertical="center" wrapText="0"/>
    </xf>
    <xf borderId="31" fillId="2" fontId="8" numFmtId="0" xfId="0" applyAlignment="1" applyBorder="1" applyFont="1">
      <alignment readingOrder="0" shrinkToFit="0" vertical="top" wrapText="1"/>
    </xf>
    <xf borderId="31" fillId="2" fontId="3" numFmtId="0" xfId="0" applyBorder="1" applyFont="1"/>
    <xf borderId="32" fillId="2" fontId="3" numFmtId="0" xfId="0" applyBorder="1" applyFont="1"/>
    <xf borderId="17" fillId="3" fontId="10" numFmtId="0" xfId="0" applyAlignment="1" applyBorder="1" applyFont="1">
      <alignment horizontal="center" readingOrder="0" shrinkToFit="0" vertical="center" wrapText="0"/>
    </xf>
    <xf borderId="14" fillId="3" fontId="10" numFmtId="0" xfId="0" applyAlignment="1" applyBorder="1" applyFont="1">
      <alignment horizontal="center" readingOrder="0" shrinkToFit="0" vertical="center" wrapText="0"/>
    </xf>
    <xf borderId="14" fillId="3" fontId="8" numFmtId="0" xfId="0" applyAlignment="1" applyBorder="1" applyFont="1">
      <alignment horizontal="left" readingOrder="0" shrinkToFit="0" vertical="top" wrapText="1"/>
    </xf>
    <xf borderId="3" fillId="2" fontId="8" numFmtId="0" xfId="0" applyAlignment="1" applyBorder="1" applyFont="1">
      <alignment readingOrder="0" shrinkToFit="0" vertical="top" wrapText="1"/>
    </xf>
    <xf borderId="3" fillId="3" fontId="8" numFmtId="0" xfId="0" applyAlignment="1" applyBorder="1" applyFont="1">
      <alignment readingOrder="0" shrinkToFit="0" vertical="top" wrapText="1"/>
    </xf>
    <xf borderId="6" fillId="2" fontId="5" numFmtId="0" xfId="0" applyAlignment="1" applyBorder="1" applyFont="1">
      <alignment horizontal="right" shrinkToFit="0" vertical="center" wrapText="0"/>
    </xf>
    <xf borderId="4" fillId="3" fontId="5" numFmtId="0" xfId="0" applyAlignment="1" applyBorder="1" applyFont="1">
      <alignment horizontal="left" readingOrder="0" shrinkToFit="0" vertical="center" wrapText="0"/>
    </xf>
    <xf borderId="17" fillId="2" fontId="5" numFmtId="0" xfId="0" applyAlignment="1" applyBorder="1" applyFont="1">
      <alignment horizontal="right" shrinkToFit="0" vertical="center" wrapText="0"/>
    </xf>
    <xf borderId="0" fillId="2" fontId="5" numFmtId="0" xfId="0" applyAlignment="1" applyFont="1">
      <alignment horizontal="left" readingOrder="0" shrinkToFit="0" vertical="center" wrapText="0"/>
    </xf>
    <xf borderId="6" fillId="3" fontId="5" numFmtId="0" xfId="0" applyAlignment="1" applyBorder="1" applyFont="1">
      <alignment horizontal="right" readingOrder="0" shrinkToFit="0" vertical="center" wrapText="0"/>
    </xf>
    <xf borderId="2" fillId="2" fontId="21" numFmtId="0" xfId="0" applyAlignment="1" applyBorder="1" applyFont="1">
      <alignment horizontal="center" shrinkToFit="0" vertical="center" wrapText="0"/>
    </xf>
    <xf borderId="4" fillId="2" fontId="5" numFmtId="0" xfId="0" applyAlignment="1" applyBorder="1" applyFont="1">
      <alignment horizontal="left" shrinkToFit="0" vertical="center" wrapText="0"/>
    </xf>
    <xf borderId="17" fillId="2" fontId="5" numFmtId="0" xfId="0" applyAlignment="1" applyBorder="1" applyFont="1">
      <alignment horizontal="center" readingOrder="0" shrinkToFit="0" vertical="center" wrapText="0"/>
    </xf>
    <xf borderId="0" fillId="2" fontId="5" numFmtId="0" xfId="0" applyAlignment="1" applyFont="1">
      <alignment horizontal="center" readingOrder="0" shrinkToFit="0" vertical="center" wrapText="0"/>
    </xf>
    <xf borderId="6" fillId="2" fontId="5" numFmtId="0" xfId="0" applyAlignment="1" applyBorder="1" applyFont="1">
      <alignment horizontal="right" readingOrder="0" shrinkToFit="0" vertical="center" wrapText="0"/>
    </xf>
    <xf borderId="2" fillId="3" fontId="5" numFmtId="0" xfId="0" applyAlignment="1" applyBorder="1" applyFont="1">
      <alignment horizontal="right" readingOrder="0" shrinkToFit="0" vertical="center" wrapText="0"/>
    </xf>
    <xf borderId="2" fillId="2" fontId="5" numFmtId="0" xfId="0" applyAlignment="1" applyBorder="1" applyFont="1">
      <alignment horizontal="right" readingOrder="0" shrinkToFit="0" vertical="center" wrapText="0"/>
    </xf>
    <xf borderId="19" fillId="0" fontId="1" numFmtId="0" xfId="0" applyBorder="1" applyFont="1"/>
    <xf borderId="11" fillId="3" fontId="5" numFmtId="0" xfId="0" applyAlignment="1" applyBorder="1" applyFont="1">
      <alignment horizontal="center" readingOrder="0" shrinkToFit="0" vertical="center" wrapText="0"/>
    </xf>
    <xf borderId="14" fillId="2" fontId="5" numFmtId="0" xfId="0" applyAlignment="1" applyBorder="1" applyFont="1">
      <alignment horizontal="center" shrinkToFit="0" vertical="center" wrapText="0"/>
    </xf>
    <xf borderId="14" fillId="2" fontId="5" numFmtId="0" xfId="0" applyAlignment="1" applyBorder="1" applyFont="1">
      <alignment horizontal="center" shrinkToFit="0" vertical="center" wrapText="0"/>
    </xf>
    <xf borderId="14" fillId="2" fontId="8" numFmtId="0" xfId="0" applyAlignment="1" applyBorder="1" applyFont="1">
      <alignment horizontal="left" readingOrder="0" shrinkToFit="0" vertical="top" wrapText="1"/>
    </xf>
    <xf borderId="2" fillId="3" fontId="10" numFmtId="0" xfId="0" applyAlignment="1" applyBorder="1" applyFont="1">
      <alignment horizontal="center" shrinkToFit="0" vertical="center" wrapText="0"/>
    </xf>
    <xf borderId="6" fillId="2" fontId="5" numFmtId="0" xfId="0" applyAlignment="1" applyBorder="1" applyFont="1">
      <alignment horizontal="center" shrinkToFit="0" vertical="center" wrapText="0"/>
    </xf>
    <xf borderId="3" fillId="3" fontId="5" numFmtId="0" xfId="0" applyAlignment="1" applyBorder="1" applyFont="1">
      <alignment horizontal="right" shrinkToFit="0" vertical="center" wrapText="0"/>
    </xf>
    <xf borderId="14" fillId="2" fontId="10" numFmtId="0" xfId="0" applyAlignment="1" applyBorder="1" applyFont="1">
      <alignment horizontal="right" shrinkToFit="0" vertical="center" wrapText="0"/>
    </xf>
    <xf borderId="16" fillId="2" fontId="10" numFmtId="0" xfId="0" applyAlignment="1" applyBorder="1" applyFont="1">
      <alignment horizontal="left" readingOrder="0" shrinkToFit="0" vertical="center" wrapText="0"/>
    </xf>
    <xf borderId="2" fillId="2" fontId="10" numFmtId="0" xfId="0" applyAlignment="1" applyBorder="1" applyFont="1">
      <alignment horizontal="center" shrinkToFit="0" vertical="center" wrapText="0"/>
    </xf>
    <xf borderId="2" fillId="2" fontId="10" numFmtId="0" xfId="0" applyAlignment="1" applyBorder="1" applyFont="1">
      <alignment horizontal="center" shrinkToFit="0" vertical="center" wrapText="1"/>
    </xf>
    <xf borderId="3" fillId="2" fontId="10" numFmtId="0" xfId="0" applyAlignment="1" applyBorder="1" applyFont="1">
      <alignment horizontal="right" shrinkToFit="0" vertical="center" wrapText="0"/>
    </xf>
    <xf borderId="4" fillId="2" fontId="10" numFmtId="0" xfId="0" applyAlignment="1" applyBorder="1" applyFont="1">
      <alignment horizontal="left" readingOrder="0" shrinkToFit="0" vertical="center" wrapText="0"/>
    </xf>
    <xf borderId="11" fillId="3" fontId="10" numFmtId="0" xfId="0" applyAlignment="1" applyBorder="1" applyFont="1">
      <alignment horizontal="center" shrinkToFit="0" vertical="center" wrapText="0"/>
    </xf>
    <xf borderId="17" fillId="2" fontId="2" numFmtId="0" xfId="0" applyAlignment="1" applyBorder="1" applyFont="1">
      <alignment horizontal="center" readingOrder="0" vertical="center"/>
    </xf>
    <xf borderId="2" fillId="2" fontId="10" numFmtId="0" xfId="0" applyAlignment="1" applyBorder="1" applyFont="1">
      <alignment horizontal="center" readingOrder="0" shrinkToFit="0" vertical="center" wrapText="0"/>
    </xf>
    <xf borderId="4" fillId="3" fontId="5" numFmtId="49" xfId="0" applyAlignment="1" applyBorder="1" applyFont="1" applyNumberFormat="1">
      <alignment horizontal="left" readingOrder="0" shrinkToFit="0" vertical="center" wrapText="0"/>
    </xf>
    <xf borderId="14" fillId="2" fontId="3" numFmtId="0" xfId="0" applyBorder="1" applyFont="1"/>
    <xf borderId="2" fillId="2" fontId="8" numFmtId="164" xfId="0" applyAlignment="1" applyBorder="1" applyFont="1" applyNumberFormat="1">
      <alignment horizontal="left" shrinkToFit="0" vertical="top" wrapText="1"/>
    </xf>
    <xf borderId="2" fillId="3" fontId="8" numFmtId="0" xfId="0" applyAlignment="1" applyBorder="1" applyFont="1">
      <alignment horizontal="left" readingOrder="0" shrinkToFit="0" vertical="top" wrapText="1"/>
    </xf>
    <xf borderId="2" fillId="2" fontId="22" numFmtId="0" xfId="0" applyAlignment="1" applyBorder="1" applyFont="1">
      <alignment horizontal="right" shrinkToFit="0" vertical="center" wrapText="0"/>
    </xf>
    <xf borderId="3" fillId="2" fontId="5" numFmtId="0" xfId="0" applyAlignment="1" applyBorder="1" applyFont="1">
      <alignment horizontal="left" readingOrder="0" shrinkToFit="0" vertical="center" wrapText="0"/>
    </xf>
    <xf borderId="1" fillId="2" fontId="23" numFmtId="0" xfId="0" applyAlignment="1" applyBorder="1" applyFont="1">
      <alignment horizontal="center" shrinkToFit="0" vertical="center" wrapText="0"/>
    </xf>
    <xf borderId="11" fillId="3" fontId="5" numFmtId="0" xfId="0" applyAlignment="1" applyBorder="1" applyFont="1">
      <alignment horizontal="center" shrinkToFit="0" vertical="center" wrapText="0"/>
    </xf>
    <xf borderId="17" fillId="3" fontId="10" numFmtId="0" xfId="0" applyAlignment="1" applyBorder="1" applyFont="1">
      <alignment horizontal="center" shrinkToFit="0" vertical="center" wrapText="0"/>
    </xf>
    <xf borderId="0" fillId="3" fontId="5" numFmtId="0" xfId="0" applyAlignment="1" applyFont="1">
      <alignment horizontal="right" shrinkToFit="0" vertical="center" wrapText="0"/>
    </xf>
    <xf borderId="15" fillId="3" fontId="5" numFmtId="0" xfId="0" applyAlignment="1" applyBorder="1" applyFont="1">
      <alignment horizontal="left" readingOrder="0" shrinkToFit="0" vertical="center" wrapText="0"/>
    </xf>
    <xf borderId="2" fillId="3" fontId="8" numFmtId="164" xfId="0" applyAlignment="1" applyBorder="1" applyFont="1" applyNumberFormat="1">
      <alignment horizontal="left" readingOrder="0" shrinkToFit="0" vertical="top" wrapText="1"/>
    </xf>
    <xf borderId="2" fillId="2" fontId="8" numFmtId="164" xfId="0" applyAlignment="1" applyBorder="1" applyFont="1" applyNumberFormat="1">
      <alignment horizontal="left" readingOrder="0" shrinkToFit="0" vertical="top" wrapText="1"/>
    </xf>
    <xf borderId="2" fillId="3" fontId="10" numFmtId="0" xfId="0" applyAlignment="1" applyBorder="1" applyFont="1">
      <alignment horizontal="center" readingOrder="0" shrinkToFit="0" vertical="center" wrapText="0"/>
    </xf>
    <xf borderId="14" fillId="2" fontId="5" numFmtId="0" xfId="0" applyAlignment="1" applyBorder="1" applyFont="1">
      <alignment horizontal="right" shrinkToFit="0" vertical="center" wrapText="0"/>
    </xf>
    <xf borderId="15" fillId="2" fontId="5" numFmtId="0" xfId="0" applyAlignment="1" applyBorder="1" applyFont="1">
      <alignment horizontal="left" readingOrder="0" shrinkToFit="0" vertical="center" wrapText="0"/>
    </xf>
    <xf borderId="1" fillId="3" fontId="24" numFmtId="0" xfId="0" applyAlignment="1" applyBorder="1" applyFont="1">
      <alignment horizontal="center" shrinkToFit="0" vertical="center" wrapText="0"/>
    </xf>
    <xf borderId="3" fillId="3" fontId="5" numFmtId="0" xfId="0" applyAlignment="1" applyBorder="1" applyFont="1">
      <alignment horizontal="right" shrinkToFit="0" vertical="center" wrapText="0"/>
    </xf>
    <xf borderId="4" fillId="3" fontId="10" numFmtId="0" xfId="0" applyAlignment="1" applyBorder="1" applyFont="1">
      <alignment horizontal="left" readingOrder="0" shrinkToFit="0" vertical="center" wrapText="0"/>
    </xf>
    <xf borderId="14" fillId="3" fontId="10" numFmtId="0" xfId="0" applyAlignment="1" applyBorder="1" applyFont="1">
      <alignment horizontal="center" shrinkToFit="0" vertical="center" wrapText="0"/>
    </xf>
    <xf borderId="14" fillId="3" fontId="8" numFmtId="164" xfId="0" applyAlignment="1" applyBorder="1" applyFont="1" applyNumberFormat="1">
      <alignment horizontal="left" readingOrder="0" shrinkToFit="0" vertical="top" wrapText="1"/>
    </xf>
    <xf borderId="2" fillId="3" fontId="8" numFmtId="164" xfId="0" applyAlignment="1" applyBorder="1" applyFont="1" applyNumberFormat="1">
      <alignment horizontal="left" shrinkToFit="0" vertical="top" wrapText="1"/>
    </xf>
    <xf borderId="3" fillId="2" fontId="5" numFmtId="0" xfId="0" applyAlignment="1" applyBorder="1" applyFont="1">
      <alignment horizontal="center" readingOrder="0" shrinkToFit="0" vertical="center" wrapText="0"/>
    </xf>
    <xf borderId="29" fillId="3" fontId="5" numFmtId="0" xfId="0" applyAlignment="1" applyBorder="1" applyFont="1">
      <alignment horizontal="center" shrinkToFit="0" vertical="center" wrapText="0"/>
    </xf>
    <xf borderId="33" fillId="3" fontId="3" numFmtId="0" xfId="0" applyBorder="1" applyFont="1"/>
    <xf borderId="17" fillId="3" fontId="2" numFmtId="0" xfId="0" applyAlignment="1" applyBorder="1" applyFont="1">
      <alignment horizontal="center" readingOrder="0" vertical="center"/>
    </xf>
    <xf borderId="6" fillId="2" fontId="10" numFmtId="0" xfId="0" applyAlignment="1" applyBorder="1" applyFont="1">
      <alignment horizontal="center" readingOrder="0" shrinkToFit="0" vertical="center" wrapText="0"/>
    </xf>
    <xf borderId="34" fillId="2" fontId="2" numFmtId="0" xfId="0" applyAlignment="1" applyBorder="1" applyFont="1">
      <alignment horizontal="center" readingOrder="0" vertical="center"/>
    </xf>
    <xf borderId="35" fillId="3" fontId="3" numFmtId="0" xfId="0" applyBorder="1" applyFont="1"/>
    <xf borderId="36" fillId="3" fontId="10" numFmtId="0" xfId="0" applyAlignment="1" applyBorder="1" applyFont="1">
      <alignment horizontal="center" readingOrder="0" shrinkToFit="0" vertical="center" wrapText="0"/>
    </xf>
    <xf borderId="36" fillId="3" fontId="8" numFmtId="0" xfId="0" applyAlignment="1" applyBorder="1" applyFont="1">
      <alignment horizontal="left" readingOrder="0" shrinkToFit="0" vertical="top" wrapText="1"/>
    </xf>
    <xf borderId="11" fillId="2" fontId="5" numFmtId="0" xfId="0" applyAlignment="1" applyBorder="1" applyFont="1">
      <alignment horizontal="center" readingOrder="0" shrinkToFit="0" vertical="center" wrapText="0"/>
    </xf>
    <xf borderId="11" fillId="2" fontId="8" numFmtId="0" xfId="0" applyAlignment="1" applyBorder="1" applyFont="1">
      <alignment horizontal="left" readingOrder="0" shrinkToFit="0" vertical="top" wrapText="1"/>
    </xf>
    <xf borderId="3" fillId="2" fontId="4" numFmtId="0" xfId="0" applyAlignment="1" applyBorder="1" applyFont="1">
      <alignment horizontal="right" shrinkToFit="0" vertical="center" wrapText="0"/>
    </xf>
    <xf borderId="4" fillId="2" fontId="4" numFmtId="0" xfId="0" applyAlignment="1" applyBorder="1" applyFont="1">
      <alignment horizontal="left" readingOrder="0" shrinkToFit="0" vertical="center" wrapText="0"/>
    </xf>
    <xf borderId="17" fillId="0" fontId="1" numFmtId="0" xfId="0" applyBorder="1" applyFont="1"/>
    <xf borderId="2" fillId="3" fontId="5" numFmtId="0" xfId="0" applyAlignment="1" applyBorder="1" applyFont="1">
      <alignment horizontal="center" readingOrder="0" shrinkToFit="0" vertical="center" wrapText="1"/>
    </xf>
    <xf borderId="4" fillId="2" fontId="5" numFmtId="49" xfId="0" applyAlignment="1" applyBorder="1" applyFont="1" applyNumberFormat="1">
      <alignment horizontal="left" readingOrder="0" shrinkToFit="0" vertical="center" wrapText="0"/>
    </xf>
    <xf borderId="2" fillId="3" fontId="8" numFmtId="164" xfId="0" applyAlignment="1" applyBorder="1" applyFont="1" applyNumberFormat="1">
      <alignment horizontal="left" shrinkToFit="0" vertical="top" wrapText="1"/>
    </xf>
    <xf borderId="2" fillId="2" fontId="8" numFmtId="0" xfId="0" applyAlignment="1" applyBorder="1" applyFont="1">
      <alignment horizontal="left" readingOrder="0" shrinkToFit="0" vertical="top" wrapText="1"/>
    </xf>
    <xf borderId="6" fillId="2" fontId="2" numFmtId="0" xfId="0" applyAlignment="1" applyBorder="1" applyFont="1">
      <alignment horizontal="center" vertical="center"/>
    </xf>
    <xf borderId="2" fillId="2" fontId="5" numFmtId="0" xfId="0" applyAlignment="1" applyBorder="1" applyFont="1">
      <alignment horizontal="center" vertical="center"/>
    </xf>
    <xf borderId="1" fillId="2" fontId="25" numFmtId="0" xfId="0" applyAlignment="1" applyBorder="1" applyFont="1">
      <alignment readingOrder="0"/>
    </xf>
    <xf quotePrefix="1" borderId="1" fillId="2" fontId="4" numFmtId="0" xfId="0" applyAlignment="1" applyBorder="1" applyFont="1">
      <alignment horizontal="center" vertical="center"/>
    </xf>
    <xf quotePrefix="1" borderId="1" fillId="2" fontId="4" numFmtId="0" xfId="0" applyAlignment="1" applyBorder="1" applyFont="1">
      <alignment horizontal="center" readingOrder="0" shrinkToFit="0" vertical="center" wrapText="0"/>
    </xf>
    <xf borderId="2" fillId="2" fontId="4" numFmtId="0" xfId="0" applyAlignment="1" applyBorder="1" applyFont="1">
      <alignment horizontal="center" readingOrder="0" shrinkToFit="0" vertical="center" wrapText="0"/>
    </xf>
    <xf borderId="14" fillId="3" fontId="3" numFmtId="0" xfId="0" applyBorder="1" applyFont="1"/>
    <xf borderId="2" fillId="3" fontId="5" numFmtId="0" xfId="0" applyAlignment="1" applyBorder="1" applyFont="1">
      <alignment horizontal="center" vertical="center"/>
    </xf>
    <xf borderId="1" fillId="3" fontId="25" numFmtId="0" xfId="0" applyBorder="1" applyFont="1"/>
    <xf quotePrefix="1" borderId="1" fillId="3" fontId="4" numFmtId="0" xfId="0" applyAlignment="1" applyBorder="1" applyFont="1">
      <alignment horizontal="center" readingOrder="0" shrinkToFit="0" vertical="center" wrapText="0"/>
    </xf>
    <xf borderId="2" fillId="3" fontId="4" numFmtId="0" xfId="0" applyAlignment="1" applyBorder="1" applyFont="1">
      <alignment horizontal="center" readingOrder="0" shrinkToFit="0" vertical="center" wrapText="0"/>
    </xf>
    <xf borderId="2" fillId="3" fontId="2" numFmtId="0" xfId="0" applyAlignment="1" applyBorder="1" applyFont="1">
      <alignment horizontal="center" vertical="center"/>
    </xf>
    <xf borderId="6" fillId="3" fontId="2" numFmtId="0" xfId="0" applyAlignment="1" applyBorder="1" applyFont="1">
      <alignment horizontal="center" vertical="center"/>
    </xf>
    <xf borderId="1" fillId="2" fontId="26" numFmtId="0" xfId="0" applyAlignment="1" applyBorder="1" applyFont="1">
      <alignment horizontal="center" vertical="center"/>
    </xf>
    <xf borderId="2" fillId="2" fontId="4" numFmtId="0" xfId="0" applyAlignment="1" applyBorder="1" applyFont="1">
      <alignment horizontal="right" vertical="center"/>
    </xf>
    <xf borderId="4" fillId="2" fontId="4" numFmtId="0" xfId="0" applyAlignment="1" applyBorder="1" applyFont="1">
      <alignment horizontal="left" vertical="center"/>
    </xf>
    <xf borderId="3" fillId="2" fontId="5" numFmtId="0" xfId="0" applyAlignment="1" applyBorder="1" applyFont="1">
      <alignment horizontal="center" vertical="center"/>
    </xf>
    <xf borderId="1" fillId="2" fontId="25" numFmtId="0" xfId="0" applyBorder="1" applyFont="1"/>
    <xf borderId="1" fillId="3" fontId="27" numFmtId="0" xfId="0" applyAlignment="1" applyBorder="1" applyFont="1">
      <alignment horizontal="center" vertical="center"/>
    </xf>
    <xf borderId="2" fillId="3" fontId="4" numFmtId="0" xfId="0" applyAlignment="1" applyBorder="1" applyFont="1">
      <alignment horizontal="right" vertical="center"/>
    </xf>
    <xf borderId="16" fillId="3" fontId="4" numFmtId="0" xfId="0" applyAlignment="1" applyBorder="1" applyFont="1">
      <alignment horizontal="left" vertical="center"/>
    </xf>
    <xf borderId="3" fillId="3" fontId="5" numFmtId="0" xfId="0" applyAlignment="1" applyBorder="1" applyFont="1">
      <alignment horizontal="center" shrinkToFit="0" vertical="center" wrapText="1"/>
    </xf>
    <xf borderId="16" fillId="2" fontId="4" numFmtId="0" xfId="0" applyAlignment="1" applyBorder="1" applyFont="1">
      <alignment horizontal="left" vertical="center"/>
    </xf>
    <xf borderId="3" fillId="3" fontId="5" numFmtId="0" xfId="0" applyAlignment="1" applyBorder="1" applyFont="1">
      <alignment horizontal="center" vertical="center"/>
    </xf>
    <xf borderId="2" fillId="2" fontId="5" numFmtId="0" xfId="0" applyAlignment="1" applyBorder="1" applyFont="1">
      <alignment horizontal="center" shrinkToFit="0" vertical="center" wrapText="1"/>
    </xf>
    <xf borderId="1" fillId="3" fontId="5" numFmtId="0" xfId="0" applyAlignment="1" applyBorder="1" applyFont="1">
      <alignment horizontal="center" vertical="center"/>
    </xf>
  </cellXfs>
  <cellStyles count="1">
    <cellStyle xfId="0" name="Normal" builtinId="0"/>
  </cellStyles>
  <dxfs count="23">
    <dxf>
      <font/>
      <fill>
        <patternFill patternType="none"/>
      </fill>
      <border/>
    </dxf>
    <dxf>
      <font/>
      <fill>
        <patternFill patternType="solid">
          <fgColor rgb="FFFFE599"/>
          <bgColor rgb="FFFFE599"/>
        </patternFill>
      </fill>
      <border/>
    </dxf>
    <dxf>
      <font/>
      <fill>
        <patternFill patternType="solid">
          <fgColor rgb="FFFFF2CC"/>
          <bgColor rgb="FFFFF2CC"/>
        </patternFill>
      </fill>
      <border/>
    </dxf>
    <dxf>
      <font/>
      <fill>
        <patternFill patternType="solid">
          <fgColor rgb="FF34A853"/>
          <bgColor rgb="FF34A853"/>
        </patternFill>
      </fill>
      <border/>
    </dxf>
    <dxf>
      <font/>
      <fill>
        <patternFill patternType="solid">
          <fgColor theme="7"/>
          <bgColor theme="7"/>
        </patternFill>
      </fill>
      <border/>
    </dxf>
    <dxf>
      <font/>
      <fill>
        <patternFill patternType="solid">
          <fgColor theme="5"/>
          <bgColor theme="5"/>
        </patternFill>
      </fill>
      <border/>
    </dxf>
    <dxf>
      <font/>
      <fill>
        <patternFill patternType="solid">
          <fgColor rgb="FFEA4335"/>
          <bgColor rgb="FFEA4335"/>
        </patternFill>
      </fill>
      <border/>
    </dxf>
    <dxf>
      <font/>
      <fill>
        <patternFill patternType="solid">
          <fgColor rgb="FFE06666"/>
          <bgColor rgb="FFE06666"/>
        </patternFill>
      </fill>
      <border/>
    </dxf>
    <dxf>
      <font/>
      <fill>
        <patternFill patternType="solid">
          <fgColor rgb="FFA4C2F4"/>
          <bgColor rgb="FFA4C2F4"/>
        </patternFill>
      </fill>
      <border/>
    </dxf>
    <dxf>
      <font>
        <color theme="1"/>
      </font>
      <fill>
        <patternFill patternType="solid">
          <fgColor rgb="FFF6B26B"/>
          <bgColor rgb="FFF6B26B"/>
        </patternFill>
      </fill>
      <border/>
    </dxf>
    <dxf>
      <font/>
      <fill>
        <patternFill patternType="solid">
          <fgColor rgb="FF9FC5E8"/>
          <bgColor rgb="FF9FC5E8"/>
        </patternFill>
      </fill>
      <border/>
    </dxf>
    <dxf>
      <font>
        <color rgb="FF000000"/>
      </font>
      <fill>
        <patternFill patternType="solid">
          <fgColor rgb="FFF6B26B"/>
          <bgColor rgb="FFF6B26B"/>
        </patternFill>
      </fill>
      <border/>
    </dxf>
    <dxf>
      <font/>
      <fill>
        <patternFill patternType="solid">
          <fgColor theme="9"/>
          <bgColor theme="9"/>
        </patternFill>
      </fill>
      <border/>
    </dxf>
    <dxf>
      <font/>
      <fill>
        <patternFill patternType="solid">
          <fgColor rgb="FF46BDC6"/>
          <bgColor rgb="FF46BDC6"/>
        </patternFill>
      </fill>
      <border/>
    </dxf>
    <dxf>
      <font/>
      <fill>
        <patternFill patternType="solid">
          <fgColor rgb="FFDB00FF"/>
          <bgColor rgb="FFDB00FF"/>
        </patternFill>
      </fill>
      <border/>
    </dxf>
    <dxf>
      <font>
        <color theme="1"/>
      </font>
      <fill>
        <patternFill patternType="solid">
          <fgColor theme="7"/>
          <bgColor theme="7"/>
        </patternFill>
      </fill>
      <border/>
    </dxf>
    <dxf>
      <font/>
      <fill>
        <patternFill patternType="solid">
          <fgColor rgb="FFF6B26B"/>
          <bgColor rgb="FFF6B26B"/>
        </patternFill>
      </fill>
      <border/>
    </dxf>
    <dxf>
      <font/>
      <fill>
        <patternFill patternType="solid">
          <fgColor rgb="FFFBBC04"/>
          <bgColor rgb="FFFBBC04"/>
        </patternFill>
      </fill>
      <border/>
    </dxf>
    <dxf>
      <font/>
      <fill>
        <patternFill patternType="solid">
          <fgColor rgb="FFFF6D01"/>
          <bgColor rgb="FFFF6D01"/>
        </patternFill>
      </fill>
      <border/>
    </dxf>
    <dxf>
      <font>
        <color theme="1"/>
      </font>
      <fill>
        <patternFill patternType="solid">
          <fgColor rgb="FFE06666"/>
          <bgColor rgb="FFE06666"/>
        </patternFill>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9">
    <tableStyle count="3" pivot="0" name="Custom Dice Roller-style">
      <tableStyleElement dxfId="1" type="headerRow"/>
      <tableStyleElement dxfId="2" type="firstRowStripe"/>
      <tableStyleElement dxfId="1" type="secondRowStripe"/>
    </tableStyle>
    <tableStyle count="3" pivot="0" name="Equipment-style">
      <tableStyleElement dxfId="1" type="headerRow"/>
      <tableStyleElement dxfId="2" type="firstRowStripe"/>
      <tableStyleElement dxfId="1" type="secondRowStripe"/>
    </tableStyle>
    <tableStyle count="3" pivot="0" name="Equipment-style 2">
      <tableStyleElement dxfId="1" type="headerRow"/>
      <tableStyleElement dxfId="2" type="firstRowStripe"/>
      <tableStyleElement dxfId="1" type="secondRowStripe"/>
    </tableStyle>
    <tableStyle count="3" pivot="0" name="Equipment-style 3">
      <tableStyleElement dxfId="1" type="headerRow"/>
      <tableStyleElement dxfId="2" type="firstRowStripe"/>
      <tableStyleElement dxfId="1" type="secondRowStripe"/>
    </tableStyle>
    <tableStyle count="3" pivot="0" name="Equipment-style 4">
      <tableStyleElement dxfId="1" type="headerRow"/>
      <tableStyleElement dxfId="2" type="firstRowStripe"/>
      <tableStyleElement dxfId="1" type="secondRowStripe"/>
    </tableStyle>
    <tableStyle count="3" pivot="0" name="Body Slots-style">
      <tableStyleElement dxfId="20" type="headerRow"/>
      <tableStyleElement dxfId="21" type="firstRowStripe"/>
      <tableStyleElement dxfId="22" type="secondRowStripe"/>
    </tableStyle>
    <tableStyle count="3" pivot="0" name="Dice and Macros-style">
      <tableStyleElement dxfId="1" type="headerRow"/>
      <tableStyleElement dxfId="2" type="firstRowStripe"/>
      <tableStyleElement dxfId="1" type="secondRowStripe"/>
    </tableStyle>
    <tableStyle count="2" pivot="0" name="Sheet4-style">
      <tableStyleElement dxfId="1" type="firstRowStripe"/>
      <tableStyleElement dxfId="2" type="secondRowStripe"/>
    </tableStyle>
    <tableStyle count="3" pivot="0" name="Class Skills Table-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K1:S217" displayName="Table_1" id="1">
  <tableColumns count="9">
    <tableColumn name="pointer" id="1"/>
    <tableColumn name="d4" id="2"/>
    <tableColumn name="d6" id="3"/>
    <tableColumn name="d8" id="4"/>
    <tableColumn name="d10" id="5"/>
    <tableColumn name="d12" id="6"/>
    <tableColumn name="d20" id="7"/>
    <tableColumn name="d100" id="8"/>
    <tableColumn name="dcustom" id="9"/>
  </tableColumns>
  <tableStyleInfo name="Custom Dice Roller-style" showColumnStripes="0" showFirstColumn="1" showLastColumn="1" showRowStripes="1"/>
</table>
</file>

<file path=xl/tables/table2.xml><?xml version="1.0" encoding="utf-8"?>
<table xmlns="http://schemas.openxmlformats.org/spreadsheetml/2006/main" headerRowCount="0" ref="B46:F58" displayName="Table_2" id="2">
  <tableColumns count="5">
    <tableColumn name="Column1" id="1"/>
    <tableColumn name="Column2" id="2"/>
    <tableColumn name="Column3" id="3"/>
    <tableColumn name="Column4" id="4"/>
    <tableColumn name="Column5" id="5"/>
  </tableColumns>
  <tableStyleInfo name="Equipment-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H42:I43" displayName="Table_3" id="3">
  <tableColumns count="2">
    <tableColumn name="Bag Capacity" id="1"/>
    <tableColumn name="[Enter Value]" id="2"/>
  </tableColumns>
  <tableStyleInfo name="Equipment-style 2" showColumnStripes="0" showFirstColumn="1" showLastColumn="1" showRowStripes="1"/>
</table>
</file>

<file path=xl/tables/table4.xml><?xml version="1.0" encoding="utf-8"?>
<table xmlns="http://schemas.openxmlformats.org/spreadsheetml/2006/main" headerRowCount="0" ref="B6:F21" displayName="Table_4" id="4">
  <tableColumns count="5">
    <tableColumn name="Column1" id="1"/>
    <tableColumn name="Column2" id="2"/>
    <tableColumn name="Column3" id="3"/>
    <tableColumn name="Column4" id="4"/>
    <tableColumn name="Column5" id="5"/>
  </tableColumns>
  <tableStyleInfo name="Equipment-style 3"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H2:I5" displayName="Table_5" id="5">
  <tableColumns count="2">
    <tableColumn name="Column1" id="1"/>
    <tableColumn name="Column2" id="2"/>
  </tableColumns>
  <tableStyleInfo name="Equipment-style 4"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B15:D15" displayName="Table_6" id="6">
  <tableColumns count="3">
    <tableColumn name="Column1" id="1"/>
    <tableColumn name="Column2" id="2"/>
    <tableColumn name="Column3" id="3"/>
  </tableColumns>
  <tableStyleInfo name="Body Slots-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P5:Q5" displayName="Table_7" id="7">
  <tableColumns count="2">
    <tableColumn name="Column1" id="1"/>
    <tableColumn name="Column2" id="2"/>
  </tableColumns>
  <tableStyleInfo name="Dice and Macro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E159:E173" displayName="Table_8" id="8">
  <tableColumns count="1">
    <tableColumn name="Column1" id="1"/>
  </tableColumns>
  <tableStyleInfo name="Sheet4-style" showColumnStripes="0" showFirstColumn="1" showLastColumn="1" showRowStripes="1"/>
</table>
</file>

<file path=xl/tables/table9.xml><?xml version="1.0" encoding="utf-8"?>
<table xmlns="http://schemas.openxmlformats.org/spreadsheetml/2006/main" ref="A15:X65" displayName="Table_9" id="9">
  <tableColumns count="24">
    <tableColumn name="SKILL" id="1"/>
    <tableColumn name="KEY_ABILITY" id="2"/>
    <tableColumn name="KEY_ABILITY_ABB" id="3"/>
    <tableColumn name="UNTRAINED" id="4"/>
    <tableColumn name="None" id="5"/>
    <tableColumn name="BARBARIAN" id="6"/>
    <tableColumn name="BARD" id="7"/>
    <tableColumn name="CLERIC" id="8"/>
    <tableColumn name="DRUID" id="9"/>
    <tableColumn name="FIGHTER" id="10"/>
    <tableColumn name="MONK" id="11"/>
    <tableColumn name="PALADIN" id="12"/>
    <tableColumn name="RANGER" id="13"/>
    <tableColumn name="ROGUE" id="14"/>
    <tableColumn name="SORCERER" id="15"/>
    <tableColumn name="WIZARD" id="16"/>
    <tableColumn name="Adept" id="17"/>
    <tableColumn name="Psion" id="18"/>
    <tableColumn name="Psychic Warrior" id="19"/>
    <tableColumn name="Soulknife" id="20"/>
    <tableColumn name="Wilder" id="21"/>
    <tableColumn name="Custom 1" id="22"/>
    <tableColumn name="Custom 2" id="23"/>
    <tableColumn name="Custom 3" id="24"/>
  </tableColumns>
  <tableStyleInfo name="Class Skills 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9" Type="http://schemas.openxmlformats.org/officeDocument/2006/relationships/table" Target="../tables/table5.xml"/><Relationship Id="rId6" Type="http://schemas.openxmlformats.org/officeDocument/2006/relationships/table" Target="../tables/table2.xml"/><Relationship Id="rId7" Type="http://schemas.openxmlformats.org/officeDocument/2006/relationships/table" Target="../tables/table3.xml"/><Relationship Id="rId8"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 Id="rId5"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d20srd.org/srd/spells/suggestion.htm" TargetMode="External"/><Relationship Id="rId3" Type="http://schemas.openxmlformats.org/officeDocument/2006/relationships/hyperlink" Target="https://www.d20srd.org/srd/spells/breakEnchantment.htm" TargetMode="External"/><Relationship Id="rId4" Type="http://schemas.openxmlformats.org/officeDocument/2006/relationships/hyperlink" Target="https://www.d20srd.org/srd/spells/suggestion.htm" TargetMode="External"/><Relationship Id="rId11" Type="http://schemas.openxmlformats.org/officeDocument/2006/relationships/drawing" Target="../drawings/drawing13.xml"/><Relationship Id="rId10" Type="http://schemas.openxmlformats.org/officeDocument/2006/relationships/hyperlink" Target="https://www.d20srd.org/srd/spells/removeDisease.htm" TargetMode="External"/><Relationship Id="rId12" Type="http://schemas.openxmlformats.org/officeDocument/2006/relationships/vmlDrawing" Target="../drawings/vmlDrawing6.vml"/><Relationship Id="rId9" Type="http://schemas.openxmlformats.org/officeDocument/2006/relationships/hyperlink" Target="https://www.d20srd.org/srd/spells/detectEvil.htm" TargetMode="External"/><Relationship Id="rId5" Type="http://schemas.openxmlformats.org/officeDocument/2006/relationships/hyperlink" Target="https://www.dandwiki.com/wiki/SRD:Speak_with_Animals" TargetMode="External"/><Relationship Id="rId6" Type="http://schemas.openxmlformats.org/officeDocument/2006/relationships/hyperlink" Target="https://www.d20srd.org/srd/spells/disguiseSelf.htm" TargetMode="External"/><Relationship Id="rId7" Type="http://schemas.openxmlformats.org/officeDocument/2006/relationships/hyperlink" Target="https://www.d20srd.org/srd/spells/dimensionDoor.htm" TargetMode="External"/><Relationship Id="rId8" Type="http://schemas.openxmlformats.org/officeDocument/2006/relationships/hyperlink" Target="https://www.d20srd.org/srd/spells/etherealness.ht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dandwiki.com/wiki/SRD:Speak_with_Animals" TargetMode="External"/><Relationship Id="rId3" Type="http://schemas.openxmlformats.org/officeDocument/2006/relationships/hyperlink" Target="https://www.dandwiki.com/wiki/SRD:Dancing_Lights" TargetMode="External"/><Relationship Id="rId4" Type="http://schemas.openxmlformats.org/officeDocument/2006/relationships/hyperlink" Target="https://www.dandwiki.com/wiki/SRD:Ghost_Sound" TargetMode="External"/><Relationship Id="rId5" Type="http://schemas.openxmlformats.org/officeDocument/2006/relationships/hyperlink" Target="https://www.dandwiki.com/wiki/SRD:Prestidigitation" TargetMode="External"/><Relationship Id="rId6" Type="http://schemas.openxmlformats.org/officeDocument/2006/relationships/drawing" Target="../drawings/drawing15.xml"/><Relationship Id="rId7"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14"/>
    <col customWidth="1" min="2" max="2" width="11.14"/>
    <col customWidth="1" min="3" max="3" width="20.0"/>
    <col customWidth="1" min="4" max="4" width="18.14"/>
    <col customWidth="1" min="5" max="5" width="10.43"/>
    <col customWidth="1" min="6" max="6" width="13.57"/>
    <col customWidth="1" min="7" max="7" width="17.29"/>
    <col customWidth="1" min="8" max="10" width="1.14"/>
    <col customWidth="1" min="20" max="20" width="3.14"/>
    <col customWidth="1" min="21" max="21" width="11.14"/>
    <col customWidth="1" min="22" max="22" width="20.0"/>
    <col customWidth="1" min="23" max="23" width="18.14"/>
    <col customWidth="1" min="24" max="24" width="10.43"/>
    <col customWidth="1" min="25" max="25" width="13.57"/>
    <col customWidth="1" min="26" max="26" width="17.29"/>
  </cols>
  <sheetData>
    <row r="1">
      <c r="K1" s="1" t="s">
        <v>0</v>
      </c>
      <c r="L1" s="1" t="s">
        <v>1</v>
      </c>
      <c r="M1" s="1" t="s">
        <v>2</v>
      </c>
      <c r="N1" s="1" t="s">
        <v>3</v>
      </c>
      <c r="O1" s="1" t="s">
        <v>4</v>
      </c>
      <c r="P1" s="1" t="s">
        <v>5</v>
      </c>
      <c r="Q1" s="1" t="s">
        <v>6</v>
      </c>
      <c r="R1" s="1" t="s">
        <v>7</v>
      </c>
      <c r="S1" s="1" t="s">
        <v>8</v>
      </c>
    </row>
    <row r="2">
      <c r="B2" s="2" t="s">
        <v>9</v>
      </c>
      <c r="C2" s="3"/>
      <c r="D2" s="3"/>
      <c r="E2" s="3"/>
      <c r="F2" s="3"/>
      <c r="G2" s="4"/>
      <c r="K2" s="5">
        <f t="shared" ref="K2:K17" si="1">RANDBETWEEN(2,21)</f>
        <v>13</v>
      </c>
      <c r="L2" s="5">
        <f t="array" ref="L2">if(or({attackroll;'Dice and Macros'!$F$4:$F$11;macroroll}),randbetween(1,4),L2)</f>
        <v>1</v>
      </c>
      <c r="M2" s="5">
        <f t="array" ref="M2">if(or({attackroll;'Dice and Macros'!$F$4:$F$11;macroroll}),randbetween(1,6),M2)</f>
        <v>2</v>
      </c>
      <c r="N2" s="5">
        <f t="array" ref="N2">if(or({attackroll;'Dice and Macros'!$F$4:$F$11;macroroll}),randbetween(1,8),N2)</f>
        <v>4</v>
      </c>
      <c r="O2" s="5">
        <f t="array" ref="O2">if(or({attackroll;'Dice and Macros'!$F$4:$F$11;macroroll}),randbetween(1,10),O2)</f>
        <v>10</v>
      </c>
      <c r="P2" s="5">
        <f t="array" ref="P2">if(or({attackroll;'Dice and Macros'!$F$4:$F$11;macroroll}),randbetween(1,12),P2)</f>
        <v>10</v>
      </c>
      <c r="Q2" s="5">
        <f t="array" ref="Q2">if(or({attackroll;'Dice and Macros'!$F$4:$F$11;macroroll}),randbetween(1,20),Q2)</f>
        <v>5</v>
      </c>
      <c r="R2" s="5">
        <f t="array" ref="R2">if(or({attackroll;'Dice and Macros'!$F$4:$F$11;macroroll}),randbetween(1,100),R2)</f>
        <v>81</v>
      </c>
      <c r="S2" s="5">
        <f t="array" ref="S2">if(or({attackroll;'Dice and Macros'!$F$4:$F$11;macroroll}),randbetween(1,'Dice and Macros'!$D$11),S2)</f>
        <v>0</v>
      </c>
      <c r="U2" s="6" t="s">
        <v>10</v>
      </c>
      <c r="V2" s="3"/>
      <c r="W2" s="3"/>
      <c r="X2" s="3"/>
      <c r="Y2" s="3"/>
      <c r="Z2" s="4"/>
    </row>
    <row r="3">
      <c r="B3" s="7" t="s">
        <v>11</v>
      </c>
      <c r="C3" s="7" t="s">
        <v>12</v>
      </c>
      <c r="D3" s="7" t="s">
        <v>13</v>
      </c>
      <c r="E3" s="7" t="s">
        <v>14</v>
      </c>
      <c r="F3" s="7" t="s">
        <v>15</v>
      </c>
      <c r="G3" s="7" t="s">
        <v>16</v>
      </c>
      <c r="H3" s="8"/>
      <c r="I3" s="8"/>
      <c r="K3" s="5">
        <f t="shared" si="1"/>
        <v>16</v>
      </c>
      <c r="L3" s="5">
        <f t="array" ref="L3">if(or({attackroll;'Dice and Macros'!$F$4:$F$11;macroroll}),randbetween(1,4),L3)</f>
        <v>4</v>
      </c>
      <c r="M3" s="5">
        <f t="array" ref="M3">if(or({attackroll;'Dice and Macros'!$F$4:$F$11;macroroll}),randbetween(1,6),M3)</f>
        <v>1</v>
      </c>
      <c r="N3" s="5">
        <f t="array" ref="N3">if(or({attackroll;'Dice and Macros'!$F$4:$F$11;macroroll}),randbetween(1,8),N3)</f>
        <v>8</v>
      </c>
      <c r="O3" s="5">
        <f t="array" ref="O3">if(or({attackroll;'Dice and Macros'!$F$4:$F$11;macroroll}),randbetween(1,10),O3)</f>
        <v>1</v>
      </c>
      <c r="P3" s="5">
        <f t="array" ref="P3">if(or({attackroll;'Dice and Macros'!$F$4:$F$11;macroroll}),randbetween(1,12),P3)</f>
        <v>1</v>
      </c>
      <c r="Q3" s="5">
        <f t="array" ref="Q3">if(or({attackroll;'Dice and Macros'!$F$4:$F$11;macroroll}),randbetween(1,20),Q3)</f>
        <v>10</v>
      </c>
      <c r="R3" s="5">
        <f t="array" ref="R3">if(or({attackroll;'Dice and Macros'!$F$4:$F$11;macroroll}),randbetween(1,100),R3)</f>
        <v>92</v>
      </c>
      <c r="S3" s="5">
        <f t="array" ref="S3">if(or({attackroll;'Dice and Macros'!$F$4:$F$11;macroroll}),randbetween(1,'Dice and Macros'!$D$11),S3)</f>
        <v>0</v>
      </c>
      <c r="U3" s="9" t="s">
        <v>17</v>
      </c>
      <c r="V3" s="10"/>
      <c r="W3" s="11"/>
      <c r="X3" s="12" t="s">
        <v>18</v>
      </c>
      <c r="Y3" s="9" t="s">
        <v>15</v>
      </c>
      <c r="Z3" s="11"/>
    </row>
    <row r="4">
      <c r="B4" s="13" t="s">
        <v>19</v>
      </c>
      <c r="C4" s="14">
        <v>1.0</v>
      </c>
      <c r="D4" s="13">
        <v>4.0</v>
      </c>
      <c r="E4" s="15"/>
      <c r="F4" s="13" t="b">
        <v>0</v>
      </c>
      <c r="G4" s="16">
        <f>if(F4, sum(indirect("l"&amp;$K$2):indirect("l"&amp;$K$2+(C4-1)))+E4,G4)</f>
        <v>1</v>
      </c>
      <c r="H4" s="8"/>
      <c r="I4" s="8"/>
      <c r="K4" s="5">
        <f t="shared" si="1"/>
        <v>20</v>
      </c>
      <c r="L4" s="5">
        <f t="array" ref="L4">if(or({attackroll;'Dice and Macros'!$F$4:$F$11;macroroll}),randbetween(1,4),L4)</f>
        <v>4</v>
      </c>
      <c r="M4" s="5">
        <f t="array" ref="M4">if(or({attackroll;'Dice and Macros'!$F$4:$F$11;macroroll}),randbetween(1,6),M4)</f>
        <v>3</v>
      </c>
      <c r="N4" s="5">
        <f t="array" ref="N4">if(or({attackroll;'Dice and Macros'!$F$4:$F$11;macroroll}),randbetween(1,8),N4)</f>
        <v>4</v>
      </c>
      <c r="O4" s="5">
        <f t="array" ref="O4">if(or({attackroll;'Dice and Macros'!$F$4:$F$11;macroroll}),randbetween(1,10),O4)</f>
        <v>6</v>
      </c>
      <c r="P4" s="5">
        <f t="array" ref="P4">if(or({attackroll;'Dice and Macros'!$F$4:$F$11;macroroll}),randbetween(1,12),P4)</f>
        <v>7</v>
      </c>
      <c r="Q4" s="5">
        <f t="array" ref="Q4">if(or({attackroll;'Dice and Macros'!$F$4:$F$11;macroroll}),randbetween(1,20),Q4)</f>
        <v>1</v>
      </c>
      <c r="R4" s="5">
        <f t="array" ref="R4">if(or({attackroll;'Dice and Macros'!$F$4:$F$11;macroroll}),randbetween(1,100),R4)</f>
        <v>45</v>
      </c>
      <c r="S4" s="5">
        <f t="array" ref="S4">if(or({attackroll;'Dice and Macros'!$F$4:$F$11;macroroll}),randbetween(1,'Dice and Macros'!$D$11),S4)</f>
        <v>0</v>
      </c>
      <c r="U4" s="17" t="s">
        <v>20</v>
      </c>
      <c r="V4" s="3"/>
      <c r="W4" s="4"/>
      <c r="X4" s="18">
        <f>spellcasterlevel</f>
        <v>14</v>
      </c>
      <c r="Y4" s="19">
        <f>if(macroroll,sum(indirect("o"&amp;$K$2):indirect("o"&amp;$K$2+1))+Main!Z5*2,Y4)</f>
        <v>7</v>
      </c>
      <c r="Z4" s="4"/>
    </row>
    <row r="5">
      <c r="B5" s="20" t="s">
        <v>21</v>
      </c>
      <c r="C5" s="7">
        <v>1.0</v>
      </c>
      <c r="D5" s="20">
        <v>6.0</v>
      </c>
      <c r="E5" s="21"/>
      <c r="F5" s="20" t="b">
        <v>0</v>
      </c>
      <c r="G5" s="22">
        <f>if(F5, sum(indirect("m"&amp;$K$2):indirect("m"&amp;$K$2+(C5-1)))+E5,G5)</f>
        <v>3</v>
      </c>
      <c r="K5" s="5">
        <f t="shared" si="1"/>
        <v>11</v>
      </c>
      <c r="L5" s="5">
        <f t="array" ref="L5">if(or({Main!$W$41;'Dice and Macros'!$F$4:$F$11}),randbetween(1,4),L5)</f>
        <v>2</v>
      </c>
      <c r="M5" s="5">
        <f t="array" ref="M5">if(or({attackroll;'Dice and Macros'!$F$4:$F$11;macroroll}),randbetween(1,6),M5)</f>
        <v>3</v>
      </c>
      <c r="N5" s="5">
        <f t="array" ref="N5">if(or({attackroll;'Dice and Macros'!$F$4:$F$11;macroroll}),randbetween(1,8),N5)</f>
        <v>5</v>
      </c>
      <c r="O5" s="5">
        <f t="array" ref="O5">if(or({attackroll;'Dice and Macros'!$F$4:$F$11;macroroll}),randbetween(1,10),O5)</f>
        <v>2</v>
      </c>
      <c r="P5" s="5">
        <f t="array" ref="P5">if(or({attackroll;'Dice and Macros'!$F$4:$F$11;macroroll}),randbetween(1,12),P5)</f>
        <v>1</v>
      </c>
      <c r="Q5" s="5">
        <f t="array" ref="Q5">if(or({attackroll;'Dice and Macros'!$F$4:$F$11;macroroll}),randbetween(1,20),Q5)</f>
        <v>8</v>
      </c>
      <c r="R5" s="5">
        <f t="array" ref="R5">if(or({attackroll;'Dice and Macros'!$F$4:$F$11;macroroll}),randbetween(1,100),R5)</f>
        <v>16</v>
      </c>
      <c r="S5" s="5">
        <f t="array" ref="S5">if(or({attackroll;'Dice and Macros'!$F$4:$F$11;macroroll}),randbetween(1,'Dice and Macros'!$D$11),S5)</f>
        <v>0</v>
      </c>
      <c r="U5" s="23" t="s">
        <v>22</v>
      </c>
      <c r="V5" s="10"/>
      <c r="W5" s="11"/>
      <c r="X5" s="24">
        <f>spellcasterlevel</f>
        <v>14</v>
      </c>
      <c r="Y5" s="25">
        <f t="array" ref="Y5">if(Main!$W$41,sum(indirect("m"&amp;$K$2):indirect("m"&amp;$K$2+if(iferror(dget(Main!$B$3:$C$6,Main!$C$3,{"Class";"Rogue"}),0)=0,0,floor((dget(Main!$B$3:$C$6,Main!$C$3,{"Class";"Rogue"})-1)/2,1)))),Y5)</f>
        <v>1</v>
      </c>
      <c r="Z5" s="11"/>
    </row>
    <row r="6">
      <c r="B6" s="13" t="s">
        <v>23</v>
      </c>
      <c r="C6" s="14">
        <v>1.0</v>
      </c>
      <c r="D6" s="13">
        <v>8.0</v>
      </c>
      <c r="E6" s="15"/>
      <c r="F6" s="13" t="b">
        <v>0</v>
      </c>
      <c r="G6" s="16">
        <f>if(F6, sum(indirect("n"&amp;$K$2):indirect("n"&amp;$K$2+(C6-1)))+E6,G6)</f>
        <v>0</v>
      </c>
      <c r="K6" s="5">
        <f t="shared" si="1"/>
        <v>9</v>
      </c>
      <c r="L6" s="5">
        <f t="array" ref="L6">if(or({attackroll;'Dice and Macros'!$F$4:$F$11;macroroll}),randbetween(1,4),L6)</f>
        <v>4</v>
      </c>
      <c r="M6" s="5">
        <f t="array" ref="M6">if(or({attackroll;'Dice and Macros'!$F$4:$F$11;macroroll}),randbetween(1,6),M6)</f>
        <v>4</v>
      </c>
      <c r="N6" s="5">
        <f t="array" ref="N6">if(or({attackroll;'Dice and Macros'!$F$4:$F$11;macroroll}),randbetween(1,8),N6)</f>
        <v>5</v>
      </c>
      <c r="O6" s="5">
        <f t="array" ref="O6">if(or({attackroll;'Dice and Macros'!$F$4:$F$11;macroroll}),randbetween(1,10),O6)</f>
        <v>3</v>
      </c>
      <c r="P6" s="5">
        <f t="array" ref="P6">if(or({attackroll;'Dice and Macros'!$F$4:$F$11;macroroll}),randbetween(1,12),P6)</f>
        <v>4</v>
      </c>
      <c r="Q6" s="5">
        <f t="array" ref="Q6">if(or({attackroll;'Dice and Macros'!$F$4:$F$11;macroroll}),randbetween(1,20),Q6)</f>
        <v>7</v>
      </c>
      <c r="R6" s="5">
        <f t="array" ref="R6">if(or({attackroll;'Dice and Macros'!$F$4:$F$11;macroroll}),randbetween(1,100),R6)</f>
        <v>53</v>
      </c>
      <c r="S6" s="5">
        <f t="array" ref="S6">if(or({attackroll;'Dice and Macros'!$F$4:$F$11;macroroll}),randbetween(1,'Dice and Macros'!$D$11),S6)</f>
        <v>0</v>
      </c>
      <c r="U6" s="26" t="s">
        <v>24</v>
      </c>
      <c r="V6" s="3"/>
      <c r="W6" s="4"/>
      <c r="X6" s="18">
        <f>spellcasterlevel</f>
        <v>14</v>
      </c>
      <c r="Y6" s="19">
        <f t="array" ref="Y6">if(Main!$W$41,sum(indirect("m"&amp;$K$3):indirect("m"&amp;$K$3+if(iferror(dget(Main!$B$3:$C$6,Main!$C$3,{"Class";"Rogue"}),0)=0,0,floor((dget(Main!$B$3:$C$6,Main!$C$3,{"Class";"Rogue"})-1)/2,1)))),Y6)</f>
        <v>2</v>
      </c>
      <c r="Z6" s="4"/>
    </row>
    <row r="7">
      <c r="B7" s="20" t="s">
        <v>25</v>
      </c>
      <c r="C7" s="7">
        <v>1.0</v>
      </c>
      <c r="D7" s="20">
        <v>10.0</v>
      </c>
      <c r="E7" s="21"/>
      <c r="F7" s="20" t="b">
        <v>0</v>
      </c>
      <c r="G7" s="22">
        <f>if(F7, sum(indirect("o"&amp;$K$2):indirect("o"&amp;$K$2+(C7-1)))+E7,G7)</f>
        <v>0</v>
      </c>
      <c r="K7" s="5">
        <f t="shared" si="1"/>
        <v>3</v>
      </c>
      <c r="L7" s="5">
        <f t="array" ref="L7">if(or({attackroll;'Dice and Macros'!$F$4:$F$11;macroroll}),randbetween(1,4),L7)</f>
        <v>4</v>
      </c>
      <c r="M7" s="5">
        <f t="array" ref="M7">if(or({attackroll;'Dice and Macros'!$F$4:$F$11;macroroll}),randbetween(1,6),M7)</f>
        <v>1</v>
      </c>
      <c r="N7" s="5">
        <f t="array" ref="N7">if(or({attackroll;'Dice and Macros'!$F$4:$F$11;macroroll}),randbetween(1,8),N7)</f>
        <v>2</v>
      </c>
      <c r="O7" s="5">
        <f t="array" ref="O7">if(or({attackroll;'Dice and Macros'!$F$4:$F$11;macroroll}),randbetween(1,10),O7)</f>
        <v>6</v>
      </c>
      <c r="P7" s="5">
        <f t="array" ref="P7">if(or({attackroll;'Dice and Macros'!$F$4:$F$11;macroroll}),randbetween(1,12),P7)</f>
        <v>6</v>
      </c>
      <c r="Q7" s="5">
        <f t="array" ref="Q7">if(or({attackroll;'Dice and Macros'!$F$4:$F$11;macroroll}),randbetween(1,20),Q7)</f>
        <v>5</v>
      </c>
      <c r="R7" s="5">
        <f t="array" ref="R7">if(or({attackroll;'Dice and Macros'!$F$4:$F$11;macroroll}),randbetween(1,100),R7)</f>
        <v>77</v>
      </c>
      <c r="S7" s="5">
        <f t="array" ref="S7">if(or({attackroll;'Dice and Macros'!$F$4:$F$11;macroroll}),randbetween(1,'Dice and Macros'!$D$11),S7)</f>
        <v>0</v>
      </c>
      <c r="U7" s="23" t="s">
        <v>26</v>
      </c>
      <c r="V7" s="10"/>
      <c r="W7" s="11"/>
      <c r="X7" s="24">
        <f>spellcasterlevel</f>
        <v>14</v>
      </c>
      <c r="Y7" s="25">
        <f t="array" ref="Y7">if(Main!$W$41,sum(indirect("m"&amp;$K$4):indirect("m"&amp;$K$4+if(iferror(dget(Main!$B$3:$C$6,Main!$C$3,{"Class";"Rogue"}),0)=0,0,floor((dget(Main!$B$3:$C$6,Main!$C$3,{"Class";"Rogue"})-1)/2,1)))),Y7)</f>
        <v>2</v>
      </c>
      <c r="Z7" s="11"/>
    </row>
    <row r="8">
      <c r="B8" s="13" t="s">
        <v>27</v>
      </c>
      <c r="C8" s="14">
        <v>1.0</v>
      </c>
      <c r="D8" s="13">
        <v>12.0</v>
      </c>
      <c r="E8" s="15"/>
      <c r="F8" s="13" t="b">
        <v>0</v>
      </c>
      <c r="G8" s="16">
        <f>if(F8, sum(indirect("p"&amp;$K$2):indirect("p"&amp;$K$2+(C8-1)))+E8,G8)</f>
        <v>11</v>
      </c>
      <c r="K8" s="5">
        <f t="shared" si="1"/>
        <v>9</v>
      </c>
      <c r="L8" s="5">
        <f t="array" ref="L8">if(or({attackroll;'Dice and Macros'!$F$4:$F$11;macroroll}),randbetween(1,4),L8)</f>
        <v>2</v>
      </c>
      <c r="M8" s="5">
        <f t="array" ref="M8">if(or({attackroll;'Dice and Macros'!$F$4:$F$11;macroroll}),randbetween(1,6),M8)</f>
        <v>2</v>
      </c>
      <c r="N8" s="5">
        <f t="array" ref="N8">if(or({attackroll;'Dice and Macros'!$F$4:$F$11;macroroll}),randbetween(1,8),N8)</f>
        <v>4</v>
      </c>
      <c r="O8" s="5">
        <f t="array" ref="O8">if(or({attackroll;'Dice and Macros'!$F$4:$F$11;macroroll}),randbetween(1,10),O8)</f>
        <v>7</v>
      </c>
      <c r="P8" s="5">
        <f t="array" ref="P8">if(or({attackroll;'Dice and Macros'!$F$4:$F$11;macroroll}),randbetween(1,12),P8)</f>
        <v>7</v>
      </c>
      <c r="Q8" s="5">
        <f t="array" ref="Q8">if(or({attackroll;'Dice and Macros'!$F$4:$F$11;macroroll}),randbetween(1,20),Q8)</f>
        <v>12</v>
      </c>
      <c r="R8" s="5">
        <f t="array" ref="R8">if(or({attackroll;'Dice and Macros'!$F$4:$F$11;macroroll}),randbetween(1,100),R8)</f>
        <v>97</v>
      </c>
      <c r="S8" s="5">
        <f t="array" ref="S8">if(or({attackroll;'Dice and Macros'!$F$4:$F$11;macroroll}),randbetween(1,'Dice and Macros'!$D$11),S8)</f>
        <v>0</v>
      </c>
      <c r="U8" s="26" t="s">
        <v>28</v>
      </c>
      <c r="V8" s="3"/>
      <c r="W8" s="4"/>
      <c r="X8" s="18">
        <f>spellcasterlevel</f>
        <v>14</v>
      </c>
      <c r="Y8" s="19">
        <f t="array" ref="Y8">if(Main!$W$41,sum(indirect("m"&amp;$K$5):indirect("m"&amp;$K$5+if(iferror(dget(Main!$B$3:$C$6,Main!$C$3,{"Class";"Rogue"}),0)=0,0,floor((dget(Main!$B$3:$C$6,Main!$C$3,{"Class";"Rogue"})-1)/2,1)))),Y8)</f>
        <v>1</v>
      </c>
      <c r="Z8" s="4"/>
    </row>
    <row r="9">
      <c r="B9" s="20" t="s">
        <v>29</v>
      </c>
      <c r="C9" s="7">
        <v>1.0</v>
      </c>
      <c r="D9" s="20">
        <v>20.0</v>
      </c>
      <c r="E9" s="21"/>
      <c r="F9" s="20" t="b">
        <v>0</v>
      </c>
      <c r="G9" s="22">
        <f>if(F9, sum(indirect("q"&amp;$K$2):indirect("q"&amp;$K$2+(C9-1)))+E9,G9)</f>
        <v>0</v>
      </c>
      <c r="K9" s="5">
        <f t="shared" si="1"/>
        <v>8</v>
      </c>
      <c r="L9" s="5">
        <f t="array" ref="L9">if(or({attackroll;'Dice and Macros'!$F$4:$F$11;macroroll}),randbetween(1,4),L9)</f>
        <v>2</v>
      </c>
      <c r="M9" s="5">
        <f t="array" ref="M9">if(or({attackroll;'Dice and Macros'!$F$4:$F$11;macroroll}),randbetween(1,6),M9)</f>
        <v>3</v>
      </c>
      <c r="N9" s="5">
        <f t="array" ref="N9">if(or({attackroll;'Dice and Macros'!$F$4:$F$11;macroroll}),randbetween(1,8),N9)</f>
        <v>1</v>
      </c>
      <c r="O9" s="5">
        <f t="array" ref="O9">if(or({attackroll;'Dice and Macros'!$F$4:$F$11;macroroll}),randbetween(1,10),O9)</f>
        <v>9</v>
      </c>
      <c r="P9" s="5">
        <f t="array" ref="P9">if(or({attackroll;'Dice and Macros'!$F$4:$F$11;macroroll}),randbetween(1,12),P9)</f>
        <v>2</v>
      </c>
      <c r="Q9" s="5">
        <f t="array" ref="Q9">if(or({attackroll;'Dice and Macros'!$F$4:$F$11;macroroll}),randbetween(1,20),Q9)</f>
        <v>17</v>
      </c>
      <c r="R9" s="5">
        <f t="array" ref="R9">if(or({attackroll;'Dice and Macros'!$F$4:$F$11;macroroll}),randbetween(1,100),R9)</f>
        <v>23</v>
      </c>
      <c r="S9" s="5">
        <f t="array" ref="S9">if(or({attackroll;'Dice and Macros'!$F$4:$F$11;macroroll}),randbetween(1,'Dice and Macros'!$D$11),S9)</f>
        <v>0</v>
      </c>
      <c r="U9" s="23" t="s">
        <v>30</v>
      </c>
      <c r="V9" s="10"/>
      <c r="W9" s="11"/>
      <c r="X9" s="24">
        <f>spellcasterlevel</f>
        <v>14</v>
      </c>
      <c r="Y9" s="25">
        <f t="array" ref="Y9">if(Main!$W$41,sum(indirect("m"&amp;$K$6):indirect("m"&amp;$K$6+if(iferror(dget(Main!$B$3:$C$6,Main!$C$3,{"Class";"Rogue"}),0)=0,0,floor((dget(Main!$B$3:$C$6,Main!$C$3,{"Class";"Rogue"})-1)/2,1)))),Y9)</f>
        <v>2</v>
      </c>
      <c r="Z9" s="11"/>
    </row>
    <row r="10">
      <c r="B10" s="13" t="s">
        <v>31</v>
      </c>
      <c r="C10" s="14">
        <v>1.0</v>
      </c>
      <c r="D10" s="13">
        <v>100.0</v>
      </c>
      <c r="E10" s="15"/>
      <c r="F10" s="13" t="b">
        <v>0</v>
      </c>
      <c r="G10" s="16">
        <f>if(F10, sum(indirect("r"&amp;$K$2):indirect("r"&amp;$K$2+(C10-1)))+E10,G10)</f>
        <v>0</v>
      </c>
      <c r="K10" s="5">
        <f t="shared" si="1"/>
        <v>6</v>
      </c>
      <c r="L10" s="5">
        <f t="array" ref="L10">if(or({attackroll;'Dice and Macros'!$F$4:$F$11;macroroll}),randbetween(1,4),L10)</f>
        <v>2</v>
      </c>
      <c r="M10" s="5">
        <f t="array" ref="M10">if(or({attackroll;'Dice and Macros'!$F$4:$F$11;macroroll}),randbetween(1,6),M10)</f>
        <v>6</v>
      </c>
      <c r="N10" s="5">
        <f t="array" ref="N10">if(or({attackroll;'Dice and Macros'!$F$4:$F$11;macroroll}),randbetween(1,8),N10)</f>
        <v>3</v>
      </c>
      <c r="O10" s="5">
        <f t="array" ref="O10">if(or({attackroll;'Dice and Macros'!$F$4:$F$11;macroroll}),randbetween(1,10),O10)</f>
        <v>9</v>
      </c>
      <c r="P10" s="5">
        <f t="array" ref="P10">if(or({attackroll;'Dice and Macros'!$F$4:$F$11;macroroll}),randbetween(1,12),P10)</f>
        <v>8</v>
      </c>
      <c r="Q10" s="5">
        <f t="array" ref="Q10">if(or({attackroll;'Dice and Macros'!$F$4:$F$11;macroroll}),randbetween(1,20),Q10)</f>
        <v>20</v>
      </c>
      <c r="R10" s="5">
        <f t="array" ref="R10">if(or({attackroll;'Dice and Macros'!$F$4:$F$11;macroroll}),randbetween(1,100),R10)</f>
        <v>78</v>
      </c>
      <c r="S10" s="5">
        <f t="array" ref="S10">if(or({attackroll;'Dice and Macros'!$F$4:$F$11;macroroll}),randbetween(1,'Dice and Macros'!$D$11),S10)</f>
        <v>0</v>
      </c>
      <c r="U10" s="26" t="s">
        <v>32</v>
      </c>
      <c r="V10" s="3"/>
      <c r="W10" s="4"/>
      <c r="X10" s="18">
        <f>spellcasterlevel</f>
        <v>14</v>
      </c>
      <c r="Y10" s="19">
        <f t="array" ref="Y10">if(Main!$W$41,sum(indirect("m"&amp;$K$7):indirect("m"&amp;$K$7+if(iferror(dget(Main!$B$3:$C$6,Main!$C$3,{"Class";"Rogue"}),0)=0,0,floor((dget(Main!$B$3:$C$6,Main!$C$3,{"Class";"Rogue"})-1)/2,1)))),Y10)</f>
        <v>4</v>
      </c>
      <c r="Z10" s="4"/>
    </row>
    <row r="11">
      <c r="B11" s="20" t="s">
        <v>33</v>
      </c>
      <c r="C11" s="7">
        <v>1.0</v>
      </c>
      <c r="D11" s="27"/>
      <c r="E11" s="21"/>
      <c r="F11" s="27" t="b">
        <v>0</v>
      </c>
      <c r="G11" s="22">
        <f>if(F11, sum(indirect("s"&amp;$K$2):indirect("s"&amp;$K$2+(C11-1)))+E11,G11)</f>
        <v>0</v>
      </c>
      <c r="K11" s="5">
        <f t="shared" si="1"/>
        <v>8</v>
      </c>
      <c r="L11" s="5">
        <f t="array" ref="L11">if(or({attackroll;'Dice and Macros'!$F$4:$F$11;macroroll}),randbetween(1,4),L11)</f>
        <v>3</v>
      </c>
      <c r="M11" s="5">
        <f t="array" ref="M11">if(or({attackroll;'Dice and Macros'!$F$4:$F$11;macroroll}),randbetween(1,6),M11)</f>
        <v>2</v>
      </c>
      <c r="N11" s="5">
        <f t="array" ref="N11">if(or({attackroll;'Dice and Macros'!$F$4:$F$11;macroroll}),randbetween(1,8),N11)</f>
        <v>4</v>
      </c>
      <c r="O11" s="5">
        <f t="array" ref="O11">if(or({attackroll;'Dice and Macros'!$F$4:$F$11;macroroll}),randbetween(1,10),O11)</f>
        <v>1</v>
      </c>
      <c r="P11" s="5">
        <f t="array" ref="P11">if(or({attackroll;'Dice and Macros'!$F$4:$F$11;macroroll}),randbetween(1,12),P11)</f>
        <v>2</v>
      </c>
      <c r="Q11" s="5">
        <f t="array" ref="Q11">if(or({attackroll;'Dice and Macros'!$F$4:$F$11;macroroll}),randbetween(1,20),Q11)</f>
        <v>15</v>
      </c>
      <c r="R11" s="5">
        <f t="array" ref="R11">if(or({attackroll;'Dice and Macros'!$F$4:$F$11;macroroll}),randbetween(1,100),R11)</f>
        <v>29</v>
      </c>
      <c r="S11" s="5">
        <f t="array" ref="S11">if(or({attackroll;'Dice and Macros'!$F$4:$F$11;macroroll}),randbetween(1,'Dice and Macros'!$D$11),S11)</f>
        <v>0</v>
      </c>
      <c r="U11" s="23" t="s">
        <v>34</v>
      </c>
      <c r="V11" s="10"/>
      <c r="W11" s="11"/>
      <c r="X11" s="24">
        <f>spellcasterlevel</f>
        <v>14</v>
      </c>
      <c r="Y11" s="25">
        <f t="array" ref="Y11">if(Main!$W$41,sum(indirect("m"&amp;$K$8):indirect("m"&amp;$K$8+if(iferror(dget(Main!$B$3:$C$6,Main!$C$3,{"Class";"Rogue"}),0)=0,0,floor((dget(Main!$B$3:$C$6,Main!$C$3,{"Class";"Rogue"})-1)/2,1)))),Y11)</f>
        <v>3</v>
      </c>
      <c r="Z11" s="11"/>
    </row>
    <row r="12">
      <c r="K12" s="5">
        <f t="shared" si="1"/>
        <v>16</v>
      </c>
      <c r="L12" s="5">
        <f t="array" ref="L12">if(or({attackroll;'Dice and Macros'!$F$4:$F$11;macroroll}),randbetween(1,4),L12)</f>
        <v>3</v>
      </c>
      <c r="M12" s="5">
        <f t="array" ref="M12">if(or({attackroll;'Dice and Macros'!$F$4:$F$11;macroroll}),randbetween(1,6),M12)</f>
        <v>1</v>
      </c>
      <c r="N12" s="5">
        <f t="array" ref="N12">if(or({attackroll;'Dice and Macros'!$F$4:$F$11;macroroll}),randbetween(1,8),N12)</f>
        <v>8</v>
      </c>
      <c r="O12" s="5">
        <f t="array" ref="O12">if(or({attackroll;'Dice and Macros'!$F$4:$F$11;macroroll}),randbetween(1,10),O12)</f>
        <v>4</v>
      </c>
      <c r="P12" s="5">
        <f t="array" ref="P12">if(or({attackroll;'Dice and Macros'!$F$4:$F$11;macroroll}),randbetween(1,12),P12)</f>
        <v>9</v>
      </c>
      <c r="Q12" s="5">
        <f t="array" ref="Q12">if(or({attackroll;'Dice and Macros'!$F$4:$F$11;macroroll}),randbetween(1,20),Q12)</f>
        <v>7</v>
      </c>
      <c r="R12" s="5">
        <f t="array" ref="R12">if(or({attackroll;'Dice and Macros'!$F$4:$F$11;macroroll}),randbetween(1,100),R12)</f>
        <v>44</v>
      </c>
      <c r="S12" s="5">
        <f t="array" ref="S12">if(or({attackroll;'Dice and Macros'!$F$4:$F$11;macroroll}),randbetween(1,'Dice and Macros'!$D$11),S12)</f>
        <v>0</v>
      </c>
      <c r="U12" s="26" t="s">
        <v>35</v>
      </c>
      <c r="V12" s="3"/>
      <c r="W12" s="4"/>
      <c r="X12" s="18">
        <f>spellcasterlevel</f>
        <v>14</v>
      </c>
      <c r="Y12" s="19">
        <f t="array" ref="Y12">if(Main!$W$41,sum(indirect("m"&amp;$K$9):indirect("m"&amp;$K$9+if(iferror(dget(Main!$B$3:$C$6,Main!$C$3,{"Class";"Rogue"}),0)=0,0,floor((dget(Main!$B$3:$C$6,Main!$C$3,{"Class";"Rogue"})-1)/2,1)))),Y12)</f>
        <v>3</v>
      </c>
      <c r="Z12" s="4"/>
    </row>
    <row r="13">
      <c r="B13" s="6" t="s">
        <v>36</v>
      </c>
      <c r="C13" s="3"/>
      <c r="D13" s="3"/>
      <c r="E13" s="3"/>
      <c r="F13" s="3"/>
      <c r="G13" s="4"/>
      <c r="K13" s="5">
        <f t="shared" si="1"/>
        <v>14</v>
      </c>
      <c r="L13" s="5">
        <f t="array" ref="L13">if(or({attackroll;'Dice and Macros'!$F$4:$F$11;macroroll}),randbetween(1,4),L13)</f>
        <v>2</v>
      </c>
      <c r="M13" s="5">
        <f t="array" ref="M13">if(or({attackroll;'Dice and Macros'!$F$4:$F$11;macroroll}),randbetween(1,6),M13)</f>
        <v>1</v>
      </c>
      <c r="N13" s="5">
        <f t="array" ref="N13">if(or({attackroll;'Dice and Macros'!$F$4:$F$11;macroroll}),randbetween(1,8),N13)</f>
        <v>5</v>
      </c>
      <c r="O13" s="5">
        <f t="array" ref="O13">if(or({attackroll;'Dice and Macros'!$F$4:$F$11;macroroll}),randbetween(1,10),O13)</f>
        <v>9</v>
      </c>
      <c r="P13" s="5">
        <f t="array" ref="P13">if(or({attackroll;'Dice and Macros'!$F$4:$F$11;macroroll}),randbetween(1,12),P13)</f>
        <v>6</v>
      </c>
      <c r="Q13" s="5">
        <f t="array" ref="Q13">if(or({attackroll;'Dice and Macros'!$F$4:$F$11;macroroll}),randbetween(1,20),Q13)</f>
        <v>4</v>
      </c>
      <c r="R13" s="5">
        <f t="array" ref="R13">if(or({attackroll;'Dice and Macros'!$F$4:$F$11;macroroll}),randbetween(1,100),R13)</f>
        <v>6</v>
      </c>
      <c r="S13" s="5">
        <f t="array" ref="S13">if(or({attackroll;'Dice and Macros'!$F$4:$F$11;macroroll}),randbetween(1,'Dice and Macros'!$D$11),S13)</f>
        <v>0</v>
      </c>
      <c r="U13" s="23" t="s">
        <v>37</v>
      </c>
      <c r="V13" s="10"/>
      <c r="W13" s="11"/>
      <c r="X13" s="24">
        <f>spellcasterlevel</f>
        <v>14</v>
      </c>
      <c r="Y13" s="25">
        <f t="array" ref="Y13">if(Main!$W$41,sum(indirect("m"&amp;$K$10):indirect("m"&amp;$K$10+if(iferror(dget(Main!$B$3:$C$6,Main!$C$3,{"Class";"Rogue"}),0)=0,0,floor((dget(Main!$B$3:$C$6,Main!$C$3,{"Class";"Rogue"})-1)/2,1)))),Y13)</f>
        <v>3</v>
      </c>
      <c r="Z13" s="11"/>
    </row>
    <row r="14">
      <c r="B14" s="9" t="s">
        <v>17</v>
      </c>
      <c r="C14" s="10"/>
      <c r="D14" s="11"/>
      <c r="E14" s="12" t="s">
        <v>18</v>
      </c>
      <c r="F14" s="9" t="s">
        <v>15</v>
      </c>
      <c r="G14" s="11"/>
      <c r="J14" s="8"/>
      <c r="K14" s="5">
        <f t="shared" si="1"/>
        <v>21</v>
      </c>
      <c r="L14" s="5">
        <f t="array" ref="L14">if(or({attackroll;'Dice and Macros'!$F$4:$F$11;macroroll}),randbetween(1,4),L14)</f>
        <v>1</v>
      </c>
      <c r="M14" s="5">
        <f t="array" ref="M14">if(or({attackroll;'Dice and Macros'!$F$4:$F$11;macroroll}),randbetween(1,6),M14)</f>
        <v>4</v>
      </c>
      <c r="N14" s="5">
        <f t="array" ref="N14">if(or({attackroll;'Dice and Macros'!$F$4:$F$11;macroroll}),randbetween(1,8),N14)</f>
        <v>2</v>
      </c>
      <c r="O14" s="5">
        <f t="array" ref="O14">if(or({attackroll;'Dice and Macros'!$F$4:$F$11;macroroll}),randbetween(1,10),O14)</f>
        <v>10</v>
      </c>
      <c r="P14" s="5">
        <f t="array" ref="P14">if(or({attackroll;'Dice and Macros'!$F$4:$F$11;macroroll}),randbetween(1,12),P14)</f>
        <v>10</v>
      </c>
      <c r="Q14" s="5">
        <f t="array" ref="Q14">if(or({attackroll;'Dice and Macros'!$F$4:$F$11;macroroll}),randbetween(1,20),Q14)</f>
        <v>3</v>
      </c>
      <c r="R14" s="5">
        <f t="array" ref="R14">if(or({attackroll;'Dice and Macros'!$F$4:$F$11;macroroll}),randbetween(1,100),R14)</f>
        <v>45</v>
      </c>
      <c r="S14" s="5">
        <f t="array" ref="S14">if(or({attackroll;'Dice and Macros'!$F$4:$F$11;macroroll}),randbetween(1,'Dice and Macros'!$D$11),S14)</f>
        <v>0</v>
      </c>
      <c r="U14" s="26" t="s">
        <v>38</v>
      </c>
      <c r="V14" s="3"/>
      <c r="W14" s="4"/>
      <c r="X14" s="18">
        <f>spellcasterlevel</f>
        <v>14</v>
      </c>
      <c r="Y14" s="19">
        <f t="array" ref="Y14">if(Main!$W$41,sum(indirect("m"&amp;$K$11):indirect("m"&amp;$K$11+if(iferror(dget(Main!$B$3:$C$6,Main!$C$3,{"Class";"Rogue"}),0)=0,0,floor((dget(Main!$B$3:$C$6,Main!$C$3,{"Class";"Rogue"})-1)/2,1)))),Y14)</f>
        <v>2</v>
      </c>
      <c r="Z14" s="4"/>
    </row>
    <row r="15">
      <c r="B15" s="28" t="s">
        <v>39</v>
      </c>
      <c r="C15" s="3"/>
      <c r="D15" s="4"/>
      <c r="E15" s="14">
        <f>spellcasterlevel</f>
        <v>14</v>
      </c>
      <c r="F15" s="29">
        <f>if(macroroll,randbetween(1,4)+randbetween(1,4),F15)</f>
        <v>5</v>
      </c>
      <c r="G15" s="4"/>
      <c r="K15" s="5">
        <f t="shared" si="1"/>
        <v>17</v>
      </c>
      <c r="L15" s="5">
        <f t="array" ref="L15">if(or({attackroll;'Dice and Macros'!$F$4:$F$11;macroroll}),randbetween(1,4),L15)</f>
        <v>2</v>
      </c>
      <c r="M15" s="5">
        <f t="array" ref="M15">if(or({attackroll;'Dice and Macros'!$F$4:$F$11;macroroll}),randbetween(1,6),M15)</f>
        <v>2</v>
      </c>
      <c r="N15" s="5">
        <f t="array" ref="N15">if(or({attackroll;'Dice and Macros'!$F$4:$F$11;macroroll}),randbetween(1,8),N15)</f>
        <v>6</v>
      </c>
      <c r="O15" s="5">
        <f t="array" ref="O15">if(or({attackroll;'Dice and Macros'!$F$4:$F$11;macroroll}),randbetween(1,10),O15)</f>
        <v>8</v>
      </c>
      <c r="P15" s="5">
        <f t="array" ref="P15">if(or({attackroll;'Dice and Macros'!$F$4:$F$11;macroroll}),randbetween(1,12),P15)</f>
        <v>6</v>
      </c>
      <c r="Q15" s="5">
        <f t="array" ref="Q15">if(or({attackroll;'Dice and Macros'!$F$4:$F$11;macroroll}),randbetween(1,20),Q15)</f>
        <v>11</v>
      </c>
      <c r="R15" s="5">
        <f t="array" ref="R15">if(or({attackroll;'Dice and Macros'!$F$4:$F$11;macroroll}),randbetween(1,100),R15)</f>
        <v>4</v>
      </c>
      <c r="S15" s="5">
        <f t="array" ref="S15">if(or({attackroll;'Dice and Macros'!$F$4:$F$11;macroroll}),randbetween(1,'Dice and Macros'!$D$11),S15)</f>
        <v>0</v>
      </c>
      <c r="U15" s="23" t="s">
        <v>40</v>
      </c>
      <c r="V15" s="10"/>
      <c r="W15" s="11"/>
      <c r="X15" s="24">
        <f>spellcasterlevel</f>
        <v>14</v>
      </c>
      <c r="Y15" s="25">
        <f t="array" ref="Y15">if(Main!$W$41,sum(indirect("m"&amp;$K$12):indirect("m"&amp;$K$12+if(iferror(dget(Main!$B$3:$C$6,Main!$C$3,{"Class";"Rogue"}),0)=0,0,floor((dget(Main!$B$3:$C$6,Main!$C$3,{"Class";"Rogue"})-1)/2,1)))),Y15)</f>
        <v>3</v>
      </c>
      <c r="Z15" s="11"/>
    </row>
    <row r="16">
      <c r="B16" s="30" t="s">
        <v>41</v>
      </c>
      <c r="C16" s="10"/>
      <c r="D16" s="11"/>
      <c r="E16" s="7">
        <f>spellcasterlevel</f>
        <v>14</v>
      </c>
      <c r="F16" s="31">
        <f>if(macroroll,randbetween(1,6)+randbetween(1,6),F16)</f>
        <v>7</v>
      </c>
      <c r="G16" s="11"/>
      <c r="K16" s="5">
        <f t="shared" si="1"/>
        <v>3</v>
      </c>
      <c r="L16" s="5">
        <f t="array" ref="L16">if(or({attackroll;'Dice and Macros'!$F$4:$F$11;macroroll}),randbetween(1,4),L16)</f>
        <v>4</v>
      </c>
      <c r="M16" s="5">
        <f t="array" ref="M16">if(or({attackroll;'Dice and Macros'!$F$4:$F$11;macroroll}),randbetween(1,6),M16)</f>
        <v>5</v>
      </c>
      <c r="N16" s="5">
        <f t="array" ref="N16">if(or({attackroll;'Dice and Macros'!$F$4:$F$11;macroroll}),randbetween(1,8),N16)</f>
        <v>8</v>
      </c>
      <c r="O16" s="5">
        <f t="array" ref="O16">if(or({attackroll;'Dice and Macros'!$F$4:$F$11;macroroll}),randbetween(1,10),O16)</f>
        <v>8</v>
      </c>
      <c r="P16" s="5">
        <f t="array" ref="P16">if(or({attackroll;'Dice and Macros'!$F$4:$F$11;macroroll}),randbetween(1,12),P16)</f>
        <v>11</v>
      </c>
      <c r="Q16" s="5">
        <f t="array" ref="Q16">if(or({attackroll;'Dice and Macros'!$F$4:$F$11;macroroll}),randbetween(1,20),Q16)</f>
        <v>3</v>
      </c>
      <c r="R16" s="5">
        <f t="array" ref="R16">if(or({attackroll;'Dice and Macros'!$F$4:$F$11;macroroll}),randbetween(1,100),R16)</f>
        <v>28</v>
      </c>
      <c r="S16" s="5">
        <f t="array" ref="S16">if(or({attackroll;'Dice and Macros'!$F$4:$F$11;macroroll}),randbetween(1,'Dice and Macros'!$D$11),S16)</f>
        <v>0</v>
      </c>
      <c r="U16" s="26" t="s">
        <v>42</v>
      </c>
      <c r="V16" s="3"/>
      <c r="W16" s="4"/>
      <c r="X16" s="18">
        <f>spellcasterlevel</f>
        <v>14</v>
      </c>
      <c r="Y16" s="19">
        <f t="array" ref="Y16">if(Main!$W$41,sum(indirect("m"&amp;$K$13):indirect("m"&amp;$K$13+if(iferror(dget(Main!$B$3:$C$6,Main!$C$3,{"Class";"Rogue"}),0)=0,0,floor((dget(Main!$B$3:$C$6,Main!$C$3,{"Class";"Rogue"})-1)/2,1)))),Y16)</f>
        <v>3</v>
      </c>
      <c r="Z16" s="4"/>
    </row>
    <row r="17">
      <c r="B17" s="28" t="s">
        <v>43</v>
      </c>
      <c r="C17" s="3"/>
      <c r="D17" s="4"/>
      <c r="E17" s="14">
        <f>spellcasterlevel</f>
        <v>14</v>
      </c>
      <c r="F17" s="29">
        <f>if(macroroll,randbetween(1,3),F17)</f>
        <v>1</v>
      </c>
      <c r="G17" s="4"/>
      <c r="K17" s="5">
        <f t="shared" si="1"/>
        <v>3</v>
      </c>
      <c r="L17" s="5">
        <f t="array" ref="L17">if(or({attackroll;'Dice and Macros'!$F$4:$F$11;macroroll}),randbetween(1,4),L17)</f>
        <v>1</v>
      </c>
      <c r="M17" s="5">
        <f t="array" ref="M17">if(or({attackroll;'Dice and Macros'!$F$4:$F$11;macroroll}),randbetween(1,6),M17)</f>
        <v>4</v>
      </c>
      <c r="N17" s="5">
        <f t="array" ref="N17">if(or({attackroll;'Dice and Macros'!$F$4:$F$11;macroroll}),randbetween(1,8),N17)</f>
        <v>2</v>
      </c>
      <c r="O17" s="5">
        <f t="array" ref="O17">if(or({attackroll;'Dice and Macros'!$F$4:$F$11;macroroll}),randbetween(1,10),O17)</f>
        <v>4</v>
      </c>
      <c r="P17" s="5">
        <f t="array" ref="P17">if(or({attackroll;'Dice and Macros'!$F$4:$F$11;macroroll}),randbetween(1,12),P17)</f>
        <v>6</v>
      </c>
      <c r="Q17" s="5">
        <f t="array" ref="Q17">if(or({attackroll;'Dice and Macros'!$F$4:$F$11;macroroll}),randbetween(1,20),Q17)</f>
        <v>18</v>
      </c>
      <c r="R17" s="5">
        <f t="array" ref="R17">if(or({attackroll;'Dice and Macros'!$F$4:$F$11;macroroll}),randbetween(1,100),R17)</f>
        <v>86</v>
      </c>
      <c r="S17" s="5">
        <f t="array" ref="S17">if(or({attackroll;'Dice and Macros'!$F$4:$F$11;macroroll}),randbetween(1,'Dice and Macros'!$D$11),S17)</f>
        <v>0</v>
      </c>
      <c r="U17" s="23" t="s">
        <v>44</v>
      </c>
      <c r="V17" s="10"/>
      <c r="W17" s="11"/>
      <c r="X17" s="24">
        <f>spellcasterlevel</f>
        <v>14</v>
      </c>
      <c r="Y17" s="25">
        <f t="array" ref="Y17">if(Main!$W$41,sum(indirect("m"&amp;$K$14):indirect("m"&amp;$K$14+if(iferror(dget(Main!$B$3:$C$6,Main!$C$3,{"Class";"Rogue"}),0)=0,0,floor((dget(Main!$B$3:$C$6,Main!$C$3,{"Class";"Rogue"})-1)/2,1)))),Y17)</f>
        <v>3</v>
      </c>
      <c r="Z17" s="11"/>
    </row>
    <row r="18">
      <c r="B18" s="30" t="s">
        <v>45</v>
      </c>
      <c r="C18" s="10"/>
      <c r="D18" s="11"/>
      <c r="E18" s="7">
        <f>spellcasterlevel</f>
        <v>14</v>
      </c>
      <c r="F18" s="32">
        <f>if(macroroll,randbetween(1,8)+min(E18,10),F18)</f>
        <v>11</v>
      </c>
      <c r="G18" s="11"/>
      <c r="I18" s="33"/>
      <c r="K18" s="5"/>
      <c r="L18" s="5">
        <f t="array" ref="L18">if(or({attackroll;'Dice and Macros'!$F$4:$F$11;macroroll}),randbetween(1,4),L18)</f>
        <v>3</v>
      </c>
      <c r="M18" s="5">
        <f t="array" ref="M18">if(or({attackroll;'Dice and Macros'!$F$4:$F$11;macroroll}),randbetween(1,6),M18)</f>
        <v>6</v>
      </c>
      <c r="N18" s="5">
        <f t="array" ref="N18">if(or({attackroll;'Dice and Macros'!$F$4:$F$11;macroroll}),randbetween(1,8),N18)</f>
        <v>2</v>
      </c>
      <c r="O18" s="5">
        <f t="array" ref="O18">if(or({attackroll;'Dice and Macros'!$F$4:$F$11;macroroll}),randbetween(1,10),O18)</f>
        <v>6</v>
      </c>
      <c r="P18" s="5">
        <f t="array" ref="P18">if(or({attackroll;'Dice and Macros'!$F$4:$F$11;macroroll}),randbetween(1,12),P18)</f>
        <v>1</v>
      </c>
      <c r="Q18" s="5">
        <f t="array" ref="Q18">if(or({attackroll;'Dice and Macros'!$F$4:$F$11;macroroll}),randbetween(1,20),Q18)</f>
        <v>18</v>
      </c>
      <c r="R18" s="5">
        <f t="array" ref="R18">if(or({attackroll;'Dice and Macros'!$F$4:$F$11;macroroll}),randbetween(1,100),R18)</f>
        <v>39</v>
      </c>
      <c r="S18" s="5">
        <f t="array" ref="S18">if(or({attackroll;'Dice and Macros'!$F$4:$F$11;macroroll}),randbetween(1,'Dice and Macros'!$D$11),S18)</f>
        <v>0</v>
      </c>
      <c r="U18" s="26" t="s">
        <v>46</v>
      </c>
      <c r="V18" s="3"/>
      <c r="W18" s="4"/>
      <c r="X18" s="18">
        <f>spellcasterlevel</f>
        <v>14</v>
      </c>
      <c r="Y18" s="19">
        <f t="array" ref="Y18">if(Main!$W$41,sum(indirect("m"&amp;$K$15):indirect("m"&amp;$K$15+if(iferror(dget(Main!$B$3:$C$6,Main!$C$3,{"Class";"Rogue"}),0)=0,0,floor((dget(Main!$B$3:$C$6,Main!$C$3,{"Class";"Rogue"})-1)/2,1)))),Y18)</f>
        <v>4</v>
      </c>
      <c r="Z18" s="4"/>
    </row>
    <row r="19">
      <c r="B19" s="28" t="s">
        <v>47</v>
      </c>
      <c r="C19" s="3"/>
      <c r="D19" s="4"/>
      <c r="E19" s="14">
        <f>spellcasterlevel</f>
        <v>14</v>
      </c>
      <c r="F19" s="19" t="str">
        <f>if(macroroll,sum(indirect("m"&amp;$K$2):indirect("m"&amp;$K$2+1))&amp;" HD",F19)</f>
        <v>4 HD</v>
      </c>
      <c r="G19" s="4"/>
      <c r="K19" s="5"/>
      <c r="L19" s="5">
        <f t="array" ref="L19">if(or({attackroll;'Dice and Macros'!$F$4:$F$11;macroroll}),randbetween(1,4),L19)</f>
        <v>3</v>
      </c>
      <c r="M19" s="5">
        <f t="array" ref="M19">if(or({attackroll;'Dice and Macros'!$F$4:$F$11;macroroll}),randbetween(1,6),M19)</f>
        <v>6</v>
      </c>
      <c r="N19" s="5">
        <f t="array" ref="N19">if(or({attackroll;'Dice and Macros'!$F$4:$F$11;macroroll}),randbetween(1,8),N19)</f>
        <v>1</v>
      </c>
      <c r="O19" s="5">
        <f t="array" ref="O19">if(or({attackroll;'Dice and Macros'!$F$4:$F$11;macroroll}),randbetween(1,10),O19)</f>
        <v>2</v>
      </c>
      <c r="P19" s="5">
        <f t="array" ref="P19">if(or({attackroll;'Dice and Macros'!$F$4:$F$11;macroroll}),randbetween(1,12),P19)</f>
        <v>2</v>
      </c>
      <c r="Q19" s="5">
        <f t="array" ref="Q19">if(or({attackroll;'Dice and Macros'!$F$4:$F$11;macroroll}),randbetween(1,20),Q19)</f>
        <v>5</v>
      </c>
      <c r="R19" s="5">
        <f t="array" ref="R19">if(or({attackroll;'Dice and Macros'!$F$4:$F$11;macroroll}),randbetween(1,100),R19)</f>
        <v>25</v>
      </c>
      <c r="S19" s="5">
        <f t="array" ref="S19">if(or({attackroll;'Dice and Macros'!$F$4:$F$11;macroroll}),randbetween(1,'Dice and Macros'!$D$11),S19)</f>
        <v>0</v>
      </c>
      <c r="U19" s="23" t="s">
        <v>48</v>
      </c>
      <c r="V19" s="10"/>
      <c r="W19" s="11"/>
      <c r="X19" s="24">
        <f>spellcasterlevel</f>
        <v>14</v>
      </c>
      <c r="Y19" s="25">
        <f t="array" ref="Y19">if(Main!$W$41,sum(indirect("m"&amp;$K$16):indirect("m"&amp;$K$16+if(iferror(dget(Main!$B$3:$C$6,Main!$C$3,{"Class";"Rogue"}),0)=0,0,floor((dget(Main!$B$3:$C$6,Main!$C$3,{"Class";"Rogue"})-1)/2,1)))),Y19)</f>
        <v>2</v>
      </c>
      <c r="Z19" s="11"/>
    </row>
    <row r="20">
      <c r="B20" s="30" t="s">
        <v>49</v>
      </c>
      <c r="C20" s="10"/>
      <c r="D20" s="11"/>
      <c r="E20" s="7">
        <f>spellcasterlevel</f>
        <v>14</v>
      </c>
      <c r="F20" s="25">
        <f>if(macroroll,sum(indirect("m"&amp;$K$2):indirect("m"&amp;$K$2+min(14,E20-1))),F20)</f>
        <v>38</v>
      </c>
      <c r="G20" s="11"/>
      <c r="K20" s="5"/>
      <c r="L20" s="5">
        <f t="array" ref="L20">if(or({attackroll;'Dice and Macros'!$F$4:$F$11;macroroll}),randbetween(1,4),L20)</f>
        <v>1</v>
      </c>
      <c r="M20" s="5">
        <f t="array" ref="M20">if(or({attackroll;'Dice and Macros'!$F$4:$F$11;macroroll}),randbetween(1,6),M20)</f>
        <v>2</v>
      </c>
      <c r="N20" s="5">
        <f t="array" ref="N20">if(or({attackroll;'Dice and Macros'!$F$4:$F$11;macroroll}),randbetween(1,8),N20)</f>
        <v>3</v>
      </c>
      <c r="O20" s="5">
        <f t="array" ref="O20">if(or({attackroll;'Dice and Macros'!$F$4:$F$11;macroroll}),randbetween(1,10),O20)</f>
        <v>7</v>
      </c>
      <c r="P20" s="5">
        <f t="array" ref="P20">if(or({attackroll;'Dice and Macros'!$F$4:$F$11;macroroll}),randbetween(1,12),P20)</f>
        <v>1</v>
      </c>
      <c r="Q20" s="5">
        <f t="array" ref="Q20">if(or({attackroll;'Dice and Macros'!$F$4:$F$11;macroroll}),randbetween(1,20),Q20)</f>
        <v>10</v>
      </c>
      <c r="R20" s="5">
        <f t="array" ref="R20">if(or({attackroll;'Dice and Macros'!$F$4:$F$11;macroroll}),randbetween(1,100),R20)</f>
        <v>51</v>
      </c>
      <c r="S20" s="5">
        <f t="array" ref="S20">if(or({attackroll;'Dice and Macros'!$F$4:$F$11;macroroll}),randbetween(1,'Dice and Macros'!$D$11),S20)</f>
        <v>0</v>
      </c>
      <c r="U20" s="26" t="s">
        <v>50</v>
      </c>
      <c r="V20" s="3"/>
      <c r="W20" s="4"/>
      <c r="X20" s="18">
        <f>spellcasterlevel</f>
        <v>14</v>
      </c>
      <c r="Y20" s="19">
        <f t="array" ref="Y20">if(Main!$W$41,sum(indirect("m"&amp;$K$17):indirect("m"&amp;$K$17+if(iferror(dget(Main!$B$3:$C$6,Main!$C$3,{"Class";"Rogue"}),0)=0,0,floor((dget(Main!$B$3:$C$6,Main!$C$3,{"Class";"Rogue"})-1)/2,1)))),Y20)</f>
        <v>3</v>
      </c>
      <c r="Z20" s="4"/>
    </row>
    <row r="21">
      <c r="B21" s="28" t="s">
        <v>51</v>
      </c>
      <c r="C21" s="3"/>
      <c r="D21" s="4"/>
      <c r="E21" s="14">
        <f>spellcasterlevel</f>
        <v>14</v>
      </c>
      <c r="F21" s="19">
        <f>if(macroroll,sum(indirect("m"&amp;$K$2):indirect("m"&amp;$K$2+min(14,E21-1))),F21)</f>
        <v>38</v>
      </c>
      <c r="G21" s="4"/>
      <c r="K21" s="5"/>
      <c r="L21" s="5">
        <f t="array" ref="L21">if(or({attackroll;'Dice and Macros'!$F$4:$F$11;macroroll}),randbetween(1,4),L21)</f>
        <v>3</v>
      </c>
      <c r="M21" s="5">
        <f t="array" ref="M21">if(or({attackroll;'Dice and Macros'!$F$4:$F$11;macroroll}),randbetween(1,6),M21)</f>
        <v>6</v>
      </c>
      <c r="N21" s="5">
        <f t="array" ref="N21">if(or({attackroll;'Dice and Macros'!$F$4:$F$11;macroroll}),randbetween(1,8),N21)</f>
        <v>7</v>
      </c>
      <c r="O21" s="5">
        <f t="array" ref="O21">if(or({attackroll;'Dice and Macros'!$F$4:$F$11;macroroll}),randbetween(1,10),O21)</f>
        <v>6</v>
      </c>
      <c r="P21" s="5">
        <f t="array" ref="P21">if(or({attackroll;'Dice and Macros'!$F$4:$F$11;macroroll}),randbetween(1,12),P21)</f>
        <v>2</v>
      </c>
      <c r="Q21" s="5">
        <f t="array" ref="Q21">if(or({attackroll;'Dice and Macros'!$F$4:$F$11;macroroll}),randbetween(1,20),Q21)</f>
        <v>16</v>
      </c>
      <c r="R21" s="5">
        <f t="array" ref="R21">if(or({attackroll;'Dice and Macros'!$F$4:$F$11;macroroll}),randbetween(1,100),R21)</f>
        <v>88</v>
      </c>
      <c r="S21" s="5">
        <f t="array" ref="S21">if(or({attackroll;'Dice and Macros'!$F$4:$F$11;macroroll}),randbetween(1,'Dice and Macros'!$D$11),S21)</f>
        <v>0</v>
      </c>
      <c r="U21" s="23" t="s">
        <v>52</v>
      </c>
      <c r="V21" s="10"/>
      <c r="W21" s="11"/>
      <c r="X21" s="24">
        <v>0.0</v>
      </c>
      <c r="Y21" s="25">
        <f>if(Main!$W$41,randbetween(1,6)+randbetween(1,6),Y21)</f>
        <v>3</v>
      </c>
      <c r="Z21" s="11"/>
    </row>
    <row r="22">
      <c r="B22" s="30" t="s">
        <v>53</v>
      </c>
      <c r="C22" s="10"/>
      <c r="D22" s="11"/>
      <c r="E22" s="7">
        <f>spellcasterlevel</f>
        <v>14</v>
      </c>
      <c r="F22" s="25">
        <f>if(macroroll,randbetween(1,20)+min(15,E22),F22)</f>
        <v>29</v>
      </c>
      <c r="G22" s="11"/>
      <c r="K22" s="5"/>
      <c r="L22" s="5">
        <f t="array" ref="L22">if(or({attackroll;'Dice and Macros'!$F$4:$F$11;macroroll}),randbetween(1,4),L22)</f>
        <v>3</v>
      </c>
      <c r="M22" s="5">
        <f t="array" ref="M22">if(or({attackroll;'Dice and Macros'!$F$4:$F$11;macroroll}),randbetween(1,6),M22)</f>
        <v>6</v>
      </c>
      <c r="N22" s="5">
        <f t="array" ref="N22">if(or({attackroll;'Dice and Macros'!$F$4:$F$11;macroroll}),randbetween(1,8),N22)</f>
        <v>7</v>
      </c>
      <c r="O22" s="5">
        <f t="array" ref="O22">if(or({attackroll;'Dice and Macros'!$F$4:$F$11;macroroll}),randbetween(1,10),O22)</f>
        <v>8</v>
      </c>
      <c r="P22" s="5">
        <f t="array" ref="P22">if(or({attackroll;'Dice and Macros'!$F$4:$F$11;macroroll}),randbetween(1,12),P22)</f>
        <v>4</v>
      </c>
      <c r="Q22" s="5">
        <f t="array" ref="Q22">if(or({attackroll;'Dice and Macros'!$F$4:$F$11;macroroll}),randbetween(1,20),Q22)</f>
        <v>16</v>
      </c>
      <c r="R22" s="5">
        <f t="array" ref="R22">if(or({attackroll;'Dice and Macros'!$F$4:$F$11;macroroll}),randbetween(1,100),R22)</f>
        <v>23</v>
      </c>
      <c r="S22" s="5">
        <f t="array" ref="S22">if(or({attackroll;'Dice and Macros'!$F$4:$F$11;macroroll}),randbetween(1,'Dice and Macros'!$D$11),S22)</f>
        <v>0</v>
      </c>
      <c r="U22" s="26" t="s">
        <v>54</v>
      </c>
      <c r="V22" s="3"/>
      <c r="W22" s="4"/>
      <c r="X22" s="18">
        <v>0.0</v>
      </c>
      <c r="Y22" s="19">
        <f>if(Main!$W$41,randbetween(1,6)+randbetween(1,6),Y22)</f>
        <v>5</v>
      </c>
      <c r="Z22" s="4"/>
    </row>
    <row r="23">
      <c r="B23" s="28" t="s">
        <v>55</v>
      </c>
      <c r="C23" s="3"/>
      <c r="D23" s="4"/>
      <c r="E23" s="14">
        <f>spellcasterlevel</f>
        <v>14</v>
      </c>
      <c r="F23" s="19">
        <f>if(macroroll,sum(indirect("l"&amp;$K$2):indirect("l"&amp;$K$2+min(4,E23-1))),F23)</f>
        <v>18</v>
      </c>
      <c r="G23" s="4"/>
      <c r="K23" s="5"/>
      <c r="L23" s="5">
        <f t="array" ref="L23">if(or({attackroll;'Dice and Macros'!$F$4:$F$11;macroroll}),randbetween(1,4),L23)</f>
        <v>4</v>
      </c>
      <c r="M23" s="5">
        <f t="array" ref="M23">if(or({attackroll;'Dice and Macros'!$F$4:$F$11;macroroll}),randbetween(1,6),M23)</f>
        <v>6</v>
      </c>
      <c r="N23" s="5">
        <f t="array" ref="N23">if(or({attackroll;'Dice and Macros'!$F$4:$F$11;macroroll}),randbetween(1,8),N23)</f>
        <v>2</v>
      </c>
      <c r="O23" s="5">
        <f t="array" ref="O23">if(or({attackroll;'Dice and Macros'!$F$4:$F$11;macroroll}),randbetween(1,10),O23)</f>
        <v>8</v>
      </c>
      <c r="P23" s="5">
        <f t="array" ref="P23">if(or({attackroll;'Dice and Macros'!$F$4:$F$11;macroroll}),randbetween(1,12),P23)</f>
        <v>6</v>
      </c>
      <c r="Q23" s="5">
        <f t="array" ref="Q23">if(or({attackroll;'Dice and Macros'!$F$4:$F$11;macroroll}),randbetween(1,20),Q23)</f>
        <v>18</v>
      </c>
      <c r="R23" s="5">
        <f t="array" ref="R23">if(or({attackroll;'Dice and Macros'!$F$4:$F$11;macroroll}),randbetween(1,100),R23)</f>
        <v>93</v>
      </c>
      <c r="S23" s="5">
        <f t="array" ref="S23">if(or({attackroll;'Dice and Macros'!$F$4:$F$11;macroroll}),randbetween(1,'Dice and Macros'!$D$11),S23)</f>
        <v>0</v>
      </c>
      <c r="U23" s="23" t="s">
        <v>56</v>
      </c>
      <c r="V23" s="10"/>
      <c r="W23" s="11"/>
      <c r="X23" s="24">
        <v>0.0</v>
      </c>
      <c r="Y23" s="25">
        <f>if(Main!$W$41,randbetween(1,6)+randbetween(1,6),Y23)</f>
        <v>5</v>
      </c>
      <c r="Z23" s="11"/>
    </row>
    <row r="24">
      <c r="B24" s="30" t="s">
        <v>57</v>
      </c>
      <c r="C24" s="10"/>
      <c r="D24" s="11"/>
      <c r="E24" s="7">
        <f>spellcasterlevel</f>
        <v>14</v>
      </c>
      <c r="F24" s="25">
        <f>if(macroroll,sum(indirect("m"&amp;$K$2):indirect("m"&amp;$K$2+2)),F24)</f>
        <v>7</v>
      </c>
      <c r="G24" s="11"/>
      <c r="K24" s="5"/>
      <c r="L24" s="5">
        <f t="array" ref="L24">if(or({attackroll;'Dice and Macros'!$F$4:$F$11;macroroll}),randbetween(1,4),L24)</f>
        <v>1</v>
      </c>
      <c r="M24" s="5">
        <f t="array" ref="M24">if(or({attackroll;'Dice and Macros'!$F$4:$F$11;macroroll}),randbetween(1,6),M24)</f>
        <v>4</v>
      </c>
      <c r="N24" s="5">
        <f t="array" ref="N24">if(or({attackroll;'Dice and Macros'!$F$4:$F$11;macroroll}),randbetween(1,8),N24)</f>
        <v>3</v>
      </c>
      <c r="O24" s="5">
        <f t="array" ref="O24">if(or({attackroll;'Dice and Macros'!$F$4:$F$11;macroroll}),randbetween(1,10),O24)</f>
        <v>10</v>
      </c>
      <c r="P24" s="5">
        <f t="array" ref="P24">if(or({attackroll;'Dice and Macros'!$F$4:$F$11;macroroll}),randbetween(1,12),P24)</f>
        <v>1</v>
      </c>
      <c r="Q24" s="5">
        <f t="array" ref="Q24">if(or({attackroll;'Dice and Macros'!$F$4:$F$11;macroroll}),randbetween(1,20),Q24)</f>
        <v>7</v>
      </c>
      <c r="R24" s="5">
        <f t="array" ref="R24">if(or({attackroll;'Dice and Macros'!$F$4:$F$11;macroroll}),randbetween(1,100),R24)</f>
        <v>66</v>
      </c>
      <c r="S24" s="5">
        <f t="array" ref="S24">if(or({attackroll;'Dice and Macros'!$F$4:$F$11;macroroll}),randbetween(1,'Dice and Macros'!$D$11),S24)</f>
        <v>0</v>
      </c>
      <c r="U24" s="26" t="s">
        <v>58</v>
      </c>
      <c r="V24" s="3"/>
      <c r="W24" s="4"/>
      <c r="X24" s="18">
        <v>0.0</v>
      </c>
      <c r="Y24" s="19">
        <f>if(Main!$W$41,randbetween(1,6)+randbetween(1,6),Y24)</f>
        <v>10</v>
      </c>
      <c r="Z24" s="4"/>
    </row>
    <row r="25">
      <c r="B25" s="28" t="s">
        <v>59</v>
      </c>
      <c r="C25" s="3"/>
      <c r="D25" s="4"/>
      <c r="E25" s="14">
        <f>spellcasterlevel</f>
        <v>14</v>
      </c>
      <c r="F25" s="19">
        <f>if(macroroll,sum(indirect("o"&amp;$K$2):indirect("o"&amp;$K$2+2)),F25)</f>
        <v>9</v>
      </c>
      <c r="G25" s="4"/>
      <c r="K25" s="5"/>
      <c r="L25" s="5">
        <f t="array" ref="L25">if(or({attackroll;'Dice and Macros'!$F$4:$F$11;macroroll}),randbetween(1,4),L25)</f>
        <v>2</v>
      </c>
      <c r="M25" s="5">
        <f t="array" ref="M25">if(or({attackroll;'Dice and Macros'!$F$4:$F$11;macroroll}),randbetween(1,6),M25)</f>
        <v>2</v>
      </c>
      <c r="N25" s="5">
        <f t="array" ref="N25">if(or({attackroll;'Dice and Macros'!$F$4:$F$11;macroroll}),randbetween(1,8),N25)</f>
        <v>6</v>
      </c>
      <c r="O25" s="5">
        <f t="array" ref="O25">if(or({attackroll;'Dice and Macros'!$F$4:$F$11;macroroll}),randbetween(1,10),O25)</f>
        <v>7</v>
      </c>
      <c r="P25" s="5">
        <f t="array" ref="P25">if(or({attackroll;'Dice and Macros'!$F$4:$F$11;macroroll}),randbetween(1,12),P25)</f>
        <v>10</v>
      </c>
      <c r="Q25" s="5">
        <f t="array" ref="Q25">if(or({attackroll;'Dice and Macros'!$F$4:$F$11;macroroll}),randbetween(1,20),Q25)</f>
        <v>20</v>
      </c>
      <c r="R25" s="5">
        <f t="array" ref="R25">if(or({attackroll;'Dice and Macros'!$F$4:$F$11;macroroll}),randbetween(1,100),R25)</f>
        <v>26</v>
      </c>
      <c r="S25" s="5">
        <f t="array" ref="S25">if(or({attackroll;'Dice and Macros'!$F$4:$F$11;macroroll}),randbetween(1,'Dice and Macros'!$D$11),S25)</f>
        <v>0</v>
      </c>
      <c r="U25" s="23" t="s">
        <v>60</v>
      </c>
      <c r="V25" s="10"/>
      <c r="W25" s="11"/>
      <c r="X25" s="24">
        <v>0.0</v>
      </c>
      <c r="Y25" s="25">
        <f>if(Main!$W$41,randbetween(1,6)+randbetween(1,6),Y25)</f>
        <v>4</v>
      </c>
      <c r="Z25" s="11"/>
    </row>
    <row r="26">
      <c r="B26" s="30" t="s">
        <v>61</v>
      </c>
      <c r="C26" s="10"/>
      <c r="D26" s="11"/>
      <c r="E26" s="7">
        <f>spellcasterlevel</f>
        <v>14</v>
      </c>
      <c r="F26" s="25">
        <f>if(macroroll,sum(indirect("m"&amp;$K$2):indirect("m"&amp;$K$2+4)),F26)</f>
        <v>12</v>
      </c>
      <c r="G26" s="11"/>
      <c r="K26" s="5"/>
      <c r="L26" s="5">
        <f t="array" ref="L26">if(or({attackroll;'Dice and Macros'!$F$4:$F$11;macroroll}),randbetween(1,4),L26)</f>
        <v>3</v>
      </c>
      <c r="M26" s="5">
        <f t="array" ref="M26">if(or({attackroll;'Dice and Macros'!$F$4:$F$11;macroroll}),randbetween(1,6),M26)</f>
        <v>1</v>
      </c>
      <c r="N26" s="5">
        <f t="array" ref="N26">if(or({attackroll;'Dice and Macros'!$F$4:$F$11;macroroll}),randbetween(1,8),N26)</f>
        <v>6</v>
      </c>
      <c r="O26" s="5">
        <f t="array" ref="O26">if(or({attackroll;'Dice and Macros'!$F$4:$F$11;macroroll}),randbetween(1,10),O26)</f>
        <v>5</v>
      </c>
      <c r="P26" s="5">
        <f t="array" ref="P26">if(or({attackroll;'Dice and Macros'!$F$4:$F$11;macroroll}),randbetween(1,12),P26)</f>
        <v>11</v>
      </c>
      <c r="Q26" s="5">
        <f t="array" ref="Q26">if(or({attackroll;'Dice and Macros'!$F$4:$F$11;macroroll}),randbetween(1,20),Q26)</f>
        <v>9</v>
      </c>
      <c r="R26" s="5">
        <f t="array" ref="R26">if(or({attackroll;'Dice and Macros'!$F$4:$F$11;macroroll}),randbetween(1,100),R26)</f>
        <v>46</v>
      </c>
      <c r="S26" s="5">
        <f t="array" ref="S26">if(or({attackroll;'Dice and Macros'!$F$4:$F$11;macroroll}),randbetween(1,'Dice and Macros'!$D$11),S26)</f>
        <v>0</v>
      </c>
      <c r="U26" s="26" t="s">
        <v>62</v>
      </c>
      <c r="V26" s="3"/>
      <c r="W26" s="4"/>
      <c r="X26" s="18">
        <v>0.0</v>
      </c>
      <c r="Y26" s="19">
        <f>if(Main!$W$41,randbetween(1,6)+randbetween(1,6),Y26)</f>
        <v>7</v>
      </c>
      <c r="Z26" s="4"/>
    </row>
    <row r="27">
      <c r="B27" s="28" t="s">
        <v>63</v>
      </c>
      <c r="C27" s="3"/>
      <c r="D27" s="4"/>
      <c r="E27" s="14">
        <f>spellcasterlevel</f>
        <v>14</v>
      </c>
      <c r="F27" s="19">
        <f>if(macroroll,sum(indirect("o"&amp;$K$2):indirect("o"&amp;$K$2+4)),F27)</f>
        <v>18</v>
      </c>
      <c r="G27" s="4"/>
      <c r="K27" s="5"/>
      <c r="L27" s="5">
        <f t="array" ref="L27">if(or({attackroll;'Dice and Macros'!$F$4:$F$11;macroroll}),randbetween(1,4),L27)</f>
        <v>2</v>
      </c>
      <c r="M27" s="5">
        <f t="array" ref="M27">if(or({attackroll;'Dice and Macros'!$F$4:$F$11;macroroll}),randbetween(1,6),M27)</f>
        <v>6</v>
      </c>
      <c r="N27" s="5">
        <f t="array" ref="N27">if(or({attackroll;'Dice and Macros'!$F$4:$F$11;macroroll}),randbetween(1,8),N27)</f>
        <v>2</v>
      </c>
      <c r="O27" s="5">
        <f t="array" ref="O27">if(or({attackroll;'Dice and Macros'!$F$4:$F$11;macroroll}),randbetween(1,10),O27)</f>
        <v>3</v>
      </c>
      <c r="P27" s="5">
        <f t="array" ref="P27">if(or({attackroll;'Dice and Macros'!$F$4:$F$11;macroroll}),randbetween(1,12),P27)</f>
        <v>6</v>
      </c>
      <c r="Q27" s="5">
        <f t="array" ref="Q27">if(or({attackroll;'Dice and Macros'!$F$4:$F$11;macroroll}),randbetween(1,20),Q27)</f>
        <v>12</v>
      </c>
      <c r="R27" s="5">
        <f t="array" ref="R27">if(or({attackroll;'Dice and Macros'!$F$4:$F$11;macroroll}),randbetween(1,100),R27)</f>
        <v>74</v>
      </c>
      <c r="S27" s="5">
        <f t="array" ref="S27">if(or({attackroll;'Dice and Macros'!$F$4:$F$11;macroroll}),randbetween(1,'Dice and Macros'!$D$11),S27)</f>
        <v>0</v>
      </c>
      <c r="U27" s="23" t="s">
        <v>64</v>
      </c>
      <c r="V27" s="10"/>
      <c r="W27" s="11"/>
      <c r="X27" s="24">
        <v>0.0</v>
      </c>
      <c r="Y27" s="25">
        <f>if(Main!$W$41,randbetween(1,6)+randbetween(1,6),Y27)</f>
        <v>9</v>
      </c>
      <c r="Z27" s="11"/>
    </row>
    <row r="28">
      <c r="B28" s="30" t="s">
        <v>65</v>
      </c>
      <c r="C28" s="10"/>
      <c r="D28" s="11"/>
      <c r="E28" s="7">
        <f>spellcasterlevel</f>
        <v>14</v>
      </c>
      <c r="F28" s="25" t="str">
        <f>if(macroroll,sum(indirect("l"&amp;$K$2):indirect("l"&amp;$K$2+1))+E28&amp;" HD",F28)</f>
        <v>22 HD</v>
      </c>
      <c r="G28" s="11"/>
      <c r="K28" s="5"/>
      <c r="L28" s="5">
        <f t="array" ref="L28">if(or({attackroll;'Dice and Macros'!$F$4:$F$11;macroroll}),randbetween(1,4),L28)</f>
        <v>4</v>
      </c>
      <c r="M28" s="5">
        <f t="array" ref="M28">if(or({attackroll;'Dice and Macros'!$F$4:$F$11;macroroll}),randbetween(1,6),M28)</f>
        <v>4</v>
      </c>
      <c r="N28" s="5">
        <f t="array" ref="N28">if(or({attackroll;'Dice and Macros'!$F$4:$F$11;macroroll}),randbetween(1,8),N28)</f>
        <v>8</v>
      </c>
      <c r="O28" s="5">
        <f t="array" ref="O28">if(or({attackroll;'Dice and Macros'!$F$4:$F$11;macroroll}),randbetween(1,10),O28)</f>
        <v>4</v>
      </c>
      <c r="P28" s="5">
        <f t="array" ref="P28">if(or({attackroll;'Dice and Macros'!$F$4:$F$11;macroroll}),randbetween(1,12),P28)</f>
        <v>12</v>
      </c>
      <c r="Q28" s="5">
        <f t="array" ref="Q28">if(or({attackroll;'Dice and Macros'!$F$4:$F$11;macroroll}),randbetween(1,20),Q28)</f>
        <v>18</v>
      </c>
      <c r="R28" s="5">
        <f t="array" ref="R28">if(or({attackroll;'Dice and Macros'!$F$4:$F$11;macroroll}),randbetween(1,100),R28)</f>
        <v>46</v>
      </c>
      <c r="S28" s="5">
        <f t="array" ref="S28">if(or({attackroll;'Dice and Macros'!$F$4:$F$11;macroroll}),randbetween(1,'Dice and Macros'!$D$11),S28)</f>
        <v>0</v>
      </c>
      <c r="U28" s="26" t="s">
        <v>66</v>
      </c>
      <c r="V28" s="3"/>
      <c r="W28" s="4"/>
      <c r="X28" s="18">
        <v>0.0</v>
      </c>
      <c r="Y28" s="19">
        <f>if(Main!$W$41,randbetween(1,6)+randbetween(1,6),Y28)</f>
        <v>6</v>
      </c>
      <c r="Z28" s="4"/>
    </row>
    <row r="29">
      <c r="B29" s="28" t="s">
        <v>67</v>
      </c>
      <c r="C29" s="3"/>
      <c r="D29" s="4"/>
      <c r="E29" s="14">
        <f>spellcasterlevel</f>
        <v>14</v>
      </c>
      <c r="F29" s="19">
        <f>if(macroroll,sum(indirect("m"&amp;$K$2):indirect("m"&amp;$K$2+min(19,E29-1))),F29)</f>
        <v>38</v>
      </c>
      <c r="G29" s="4"/>
      <c r="K29" s="5"/>
      <c r="L29" s="5">
        <f t="array" ref="L29">if(or({attackroll;'Dice and Macros'!$F$4:$F$11;macroroll}),randbetween(1,4),L29)</f>
        <v>1</v>
      </c>
      <c r="M29" s="5">
        <f t="array" ref="M29">if(or({attackroll;'Dice and Macros'!$F$4:$F$11;macroroll}),randbetween(1,6),M29)</f>
        <v>6</v>
      </c>
      <c r="N29" s="5">
        <f t="array" ref="N29">if(or({attackroll;'Dice and Macros'!$F$4:$F$11;macroroll}),randbetween(1,8),N29)</f>
        <v>5</v>
      </c>
      <c r="O29" s="5">
        <f t="array" ref="O29">if(or({attackroll;'Dice and Macros'!$F$4:$F$11;macroroll}),randbetween(1,10),O29)</f>
        <v>3</v>
      </c>
      <c r="P29" s="5">
        <f t="array" ref="P29">if(or({attackroll;'Dice and Macros'!$F$4:$F$11;macroroll}),randbetween(1,12),P29)</f>
        <v>2</v>
      </c>
      <c r="Q29" s="5">
        <f t="array" ref="Q29">if(or({attackroll;'Dice and Macros'!$F$4:$F$11;macroroll}),randbetween(1,20),Q29)</f>
        <v>15</v>
      </c>
      <c r="R29" s="5">
        <f t="array" ref="R29">if(or({attackroll;'Dice and Macros'!$F$4:$F$11;macroroll}),randbetween(1,100),R29)</f>
        <v>24</v>
      </c>
      <c r="S29" s="5">
        <f t="array" ref="S29">if(or({attackroll;'Dice and Macros'!$F$4:$F$11;macroroll}),randbetween(1,'Dice and Macros'!$D$11),S29)</f>
        <v>0</v>
      </c>
      <c r="U29" s="23" t="s">
        <v>68</v>
      </c>
      <c r="V29" s="10"/>
      <c r="W29" s="11"/>
      <c r="X29" s="24">
        <v>0.0</v>
      </c>
      <c r="Y29" s="25">
        <f>if(Main!$W$41,randbetween(1,6),Y29)</f>
        <v>4</v>
      </c>
      <c r="Z29" s="11"/>
    </row>
    <row r="30">
      <c r="B30" s="30" t="s">
        <v>69</v>
      </c>
      <c r="C30" s="10"/>
      <c r="D30" s="11"/>
      <c r="E30" s="7">
        <f>spellcasterlevel</f>
        <v>14</v>
      </c>
      <c r="F30" s="25">
        <f>floor(F29/2,1)</f>
        <v>19</v>
      </c>
      <c r="G30" s="11"/>
      <c r="K30" s="5"/>
      <c r="L30" s="5">
        <f t="array" ref="L30">if(or({attackroll;'Dice and Macros'!$F$4:$F$11;macroroll}),randbetween(1,4),L30)</f>
        <v>1</v>
      </c>
      <c r="M30" s="5">
        <f t="array" ref="M30">if(or({attackroll;'Dice and Macros'!$F$4:$F$11;macroroll}),randbetween(1,6),M30)</f>
        <v>4</v>
      </c>
      <c r="N30" s="5">
        <f t="array" ref="N30">if(or({attackroll;'Dice and Macros'!$F$4:$F$11;macroroll}),randbetween(1,8),N30)</f>
        <v>6</v>
      </c>
      <c r="O30" s="5">
        <f t="array" ref="O30">if(or({attackroll;'Dice and Macros'!$F$4:$F$11;macroroll}),randbetween(1,10),O30)</f>
        <v>2</v>
      </c>
      <c r="P30" s="5">
        <f t="array" ref="P30">if(or({attackroll;'Dice and Macros'!$F$4:$F$11;macroroll}),randbetween(1,12),P30)</f>
        <v>5</v>
      </c>
      <c r="Q30" s="5">
        <f t="array" ref="Q30">if(or({attackroll;'Dice and Macros'!$F$4:$F$11;macroroll}),randbetween(1,20),Q30)</f>
        <v>11</v>
      </c>
      <c r="R30" s="5">
        <f t="array" ref="R30">if(or({attackroll;'Dice and Macros'!$F$4:$F$11;macroroll}),randbetween(1,100),R30)</f>
        <v>76</v>
      </c>
      <c r="S30" s="5">
        <f t="array" ref="S30">if(or({attackroll;'Dice and Macros'!$F$4:$F$11;macroroll}),randbetween(1,'Dice and Macros'!$D$11),S30)</f>
        <v>0</v>
      </c>
      <c r="U30" s="26" t="s">
        <v>70</v>
      </c>
      <c r="V30" s="3"/>
      <c r="W30" s="4"/>
      <c r="X30" s="18">
        <v>0.0</v>
      </c>
      <c r="Y30" s="19">
        <f>if(Main!$W$41,randbetween(1,6),Y30)</f>
        <v>3</v>
      </c>
      <c r="Z30" s="4"/>
    </row>
    <row r="31">
      <c r="B31" s="17" t="s">
        <v>71</v>
      </c>
      <c r="C31" s="3"/>
      <c r="D31" s="4"/>
      <c r="E31" s="18">
        <f>spellcasterlevel</f>
        <v>14</v>
      </c>
      <c r="F31" s="19" t="str">
        <f>if(macroroll,sum(indirect("n"&amp;$K$2):indirect("n"&amp;$K$2+min(4,floor(E31/2,1)-1)))&amp;" + "&amp;randbetween(1,6)&amp;" rounds",F31)</f>
        <v>24 + 6 rounds</v>
      </c>
      <c r="G31" s="4"/>
      <c r="K31" s="5"/>
      <c r="L31" s="5">
        <f t="array" ref="L31">if(or({attackroll;'Dice and Macros'!$F$4:$F$11;macroroll}),randbetween(1,4),L31)</f>
        <v>2</v>
      </c>
      <c r="M31" s="5">
        <f t="array" ref="M31">if(or({attackroll;'Dice and Macros'!$F$4:$F$11;macroroll}),randbetween(1,6),M31)</f>
        <v>1</v>
      </c>
      <c r="N31" s="5">
        <f t="array" ref="N31">if(or({attackroll;'Dice and Macros'!$F$4:$F$11;macroroll}),randbetween(1,8),N31)</f>
        <v>5</v>
      </c>
      <c r="O31" s="5">
        <f t="array" ref="O31">if(or({attackroll;'Dice and Macros'!$F$4:$F$11;macroroll}),randbetween(1,10),O31)</f>
        <v>5</v>
      </c>
      <c r="P31" s="5">
        <f t="array" ref="P31">if(or({attackroll;'Dice and Macros'!$F$4:$F$11;macroroll}),randbetween(1,12),P31)</f>
        <v>9</v>
      </c>
      <c r="Q31" s="5">
        <f t="array" ref="Q31">if(or({attackroll;'Dice and Macros'!$F$4:$F$11;macroroll}),randbetween(1,20),Q31)</f>
        <v>7</v>
      </c>
      <c r="R31" s="5">
        <f t="array" ref="R31">if(or({attackroll;'Dice and Macros'!$F$4:$F$11;macroroll}),randbetween(1,100),R31)</f>
        <v>20</v>
      </c>
      <c r="S31" s="5">
        <f t="array" ref="S31">if(or({attackroll;'Dice and Macros'!$F$4:$F$11;macroroll}),randbetween(1,'Dice and Macros'!$D$11),S31)</f>
        <v>0</v>
      </c>
      <c r="U31" s="23" t="s">
        <v>72</v>
      </c>
      <c r="V31" s="10"/>
      <c r="W31" s="11"/>
      <c r="X31" s="24">
        <v>0.0</v>
      </c>
      <c r="Y31" s="25">
        <f>if(Main!$W$41,randbetween(1,6),Y31)</f>
        <v>1</v>
      </c>
      <c r="Z31" s="11"/>
    </row>
    <row r="32">
      <c r="B32" s="34" t="s">
        <v>73</v>
      </c>
      <c r="C32" s="10"/>
      <c r="D32" s="11"/>
      <c r="E32" s="7">
        <f>spellcasterlevel</f>
        <v>14</v>
      </c>
      <c r="F32" s="25" t="str">
        <f>if(macroroll,sum(indirect("m"&amp;$K$2):indirect("m"&amp;$K$2+min(9,E32-1)))&amp;" + "&amp;randbetween(1,6)&amp;" rounds",F32)</f>
        <v>26 + 6 rounds</v>
      </c>
      <c r="G32" s="11"/>
      <c r="K32" s="5"/>
      <c r="L32" s="5">
        <f t="array" ref="L32">if(or({attackroll;'Dice and Macros'!$F$4:$F$11;macroroll}),randbetween(1,4),L32)</f>
        <v>3</v>
      </c>
      <c r="M32" s="5">
        <f t="array" ref="M32">if(or({attackroll;'Dice and Macros'!$F$4:$F$11;macroroll}),randbetween(1,6),M32)</f>
        <v>6</v>
      </c>
      <c r="N32" s="5">
        <f t="array" ref="N32">if(or({attackroll;'Dice and Macros'!$F$4:$F$11;macroroll}),randbetween(1,8),N32)</f>
        <v>8</v>
      </c>
      <c r="O32" s="5">
        <f t="array" ref="O32">if(or({attackroll;'Dice and Macros'!$F$4:$F$11;macroroll}),randbetween(1,10),O32)</f>
        <v>10</v>
      </c>
      <c r="P32" s="5">
        <f t="array" ref="P32">if(or({attackroll;'Dice and Macros'!$F$4:$F$11;macroroll}),randbetween(1,12),P32)</f>
        <v>1</v>
      </c>
      <c r="Q32" s="5">
        <f t="array" ref="Q32">if(or({attackroll;'Dice and Macros'!$F$4:$F$11;macroroll}),randbetween(1,20),Q32)</f>
        <v>14</v>
      </c>
      <c r="R32" s="5">
        <f t="array" ref="R32">if(or({attackroll;'Dice and Macros'!$F$4:$F$11;macroroll}),randbetween(1,100),R32)</f>
        <v>14</v>
      </c>
      <c r="S32" s="5">
        <f t="array" ref="S32">if(or({attackroll;'Dice and Macros'!$F$4:$F$11;macroroll}),randbetween(1,'Dice and Macros'!$D$11),S32)</f>
        <v>0</v>
      </c>
      <c r="U32" s="26" t="s">
        <v>74</v>
      </c>
      <c r="V32" s="3"/>
      <c r="W32" s="4"/>
      <c r="X32" s="18">
        <v>0.0</v>
      </c>
      <c r="Y32" s="19">
        <f>if(Main!$W$41,randbetween(1,6),Y32)</f>
        <v>2</v>
      </c>
      <c r="Z32" s="4"/>
    </row>
    <row r="33">
      <c r="B33" s="28" t="s">
        <v>75</v>
      </c>
      <c r="C33" s="3"/>
      <c r="D33" s="4"/>
      <c r="E33" s="14">
        <f>spellcasterlevel</f>
        <v>14</v>
      </c>
      <c r="F33" s="19">
        <f>if(macroroll,randbetween(1,4),F33)</f>
        <v>4</v>
      </c>
      <c r="G33" s="4"/>
      <c r="K33" s="5"/>
      <c r="L33" s="5">
        <f t="array" ref="L33">if(or({attackroll;'Dice and Macros'!$F$4:$F$11;macroroll}),randbetween(1,4),L33)</f>
        <v>1</v>
      </c>
      <c r="M33" s="5">
        <f t="array" ref="M33">if(or({attackroll;'Dice and Macros'!$F$4:$F$11;macroroll}),randbetween(1,6),M33)</f>
        <v>5</v>
      </c>
      <c r="N33" s="5">
        <f t="array" ref="N33">if(or({attackroll;'Dice and Macros'!$F$4:$F$11;macroroll}),randbetween(1,8),N33)</f>
        <v>6</v>
      </c>
      <c r="O33" s="5">
        <f t="array" ref="O33">if(or({attackroll;'Dice and Macros'!$F$4:$F$11;macroroll}),randbetween(1,10),O33)</f>
        <v>2</v>
      </c>
      <c r="P33" s="5">
        <f t="array" ref="P33">if(or({attackroll;'Dice and Macros'!$F$4:$F$11;macroroll}),randbetween(1,12),P33)</f>
        <v>1</v>
      </c>
      <c r="Q33" s="5">
        <f t="array" ref="Q33">if(or({attackroll;'Dice and Macros'!$F$4:$F$11;macroroll}),randbetween(1,20),Q33)</f>
        <v>9</v>
      </c>
      <c r="R33" s="5">
        <f t="array" ref="R33">if(or({attackroll;'Dice and Macros'!$F$4:$F$11;macroroll}),randbetween(1,100),R33)</f>
        <v>31</v>
      </c>
      <c r="S33" s="5">
        <f t="array" ref="S33">if(or({attackroll;'Dice and Macros'!$F$4:$F$11;macroroll}),randbetween(1,'Dice and Macros'!$D$11),S33)</f>
        <v>0</v>
      </c>
      <c r="U33" s="23" t="s">
        <v>76</v>
      </c>
      <c r="V33" s="10"/>
      <c r="W33" s="11"/>
      <c r="X33" s="24">
        <v>0.0</v>
      </c>
      <c r="Y33" s="25">
        <f>if(Main!$W$41,randbetween(1,6),Y33)</f>
        <v>5</v>
      </c>
      <c r="Z33" s="11"/>
    </row>
    <row r="34">
      <c r="B34" s="30" t="s">
        <v>77</v>
      </c>
      <c r="C34" s="10"/>
      <c r="D34" s="11"/>
      <c r="E34" s="7">
        <f>spellcasterlevel</f>
        <v>14</v>
      </c>
      <c r="F34" s="25">
        <f>if(macroroll,sum(indirect("l"&amp;$K$2):indirect("l"&amp;$K$2+1)),F34)</f>
        <v>8</v>
      </c>
      <c r="G34" s="11"/>
      <c r="K34" s="5"/>
      <c r="L34" s="5">
        <f t="array" ref="L34">if(or({attackroll;'Dice and Macros'!$F$4:$F$11;macroroll}),randbetween(1,4),L34)</f>
        <v>4</v>
      </c>
      <c r="M34" s="5">
        <f t="array" ref="M34">if(or({attackroll;'Dice and Macros'!$F$4:$F$11;macroroll}),randbetween(1,6),M34)</f>
        <v>4</v>
      </c>
      <c r="N34" s="5">
        <f t="array" ref="N34">if(or({attackroll;'Dice and Macros'!$F$4:$F$11;macroroll}),randbetween(1,8),N34)</f>
        <v>7</v>
      </c>
      <c r="O34" s="5">
        <f t="array" ref="O34">if(or({attackroll;'Dice and Macros'!$F$4:$F$11;macroroll}),randbetween(1,10),O34)</f>
        <v>2</v>
      </c>
      <c r="P34" s="5">
        <f t="array" ref="P34">if(or({attackroll;'Dice and Macros'!$F$4:$F$11;macroroll}),randbetween(1,12),P34)</f>
        <v>7</v>
      </c>
      <c r="Q34" s="5">
        <f t="array" ref="Q34">if(or({attackroll;'Dice and Macros'!$F$4:$F$11;macroroll}),randbetween(1,20),Q34)</f>
        <v>2</v>
      </c>
      <c r="R34" s="5">
        <f t="array" ref="R34">if(or({attackroll;'Dice and Macros'!$F$4:$F$11;macroroll}),randbetween(1,100),R34)</f>
        <v>63</v>
      </c>
      <c r="S34" s="5">
        <f t="array" ref="S34">if(or({attackroll;'Dice and Macros'!$F$4:$F$11;macroroll}),randbetween(1,'Dice and Macros'!$D$11),S34)</f>
        <v>0</v>
      </c>
      <c r="U34" s="26" t="s">
        <v>78</v>
      </c>
      <c r="V34" s="3"/>
      <c r="W34" s="4"/>
      <c r="X34" s="18">
        <v>0.0</v>
      </c>
      <c r="Y34" s="19">
        <f>if(Main!$W$41,randbetween(1,6),Y34)</f>
        <v>2</v>
      </c>
      <c r="Z34" s="4"/>
    </row>
    <row r="35">
      <c r="B35" s="28" t="s">
        <v>79</v>
      </c>
      <c r="C35" s="3"/>
      <c r="D35" s="4"/>
      <c r="E35" s="14">
        <f>spellcasterlevel</f>
        <v>14</v>
      </c>
      <c r="F35" s="19" t="str">
        <f>if(macroroll,sum(indirect("l"&amp;$K$2):indirect("l"&amp;$K$2+min(19,E35-1)))&amp;" HD",F35)</f>
        <v>39 HD</v>
      </c>
      <c r="G35" s="4"/>
      <c r="K35" s="5"/>
      <c r="L35" s="5">
        <f t="array" ref="L35">if(or({attackroll;'Dice and Macros'!$F$4:$F$11;macroroll}),randbetween(1,4),L35)</f>
        <v>2</v>
      </c>
      <c r="M35" s="5">
        <f t="array" ref="M35">if(or({attackroll;'Dice and Macros'!$F$4:$F$11;macroroll}),randbetween(1,6),M35)</f>
        <v>3</v>
      </c>
      <c r="N35" s="5">
        <f t="array" ref="N35">if(or({attackroll;'Dice and Macros'!$F$4:$F$11;macroroll}),randbetween(1,8),N35)</f>
        <v>8</v>
      </c>
      <c r="O35" s="5">
        <f t="array" ref="O35">if(or({attackroll;'Dice and Macros'!$F$4:$F$11;macroroll}),randbetween(1,10),O35)</f>
        <v>5</v>
      </c>
      <c r="P35" s="5">
        <f t="array" ref="P35">if(or({attackroll;'Dice and Macros'!$F$4:$F$11;macroroll}),randbetween(1,12),P35)</f>
        <v>2</v>
      </c>
      <c r="Q35" s="5">
        <f t="array" ref="Q35">if(or({attackroll;'Dice and Macros'!$F$4:$F$11;macroroll}),randbetween(1,20),Q35)</f>
        <v>20</v>
      </c>
      <c r="R35" s="5">
        <f t="array" ref="R35">if(or({attackroll;'Dice and Macros'!$F$4:$F$11;macroroll}),randbetween(1,100),R35)</f>
        <v>76</v>
      </c>
      <c r="S35" s="5">
        <f t="array" ref="S35">if(or({attackroll;'Dice and Macros'!$F$4:$F$11;macroroll}),randbetween(1,'Dice and Macros'!$D$11),S35)</f>
        <v>0</v>
      </c>
      <c r="U35" s="23" t="s">
        <v>80</v>
      </c>
      <c r="V35" s="10"/>
      <c r="W35" s="11"/>
      <c r="X35" s="24">
        <v>0.0</v>
      </c>
      <c r="Y35" s="25">
        <f>if(Main!$W$41,randbetween(1,6),Y35)</f>
        <v>6</v>
      </c>
      <c r="Z35" s="11"/>
    </row>
    <row r="36">
      <c r="B36" s="35" t="s">
        <v>81</v>
      </c>
      <c r="C36" s="10"/>
      <c r="D36" s="11"/>
      <c r="E36" s="24">
        <f>spellcasterlevel</f>
        <v>14</v>
      </c>
      <c r="F36" s="25" t="str">
        <f>if(macroroll,sum(indirect("l"&amp;$K$2):indirect("l"&amp;$K$2+1))&amp;" UBS, "&amp;randbetween(1,4)&amp;" BS, 1 S",F36)</f>
        <v>8 UBS, 4 BS, 1 S</v>
      </c>
      <c r="G36" s="11"/>
      <c r="K36" s="5"/>
      <c r="L36" s="5">
        <f t="array" ref="L36">if(or({attackroll;'Dice and Macros'!$F$4:$F$11;macroroll}),randbetween(1,4),L36)</f>
        <v>2</v>
      </c>
      <c r="M36" s="5">
        <f t="array" ref="M36">if(or({attackroll;'Dice and Macros'!$F$4:$F$11;macroroll}),randbetween(1,6),M36)</f>
        <v>6</v>
      </c>
      <c r="N36" s="5">
        <f t="array" ref="N36">if(or({attackroll;'Dice and Macros'!$F$4:$F$11;macroroll}),randbetween(1,8),N36)</f>
        <v>4</v>
      </c>
      <c r="O36" s="5">
        <f t="array" ref="O36">if(or({attackroll;'Dice and Macros'!$F$4:$F$11;macroroll}),randbetween(1,10),O36)</f>
        <v>7</v>
      </c>
      <c r="P36" s="5">
        <f t="array" ref="P36">if(or({attackroll;'Dice and Macros'!$F$4:$F$11;macroroll}),randbetween(1,12),P36)</f>
        <v>5</v>
      </c>
      <c r="Q36" s="5">
        <f t="array" ref="Q36">if(or({attackroll;'Dice and Macros'!$F$4:$F$11;macroroll}),randbetween(1,20),Q36)</f>
        <v>9</v>
      </c>
      <c r="R36" s="5">
        <f t="array" ref="R36">if(or({attackroll;'Dice and Macros'!$F$4:$F$11;macroroll}),randbetween(1,100),R36)</f>
        <v>21</v>
      </c>
      <c r="S36" s="5">
        <f t="array" ref="S36">if(or({attackroll;'Dice and Macros'!$F$4:$F$11;macroroll}),randbetween(1,'Dice and Macros'!$D$11),S36)</f>
        <v>0</v>
      </c>
      <c r="U36" s="26" t="s">
        <v>82</v>
      </c>
      <c r="V36" s="3"/>
      <c r="W36" s="4"/>
      <c r="X36" s="18">
        <v>0.0</v>
      </c>
      <c r="Y36" s="19">
        <f>if(Main!$W$41,randbetween(1,6),Y36)</f>
        <v>3</v>
      </c>
      <c r="Z36" s="4"/>
    </row>
    <row r="37">
      <c r="B37" s="17" t="s">
        <v>83</v>
      </c>
      <c r="C37" s="3"/>
      <c r="D37" s="4"/>
      <c r="E37" s="18">
        <f>spellcasterlevel</f>
        <v>14</v>
      </c>
      <c r="F37" s="19" t="str">
        <f>if(macroroll,randbetween(1,4)&amp;" BS, 1 S",F37)</f>
        <v>2 BS, 1 S</v>
      </c>
      <c r="G37" s="4"/>
      <c r="K37" s="5"/>
      <c r="L37" s="5">
        <f t="array" ref="L37">if(or({attackroll;'Dice and Macros'!$F$4:$F$11;macroroll}),randbetween(1,4),L37)</f>
        <v>1</v>
      </c>
      <c r="M37" s="5">
        <f t="array" ref="M37">if(or({attackroll;'Dice and Macros'!$F$4:$F$11;macroroll}),randbetween(1,6),M37)</f>
        <v>6</v>
      </c>
      <c r="N37" s="5">
        <f t="array" ref="N37">if(or({attackroll;'Dice and Macros'!$F$4:$F$11;macroroll}),randbetween(1,8),N37)</f>
        <v>2</v>
      </c>
      <c r="O37" s="5">
        <f t="array" ref="O37">if(or({attackroll;'Dice and Macros'!$F$4:$F$11;macroroll}),randbetween(1,10),O37)</f>
        <v>7</v>
      </c>
      <c r="P37" s="5">
        <f t="array" ref="P37">if(or({attackroll;'Dice and Macros'!$F$4:$F$11;macroroll}),randbetween(1,12),P37)</f>
        <v>10</v>
      </c>
      <c r="Q37" s="5">
        <f t="array" ref="Q37">if(or({attackroll;'Dice and Macros'!$F$4:$F$11;macroroll}),randbetween(1,20),Q37)</f>
        <v>6</v>
      </c>
      <c r="R37" s="5">
        <f t="array" ref="R37">if(or({attackroll;'Dice and Macros'!$F$4:$F$11;macroroll}),randbetween(1,100),R37)</f>
        <v>22</v>
      </c>
      <c r="S37" s="5">
        <f t="array" ref="S37">if(or({attackroll;'Dice and Macros'!$F$4:$F$11;macroroll}),randbetween(1,'Dice and Macros'!$D$11),S37)</f>
        <v>0</v>
      </c>
      <c r="U37" s="30"/>
      <c r="V37" s="10"/>
      <c r="W37" s="11"/>
      <c r="X37" s="7"/>
      <c r="Y37" s="36"/>
      <c r="Z37" s="11"/>
    </row>
    <row r="38">
      <c r="B38" s="30" t="s">
        <v>84</v>
      </c>
      <c r="C38" s="10"/>
      <c r="D38" s="11"/>
      <c r="E38" s="7">
        <f>spellcasterlevel</f>
        <v>14</v>
      </c>
      <c r="F38" s="25">
        <f>if(macroroll,sum(indirect("m"&amp;$K$2):indirect("m"&amp;$K$2+min(14,E32-1))),F38)</f>
        <v>38</v>
      </c>
      <c r="G38" s="11"/>
      <c r="K38" s="5"/>
      <c r="L38" s="5">
        <f t="array" ref="L38">if(or({attackroll;'Dice and Macros'!$F$4:$F$11;macroroll}),randbetween(1,4),L38)</f>
        <v>2</v>
      </c>
      <c r="M38" s="5">
        <f t="array" ref="M38">if(or({attackroll;'Dice and Macros'!$F$4:$F$11;macroroll}),randbetween(1,6),M38)</f>
        <v>5</v>
      </c>
      <c r="N38" s="5">
        <f t="array" ref="N38">if(or({attackroll;'Dice and Macros'!$F$4:$F$11;macroroll}),randbetween(1,8),N38)</f>
        <v>7</v>
      </c>
      <c r="O38" s="5">
        <f t="array" ref="O38">if(or({attackroll;'Dice and Macros'!$F$4:$F$11;macroroll}),randbetween(1,10),O38)</f>
        <v>4</v>
      </c>
      <c r="P38" s="5">
        <f t="array" ref="P38">if(or({attackroll;'Dice and Macros'!$F$4:$F$11;macroroll}),randbetween(1,12),P38)</f>
        <v>3</v>
      </c>
      <c r="Q38" s="5">
        <f t="array" ref="Q38">if(or({attackroll;'Dice and Macros'!$F$4:$F$11;macroroll}),randbetween(1,20),Q38)</f>
        <v>13</v>
      </c>
      <c r="R38" s="5">
        <f t="array" ref="R38">if(or({attackroll;'Dice and Macros'!$F$4:$F$11;macroroll}),randbetween(1,100),R38)</f>
        <v>80</v>
      </c>
      <c r="S38" s="5">
        <f t="array" ref="S38">if(or({attackroll;'Dice and Macros'!$F$4:$F$11;macroroll}),randbetween(1,'Dice and Macros'!$D$11),S38)</f>
        <v>0</v>
      </c>
      <c r="U38" s="28"/>
      <c r="V38" s="3"/>
      <c r="W38" s="4"/>
      <c r="X38" s="14"/>
      <c r="Y38" s="37"/>
      <c r="Z38" s="4"/>
    </row>
    <row r="39">
      <c r="B39" s="28" t="s">
        <v>85</v>
      </c>
      <c r="C39" s="3"/>
      <c r="D39" s="4"/>
      <c r="E39" s="14">
        <f>spellcasterlevel</f>
        <v>14</v>
      </c>
      <c r="F39" s="19" t="str">
        <f>if(macroroll,indirect("r"&amp;$K$2)&amp;if(indirect("r"&amp;$K$2)&lt;=10,", Attack Caster",
if(indirect("r"&amp;$K$2)&lt;=20,", Act normally",
if(indirect("r"&amp;$K$2)&lt;=50,", Babble incoherently",
if(indirect("r"&amp;$K$2)&lt;=70,", Flee from caster",
", Attack nearest")))),F39)</f>
        <v>92, Attack nearest</v>
      </c>
      <c r="G39" s="4"/>
      <c r="K39" s="5"/>
      <c r="L39" s="5">
        <f t="array" ref="L39">if(or({attackroll;'Dice and Macros'!$F$4:$F$11;macroroll}),randbetween(1,4),L39)</f>
        <v>1</v>
      </c>
      <c r="M39" s="5">
        <f t="array" ref="M39">if(or({attackroll;'Dice and Macros'!$F$4:$F$11;macroroll}),randbetween(1,6),M39)</f>
        <v>5</v>
      </c>
      <c r="N39" s="5">
        <f t="array" ref="N39">if(or({attackroll;'Dice and Macros'!$F$4:$F$11;macroroll}),randbetween(1,8),N39)</f>
        <v>1</v>
      </c>
      <c r="O39" s="5">
        <f t="array" ref="O39">if(or({attackroll;'Dice and Macros'!$F$4:$F$11;macroroll}),randbetween(1,10),O39)</f>
        <v>6</v>
      </c>
      <c r="P39" s="5">
        <f t="array" ref="P39">if(or({attackroll;'Dice and Macros'!$F$4:$F$11;macroroll}),randbetween(1,12),P39)</f>
        <v>11</v>
      </c>
      <c r="Q39" s="5">
        <f t="array" ref="Q39">if(or({attackroll;'Dice and Macros'!$F$4:$F$11;macroroll}),randbetween(1,20),Q39)</f>
        <v>6</v>
      </c>
      <c r="R39" s="5">
        <f t="array" ref="R39">if(or({attackroll;'Dice and Macros'!$F$4:$F$11;macroroll}),randbetween(1,100),R39)</f>
        <v>67</v>
      </c>
      <c r="S39" s="5">
        <f t="array" ref="S39">if(or({attackroll;'Dice and Macros'!$F$4:$F$11;macroroll}),randbetween(1,'Dice and Macros'!$D$11),S39)</f>
        <v>0</v>
      </c>
      <c r="U39" s="30"/>
      <c r="V39" s="10"/>
      <c r="W39" s="11"/>
      <c r="X39" s="7"/>
      <c r="Y39" s="36"/>
      <c r="Z39" s="11"/>
    </row>
    <row r="40">
      <c r="B40" s="30" t="s">
        <v>86</v>
      </c>
      <c r="C40" s="10"/>
      <c r="D40" s="11"/>
      <c r="E40" s="7">
        <f>spellcasterlevel</f>
        <v>14</v>
      </c>
      <c r="F40" s="25">
        <f>if(macroroll,randbetween(1,100),F40)</f>
        <v>73</v>
      </c>
      <c r="G40" s="11"/>
      <c r="K40" s="5"/>
      <c r="L40" s="5">
        <f t="array" ref="L40">if(or({attackroll;'Dice and Macros'!$F$4:$F$11;macroroll}),randbetween(1,4),L40)</f>
        <v>4</v>
      </c>
      <c r="M40" s="5">
        <f t="array" ref="M40">if(or({attackroll;'Dice and Macros'!$F$4:$F$11;macroroll}),randbetween(1,6),M40)</f>
        <v>6</v>
      </c>
      <c r="N40" s="5">
        <f t="array" ref="N40">if(or({attackroll;'Dice and Macros'!$F$4:$F$11;macroroll}),randbetween(1,8),N40)</f>
        <v>4</v>
      </c>
      <c r="O40" s="5">
        <f t="array" ref="O40">if(or({attackroll;'Dice and Macros'!$F$4:$F$11;macroroll}),randbetween(1,10),O40)</f>
        <v>9</v>
      </c>
      <c r="P40" s="5">
        <f t="array" ref="P40">if(or({attackroll;'Dice and Macros'!$F$4:$F$11;macroroll}),randbetween(1,12),P40)</f>
        <v>7</v>
      </c>
      <c r="Q40" s="5">
        <f t="array" ref="Q40">if(or({attackroll;'Dice and Macros'!$F$4:$F$11;macroroll}),randbetween(1,20),Q40)</f>
        <v>4</v>
      </c>
      <c r="R40" s="5">
        <f t="array" ref="R40">if(or({attackroll;'Dice and Macros'!$F$4:$F$11;macroroll}),randbetween(1,100),R40)</f>
        <v>17</v>
      </c>
      <c r="S40" s="5">
        <f t="array" ref="S40">if(or({attackroll;'Dice and Macros'!$F$4:$F$11;macroroll}),randbetween(1,'Dice and Macros'!$D$11),S40)</f>
        <v>0</v>
      </c>
      <c r="U40" s="28"/>
      <c r="V40" s="3"/>
      <c r="W40" s="4"/>
      <c r="X40" s="14"/>
      <c r="Y40" s="37"/>
      <c r="Z40" s="4"/>
    </row>
    <row r="41">
      <c r="B41" s="28" t="s">
        <v>87</v>
      </c>
      <c r="C41" s="3"/>
      <c r="D41" s="4"/>
      <c r="E41" s="14">
        <f>spellcasterlevel</f>
        <v>14</v>
      </c>
      <c r="F41" s="19">
        <f>if(macroroll,sum(indirect("n"&amp;$K$2):indirect("n"&amp;$K$2+3))+min(20,E41),F41)</f>
        <v>36</v>
      </c>
      <c r="G41" s="4"/>
      <c r="K41" s="5"/>
      <c r="L41" s="5">
        <f t="array" ref="L41">if(or({attackroll;'Dice and Macros'!$F$4:$F$11;macroroll}),randbetween(1,4),L41)</f>
        <v>2</v>
      </c>
      <c r="M41" s="5">
        <f t="array" ref="M41">if(or({attackroll;'Dice and Macros'!$F$4:$F$11;macroroll}),randbetween(1,6),M41)</f>
        <v>6</v>
      </c>
      <c r="N41" s="5">
        <f t="array" ref="N41">if(or({attackroll;'Dice and Macros'!$F$4:$F$11;macroroll}),randbetween(1,8),N41)</f>
        <v>1</v>
      </c>
      <c r="O41" s="5">
        <f t="array" ref="O41">if(or({attackroll;'Dice and Macros'!$F$4:$F$11;macroroll}),randbetween(1,10),O41)</f>
        <v>1</v>
      </c>
      <c r="P41" s="5">
        <f t="array" ref="P41">if(or({attackroll;'Dice and Macros'!$F$4:$F$11;macroroll}),randbetween(1,12),P41)</f>
        <v>5</v>
      </c>
      <c r="Q41" s="5">
        <f t="array" ref="Q41">if(or({attackroll;'Dice and Macros'!$F$4:$F$11;macroroll}),randbetween(1,20),Q41)</f>
        <v>15</v>
      </c>
      <c r="R41" s="5">
        <f t="array" ref="R41">if(or({attackroll;'Dice and Macros'!$F$4:$F$11;macroroll}),randbetween(1,100),R41)</f>
        <v>4</v>
      </c>
      <c r="S41" s="5">
        <f t="array" ref="S41">if(or({attackroll;'Dice and Macros'!$F$4:$F$11;macroroll}),randbetween(1,'Dice and Macros'!$D$11),S41)</f>
        <v>0</v>
      </c>
      <c r="U41" s="30"/>
      <c r="V41" s="10"/>
      <c r="W41" s="11"/>
      <c r="X41" s="7"/>
      <c r="Y41" s="36"/>
      <c r="Z41" s="11"/>
    </row>
    <row r="42">
      <c r="B42" s="30" t="s">
        <v>88</v>
      </c>
      <c r="C42" s="10"/>
      <c r="D42" s="11"/>
      <c r="E42" s="7">
        <f>spellcasterlevel</f>
        <v>14</v>
      </c>
      <c r="F42" s="25">
        <f>if(macroroll,sum(indirect("n"&amp;$K$2):indirect("n"&amp;$K$2+3))+min(40,E42),F42)</f>
        <v>36</v>
      </c>
      <c r="G42" s="11"/>
      <c r="K42" s="5"/>
      <c r="L42" s="5">
        <f t="array" ref="L42">if(or({attackroll;'Dice and Macros'!$F$4:$F$11;macroroll}),randbetween(1,4),L42)</f>
        <v>4</v>
      </c>
      <c r="M42" s="5">
        <f t="array" ref="M42">if(or({attackroll;'Dice and Macros'!$F$4:$F$11;macroroll}),randbetween(1,6),M42)</f>
        <v>6</v>
      </c>
      <c r="N42" s="5">
        <f t="array" ref="N42">if(or({attackroll;'Dice and Macros'!$F$4:$F$11;macroroll}),randbetween(1,8),N42)</f>
        <v>1</v>
      </c>
      <c r="O42" s="5">
        <f t="array" ref="O42">if(or({attackroll;'Dice and Macros'!$F$4:$F$11;macroroll}),randbetween(1,10),O42)</f>
        <v>8</v>
      </c>
      <c r="P42" s="5">
        <f t="array" ref="P42">if(or({attackroll;'Dice and Macros'!$F$4:$F$11;macroroll}),randbetween(1,12),P42)</f>
        <v>3</v>
      </c>
      <c r="Q42" s="5">
        <f t="array" ref="Q42">if(or({attackroll;'Dice and Macros'!$F$4:$F$11;macroroll}),randbetween(1,20),Q42)</f>
        <v>7</v>
      </c>
      <c r="R42" s="5">
        <f t="array" ref="R42">if(or({attackroll;'Dice and Macros'!$F$4:$F$11;macroroll}),randbetween(1,100),R42)</f>
        <v>94</v>
      </c>
      <c r="S42" s="5">
        <f t="array" ref="S42">if(or({attackroll;'Dice and Macros'!$F$4:$F$11;macroroll}),randbetween(1,'Dice and Macros'!$D$11),S42)</f>
        <v>0</v>
      </c>
      <c r="U42" s="28"/>
      <c r="V42" s="3"/>
      <c r="W42" s="4"/>
      <c r="X42" s="14"/>
      <c r="Y42" s="37"/>
      <c r="Z42" s="4"/>
    </row>
    <row r="43">
      <c r="B43" s="28" t="s">
        <v>89</v>
      </c>
      <c r="C43" s="3"/>
      <c r="D43" s="4"/>
      <c r="E43" s="14">
        <f>spellcasterlevel</f>
        <v>14</v>
      </c>
      <c r="F43" s="19">
        <f>if(macroroll,randbetween(1,8)+min(5,E43),F43)</f>
        <v>12</v>
      </c>
      <c r="G43" s="4"/>
      <c r="K43" s="5"/>
      <c r="L43" s="5">
        <f t="array" ref="L43">if(or({attackroll;'Dice and Macros'!$F$4:$F$11;macroroll}),randbetween(1,4),L43)</f>
        <v>1</v>
      </c>
      <c r="M43" s="5">
        <f t="array" ref="M43">if(or({attackroll;'Dice and Macros'!$F$4:$F$11;macroroll}),randbetween(1,6),M43)</f>
        <v>3</v>
      </c>
      <c r="N43" s="5">
        <f t="array" ref="N43">if(or({attackroll;'Dice and Macros'!$F$4:$F$11;macroroll}),randbetween(1,8),N43)</f>
        <v>2</v>
      </c>
      <c r="O43" s="5">
        <f t="array" ref="O43">if(or({attackroll;'Dice and Macros'!$F$4:$F$11;macroroll}),randbetween(1,10),O43)</f>
        <v>5</v>
      </c>
      <c r="P43" s="5">
        <f t="array" ref="P43">if(or({attackroll;'Dice and Macros'!$F$4:$F$11;macroroll}),randbetween(1,12),P43)</f>
        <v>5</v>
      </c>
      <c r="Q43" s="5">
        <f t="array" ref="Q43">if(or({attackroll;'Dice and Macros'!$F$4:$F$11;macroroll}),randbetween(1,20),Q43)</f>
        <v>20</v>
      </c>
      <c r="R43" s="5">
        <f t="array" ref="R43">if(or({attackroll;'Dice and Macros'!$F$4:$F$11;macroroll}),randbetween(1,100),R43)</f>
        <v>44</v>
      </c>
      <c r="S43" s="5">
        <f t="array" ref="S43">if(or({attackroll;'Dice and Macros'!$F$4:$F$11;macroroll}),randbetween(1,'Dice and Macros'!$D$11),S43)</f>
        <v>0</v>
      </c>
      <c r="U43" s="30"/>
      <c r="V43" s="10"/>
      <c r="W43" s="11"/>
      <c r="X43" s="7"/>
      <c r="Y43" s="36"/>
      <c r="Z43" s="11"/>
    </row>
    <row r="44">
      <c r="B44" s="30" t="s">
        <v>90</v>
      </c>
      <c r="C44" s="10"/>
      <c r="D44" s="11"/>
      <c r="E44" s="7">
        <f>spellcasterlevel</f>
        <v>14</v>
      </c>
      <c r="F44" s="25">
        <f>if(macroroll,randbetween(1,8)+min(25,E44),F44)</f>
        <v>16</v>
      </c>
      <c r="G44" s="11"/>
      <c r="K44" s="5"/>
      <c r="L44" s="5">
        <f t="array" ref="L44">if(or({attackroll;'Dice and Macros'!$F$4:$F$11;macroroll}),randbetween(1,4),L44)</f>
        <v>3</v>
      </c>
      <c r="M44" s="5">
        <f t="array" ref="M44">if(or({attackroll;'Dice and Macros'!$F$4:$F$11;macroroll}),randbetween(1,6),M44)</f>
        <v>6</v>
      </c>
      <c r="N44" s="5">
        <f t="array" ref="N44">if(or({attackroll;'Dice and Macros'!$F$4:$F$11;macroroll}),randbetween(1,8),N44)</f>
        <v>4</v>
      </c>
      <c r="O44" s="5">
        <f t="array" ref="O44">if(or({attackroll;'Dice and Macros'!$F$4:$F$11;macroroll}),randbetween(1,10),O44)</f>
        <v>5</v>
      </c>
      <c r="P44" s="5">
        <f t="array" ref="P44">if(or({attackroll;'Dice and Macros'!$F$4:$F$11;macroroll}),randbetween(1,12),P44)</f>
        <v>12</v>
      </c>
      <c r="Q44" s="5">
        <f t="array" ref="Q44">if(or({attackroll;'Dice and Macros'!$F$4:$F$11;macroroll}),randbetween(1,20),Q44)</f>
        <v>14</v>
      </c>
      <c r="R44" s="5">
        <f t="array" ref="R44">if(or({attackroll;'Dice and Macros'!$F$4:$F$11;macroroll}),randbetween(1,100),R44)</f>
        <v>10</v>
      </c>
      <c r="S44" s="5">
        <f t="array" ref="S44">if(or({attackroll;'Dice and Macros'!$F$4:$F$11;macroroll}),randbetween(1,'Dice and Macros'!$D$11),S44)</f>
        <v>0</v>
      </c>
      <c r="U44" s="28"/>
      <c r="V44" s="3"/>
      <c r="W44" s="4"/>
      <c r="X44" s="14"/>
      <c r="Y44" s="37"/>
      <c r="Z44" s="4"/>
    </row>
    <row r="45">
      <c r="B45" s="28" t="s">
        <v>91</v>
      </c>
      <c r="C45" s="3"/>
      <c r="D45" s="4"/>
      <c r="E45" s="14">
        <f>spellcasterlevel</f>
        <v>14</v>
      </c>
      <c r="F45" s="19">
        <f>if(macroroll,sum(indirect("n"&amp;$K$2):indirect("n"&amp;$K$2+1))+min(10,E45),F45)</f>
        <v>22</v>
      </c>
      <c r="G45" s="4"/>
      <c r="K45" s="5"/>
      <c r="L45" s="5">
        <f t="array" ref="L45">if(or({attackroll;'Dice and Macros'!$F$4:$F$11;macroroll}),randbetween(1,4),L45)</f>
        <v>1</v>
      </c>
      <c r="M45" s="5">
        <f t="array" ref="M45">if(or({attackroll;'Dice and Macros'!$F$4:$F$11;macroroll}),randbetween(1,6),M45)</f>
        <v>1</v>
      </c>
      <c r="N45" s="5">
        <f t="array" ref="N45">if(or({attackroll;'Dice and Macros'!$F$4:$F$11;macroroll}),randbetween(1,8),N45)</f>
        <v>5</v>
      </c>
      <c r="O45" s="5">
        <f t="array" ref="O45">if(or({attackroll;'Dice and Macros'!$F$4:$F$11;macroroll}),randbetween(1,10),O45)</f>
        <v>6</v>
      </c>
      <c r="P45" s="5">
        <f t="array" ref="P45">if(or({attackroll;'Dice and Macros'!$F$4:$F$11;macroroll}),randbetween(1,12),P45)</f>
        <v>8</v>
      </c>
      <c r="Q45" s="5">
        <f t="array" ref="Q45">if(or({attackroll;'Dice and Macros'!$F$4:$F$11;macroroll}),randbetween(1,20),Q45)</f>
        <v>3</v>
      </c>
      <c r="R45" s="5">
        <f t="array" ref="R45">if(or({attackroll;'Dice and Macros'!$F$4:$F$11;macroroll}),randbetween(1,100),R45)</f>
        <v>62</v>
      </c>
      <c r="S45" s="5">
        <f t="array" ref="S45">if(or({attackroll;'Dice and Macros'!$F$4:$F$11;macroroll}),randbetween(1,'Dice and Macros'!$D$11),S45)</f>
        <v>0</v>
      </c>
      <c r="U45" s="30"/>
      <c r="V45" s="10"/>
      <c r="W45" s="11"/>
      <c r="X45" s="7"/>
      <c r="Y45" s="36"/>
      <c r="Z45" s="11"/>
    </row>
    <row r="46">
      <c r="B46" s="35" t="s">
        <v>92</v>
      </c>
      <c r="C46" s="10"/>
      <c r="D46" s="11"/>
      <c r="E46" s="24">
        <f>spellcasterlevel</f>
        <v>14</v>
      </c>
      <c r="F46" s="25">
        <f>if(macroroll,sum(indirect("n"&amp;$K$2):indirect("n"&amp;$K$2+1))+min(25,E46),F46)</f>
        <v>26</v>
      </c>
      <c r="G46" s="11"/>
      <c r="K46" s="5"/>
      <c r="L46" s="5">
        <f t="array" ref="L46">if(or({attackroll;'Dice and Macros'!$F$4:$F$11;macroroll}),randbetween(1,4),L46)</f>
        <v>3</v>
      </c>
      <c r="M46" s="5">
        <f t="array" ref="M46">if(or({attackroll;'Dice and Macros'!$F$4:$F$11;macroroll}),randbetween(1,6),M46)</f>
        <v>4</v>
      </c>
      <c r="N46" s="5">
        <f t="array" ref="N46">if(or({attackroll;'Dice and Macros'!$F$4:$F$11;macroroll}),randbetween(1,8),N46)</f>
        <v>8</v>
      </c>
      <c r="O46" s="5">
        <f t="array" ref="O46">if(or({attackroll;'Dice and Macros'!$F$4:$F$11;macroroll}),randbetween(1,10),O46)</f>
        <v>6</v>
      </c>
      <c r="P46" s="5">
        <f t="array" ref="P46">if(or({attackroll;'Dice and Macros'!$F$4:$F$11;macroroll}),randbetween(1,12),P46)</f>
        <v>11</v>
      </c>
      <c r="Q46" s="5">
        <f t="array" ref="Q46">if(or({attackroll;'Dice and Macros'!$F$4:$F$11;macroroll}),randbetween(1,20),Q46)</f>
        <v>19</v>
      </c>
      <c r="R46" s="5">
        <f t="array" ref="R46">if(or({attackroll;'Dice and Macros'!$F$4:$F$11;macroroll}),randbetween(1,100),R46)</f>
        <v>25</v>
      </c>
      <c r="S46" s="5">
        <f t="array" ref="S46">if(or({attackroll;'Dice and Macros'!$F$4:$F$11;macroroll}),randbetween(1,'Dice and Macros'!$D$11),S46)</f>
        <v>0</v>
      </c>
      <c r="U46" s="28"/>
      <c r="V46" s="3"/>
      <c r="W46" s="4"/>
      <c r="X46" s="14"/>
      <c r="Y46" s="37"/>
      <c r="Z46" s="4"/>
    </row>
    <row r="47">
      <c r="B47" s="28" t="s">
        <v>93</v>
      </c>
      <c r="C47" s="3"/>
      <c r="D47" s="4"/>
      <c r="E47" s="14">
        <f>spellcasterlevel</f>
        <v>14</v>
      </c>
      <c r="F47" s="19">
        <f>if(macroroll,sum(indirect("n"&amp;$K$2):indirect("n"&amp;$K$2+2))+min(15,E47),F47)</f>
        <v>31</v>
      </c>
      <c r="G47" s="4"/>
      <c r="K47" s="5"/>
      <c r="L47" s="5">
        <f t="array" ref="L47">if(or({attackroll;'Dice and Macros'!$F$4:$F$11;macroroll}),randbetween(1,4),L47)</f>
        <v>2</v>
      </c>
      <c r="M47" s="5">
        <f t="array" ref="M47">if(or({attackroll;'Dice and Macros'!$F$4:$F$11;macroroll}),randbetween(1,6),M47)</f>
        <v>5</v>
      </c>
      <c r="N47" s="5">
        <f t="array" ref="N47">if(or({attackroll;'Dice and Macros'!$F$4:$F$11;macroroll}),randbetween(1,8),N47)</f>
        <v>7</v>
      </c>
      <c r="O47" s="5">
        <f t="array" ref="O47">if(or({attackroll;'Dice and Macros'!$F$4:$F$11;macroroll}),randbetween(1,10),O47)</f>
        <v>6</v>
      </c>
      <c r="P47" s="5">
        <f t="array" ref="P47">if(or({attackroll;'Dice and Macros'!$F$4:$F$11;macroroll}),randbetween(1,12),P47)</f>
        <v>1</v>
      </c>
      <c r="Q47" s="5">
        <f t="array" ref="Q47">if(or({attackroll;'Dice and Macros'!$F$4:$F$11;macroroll}),randbetween(1,20),Q47)</f>
        <v>2</v>
      </c>
      <c r="R47" s="5">
        <f t="array" ref="R47">if(or({attackroll;'Dice and Macros'!$F$4:$F$11;macroroll}),randbetween(1,100),R47)</f>
        <v>81</v>
      </c>
      <c r="S47" s="5">
        <f t="array" ref="S47">if(or({attackroll;'Dice and Macros'!$F$4:$F$11;macroroll}),randbetween(1,'Dice and Macros'!$D$11),S47)</f>
        <v>0</v>
      </c>
      <c r="U47" s="30"/>
      <c r="V47" s="10"/>
      <c r="W47" s="11"/>
      <c r="X47" s="7"/>
      <c r="Y47" s="36"/>
      <c r="Z47" s="11"/>
    </row>
    <row r="48">
      <c r="B48" s="30" t="s">
        <v>94</v>
      </c>
      <c r="C48" s="10"/>
      <c r="D48" s="11"/>
      <c r="E48" s="7">
        <f>spellcasterlevel</f>
        <v>14</v>
      </c>
      <c r="F48" s="25">
        <f>if(macroroll,sum(indirect("n"&amp;$K$2):indirect("n"&amp;$K$2+2))+min(35,E48),F48)</f>
        <v>31</v>
      </c>
      <c r="G48" s="11"/>
      <c r="K48" s="5"/>
      <c r="L48" s="5">
        <f t="array" ref="L48">if(or({attackroll;'Dice and Macros'!$F$4:$F$11;macroroll}),randbetween(1,4),L48)</f>
        <v>2</v>
      </c>
      <c r="M48" s="5">
        <f t="array" ref="M48">if(or({attackroll;'Dice and Macros'!$F$4:$F$11;macroroll}),randbetween(1,6),M48)</f>
        <v>4</v>
      </c>
      <c r="N48" s="5">
        <f t="array" ref="N48">if(or({attackroll;'Dice and Macros'!$F$4:$F$11;macroroll}),randbetween(1,8),N48)</f>
        <v>1</v>
      </c>
      <c r="O48" s="5">
        <f t="array" ref="O48">if(or({attackroll;'Dice and Macros'!$F$4:$F$11;macroroll}),randbetween(1,10),O48)</f>
        <v>3</v>
      </c>
      <c r="P48" s="5">
        <f t="array" ref="P48">if(or({attackroll;'Dice and Macros'!$F$4:$F$11;macroroll}),randbetween(1,12),P48)</f>
        <v>11</v>
      </c>
      <c r="Q48" s="5">
        <f t="array" ref="Q48">if(or({attackroll;'Dice and Macros'!$F$4:$F$11;macroroll}),randbetween(1,20),Q48)</f>
        <v>18</v>
      </c>
      <c r="R48" s="5">
        <f t="array" ref="R48">if(or({attackroll;'Dice and Macros'!$F$4:$F$11;macroroll}),randbetween(1,100),R48)</f>
        <v>72</v>
      </c>
      <c r="S48" s="5">
        <f t="array" ref="S48">if(or({attackroll;'Dice and Macros'!$F$4:$F$11;macroroll}),randbetween(1,'Dice and Macros'!$D$11),S48)</f>
        <v>0</v>
      </c>
      <c r="U48" s="17"/>
      <c r="V48" s="3"/>
      <c r="W48" s="4"/>
      <c r="X48" s="38"/>
      <c r="Y48" s="39"/>
      <c r="Z48" s="4"/>
    </row>
    <row r="49">
      <c r="B49" s="28" t="s">
        <v>95</v>
      </c>
      <c r="C49" s="3"/>
      <c r="D49" s="4"/>
      <c r="E49" s="14">
        <f>spellcasterlevel</f>
        <v>14</v>
      </c>
      <c r="F49" s="40">
        <f>if(macroroll,randbetween(1,8),F49)</f>
        <v>1</v>
      </c>
      <c r="G49" s="4"/>
      <c r="K49" s="5"/>
      <c r="L49" s="5">
        <f t="array" ref="L49">if(or({attackroll;'Dice and Macros'!$F$4:$F$11;macroroll}),randbetween(1,4),L49)</f>
        <v>3</v>
      </c>
      <c r="M49" s="5">
        <f t="array" ref="M49">if(or({attackroll;'Dice and Macros'!$F$4:$F$11;macroroll}),randbetween(1,6),M49)</f>
        <v>1</v>
      </c>
      <c r="N49" s="5">
        <f t="array" ref="N49">if(or({attackroll;'Dice and Macros'!$F$4:$F$11;macroroll}),randbetween(1,8),N49)</f>
        <v>8</v>
      </c>
      <c r="O49" s="5">
        <f t="array" ref="O49">if(or({attackroll;'Dice and Macros'!$F$4:$F$11;macroroll}),randbetween(1,10),O49)</f>
        <v>9</v>
      </c>
      <c r="P49" s="5">
        <f t="array" ref="P49">if(or({attackroll;'Dice and Macros'!$F$4:$F$11;macroroll}),randbetween(1,12),P49)</f>
        <v>1</v>
      </c>
      <c r="Q49" s="5">
        <f t="array" ref="Q49">if(or({attackroll;'Dice and Macros'!$F$4:$F$11;macroroll}),randbetween(1,20),Q49)</f>
        <v>17</v>
      </c>
      <c r="R49" s="5">
        <f t="array" ref="R49">if(or({attackroll;'Dice and Macros'!$F$4:$F$11;macroroll}),randbetween(1,100),R49)</f>
        <v>77</v>
      </c>
      <c r="S49" s="5">
        <f t="array" ref="S49">if(or({attackroll;'Dice and Macros'!$F$4:$F$11;macroroll}),randbetween(1,'Dice and Macros'!$D$11),S49)</f>
        <v>0</v>
      </c>
      <c r="U49" s="30"/>
      <c r="V49" s="10"/>
      <c r="W49" s="11"/>
      <c r="X49" s="7"/>
      <c r="Y49" s="36"/>
      <c r="Z49" s="11"/>
    </row>
    <row r="50">
      <c r="B50" s="30" t="s">
        <v>96</v>
      </c>
      <c r="C50" s="10"/>
      <c r="D50" s="11"/>
      <c r="E50" s="7">
        <f>spellcasterlevel</f>
        <v>14</v>
      </c>
      <c r="F50" s="25">
        <f>if(macroroll,sum(indirect("m"&amp;$K$2):indirect("m"&amp;$K$2+min(19,E50-1))),F50)</f>
        <v>38</v>
      </c>
      <c r="G50" s="11"/>
      <c r="K50" s="5"/>
      <c r="L50" s="5">
        <f t="array" ref="L50">if(or({attackroll;'Dice and Macros'!$F$4:$F$11;macroroll}),randbetween(1,4),L50)</f>
        <v>4</v>
      </c>
      <c r="M50" s="5">
        <f t="array" ref="M50">if(or({attackroll;'Dice and Macros'!$F$4:$F$11;macroroll}),randbetween(1,6),M50)</f>
        <v>4</v>
      </c>
      <c r="N50" s="5">
        <f t="array" ref="N50">if(or({attackroll;'Dice and Macros'!$F$4:$F$11;macroroll}),randbetween(1,8),N50)</f>
        <v>8</v>
      </c>
      <c r="O50" s="5">
        <f t="array" ref="O50">if(or({attackroll;'Dice and Macros'!$F$4:$F$11;macroroll}),randbetween(1,10),O50)</f>
        <v>5</v>
      </c>
      <c r="P50" s="5">
        <f t="array" ref="P50">if(or({attackroll;'Dice and Macros'!$F$4:$F$11;macroroll}),randbetween(1,12),P50)</f>
        <v>8</v>
      </c>
      <c r="Q50" s="5">
        <f t="array" ref="Q50">if(or({attackroll;'Dice and Macros'!$F$4:$F$11;macroroll}),randbetween(1,20),Q50)</f>
        <v>14</v>
      </c>
      <c r="R50" s="5">
        <f t="array" ref="R50">if(or({attackroll;'Dice and Macros'!$F$4:$F$11;macroroll}),randbetween(1,100),R50)</f>
        <v>25</v>
      </c>
      <c r="S50" s="5">
        <f t="array" ref="S50">if(or({attackroll;'Dice and Macros'!$F$4:$F$11;macroroll}),randbetween(1,'Dice and Macros'!$D$11),S50)</f>
        <v>0</v>
      </c>
      <c r="U50" s="28"/>
      <c r="V50" s="3"/>
      <c r="W50" s="4"/>
      <c r="X50" s="14"/>
      <c r="Y50" s="37"/>
      <c r="Z50" s="4"/>
    </row>
    <row r="51">
      <c r="B51" s="28" t="s">
        <v>97</v>
      </c>
      <c r="C51" s="3"/>
      <c r="D51" s="4"/>
      <c r="E51" s="14">
        <f>spellcasterlevel</f>
        <v>14</v>
      </c>
      <c r="F51" s="19">
        <f>if(macroroll,sum(indirect("m"&amp;$K$2):indirect("m"&amp;$K$2+9)),F51)</f>
        <v>26</v>
      </c>
      <c r="G51" s="4"/>
      <c r="K51" s="5"/>
      <c r="L51" s="5">
        <f t="array" ref="L51">if(or({attackroll;'Dice and Macros'!$F$4:$F$11;macroroll}),randbetween(1,4),L51)</f>
        <v>4</v>
      </c>
      <c r="M51" s="5">
        <f t="array" ref="M51">if(or({attackroll;'Dice and Macros'!$F$4:$F$11;macroroll}),randbetween(1,6),M51)</f>
        <v>1</v>
      </c>
      <c r="N51" s="5">
        <f t="array" ref="N51">if(or({attackroll;'Dice and Macros'!$F$4:$F$11;macroroll}),randbetween(1,8),N51)</f>
        <v>8</v>
      </c>
      <c r="O51" s="5">
        <f t="array" ref="O51">if(or({attackroll;'Dice and Macros'!$F$4:$F$11;macroroll}),randbetween(1,10),O51)</f>
        <v>1</v>
      </c>
      <c r="P51" s="5">
        <f t="array" ref="P51">if(or({attackroll;'Dice and Macros'!$F$4:$F$11;macroroll}),randbetween(1,12),P51)</f>
        <v>7</v>
      </c>
      <c r="Q51" s="5">
        <f t="array" ref="Q51">if(or({attackroll;'Dice and Macros'!$F$4:$F$11;macroroll}),randbetween(1,20),Q51)</f>
        <v>15</v>
      </c>
      <c r="R51" s="5">
        <f t="array" ref="R51">if(or({attackroll;'Dice and Macros'!$F$4:$F$11;macroroll}),randbetween(1,100),R51)</f>
        <v>91</v>
      </c>
      <c r="S51" s="5">
        <f t="array" ref="S51">if(or({attackroll;'Dice and Macros'!$F$4:$F$11;macroroll}),randbetween(1,'Dice and Macros'!$D$11),S51)</f>
        <v>0</v>
      </c>
      <c r="U51" s="30"/>
      <c r="V51" s="10"/>
      <c r="W51" s="11"/>
      <c r="X51" s="7"/>
      <c r="Y51" s="41"/>
      <c r="Z51" s="11"/>
    </row>
    <row r="52">
      <c r="B52" s="30" t="s">
        <v>98</v>
      </c>
      <c r="C52" s="10"/>
      <c r="D52" s="11"/>
      <c r="E52" s="7">
        <f>spellcasterlevel</f>
        <v>14</v>
      </c>
      <c r="F52" s="25">
        <f>if(macroroll,sum(indirect("m"&amp;$K$2):indirect("m"&amp;$K$2+min(39,(E52*2)-1))),F52)</f>
        <v>101</v>
      </c>
      <c r="G52" s="11"/>
      <c r="K52" s="5"/>
      <c r="L52" s="5">
        <f t="array" ref="L52">if(or({attackroll;'Dice and Macros'!$F$4:$F$11;macroroll}),randbetween(1,4),L52)</f>
        <v>3</v>
      </c>
      <c r="M52" s="5">
        <f t="array" ref="M52">if(or({attackroll;'Dice and Macros'!$F$4:$F$11;macroroll}),randbetween(1,6),M52)</f>
        <v>6</v>
      </c>
      <c r="N52" s="5">
        <f t="array" ref="N52">if(or({attackroll;'Dice and Macros'!$F$4:$F$11;macroroll}),randbetween(1,8),N52)</f>
        <v>1</v>
      </c>
      <c r="O52" s="5">
        <f t="array" ref="O52">if(or({attackroll;'Dice and Macros'!$F$4:$F$11;macroroll}),randbetween(1,10),O52)</f>
        <v>5</v>
      </c>
      <c r="P52" s="5">
        <f t="array" ref="P52">if(or({attackroll;'Dice and Macros'!$F$4:$F$11;macroroll}),randbetween(1,12),P52)</f>
        <v>5</v>
      </c>
      <c r="Q52" s="5">
        <f t="array" ref="Q52">if(or({attackroll;'Dice and Macros'!$F$4:$F$11;macroroll}),randbetween(1,20),Q52)</f>
        <v>5</v>
      </c>
      <c r="R52" s="5">
        <f t="array" ref="R52">if(or({attackroll;'Dice and Macros'!$F$4:$F$11;macroroll}),randbetween(1,100),R52)</f>
        <v>65</v>
      </c>
      <c r="S52" s="5">
        <f t="array" ref="S52">if(or({attackroll;'Dice and Macros'!$F$4:$F$11;macroroll}),randbetween(1,'Dice and Macros'!$D$11),S52)</f>
        <v>0</v>
      </c>
      <c r="U52" s="28"/>
      <c r="V52" s="3"/>
      <c r="W52" s="4"/>
      <c r="X52" s="14"/>
      <c r="Y52" s="37"/>
      <c r="Z52" s="4"/>
    </row>
    <row r="53">
      <c r="B53" s="28" t="s">
        <v>99</v>
      </c>
      <c r="C53" s="3"/>
      <c r="D53" s="4"/>
      <c r="E53" s="14">
        <f>spellcasterlevel</f>
        <v>14</v>
      </c>
      <c r="F53" s="19">
        <f>if(macroroll,sum(indirect("m"&amp;$K$2):indirect("m"&amp;$K$2+4)),F53)</f>
        <v>12</v>
      </c>
      <c r="G53" s="4"/>
      <c r="K53" s="5"/>
      <c r="L53" s="5">
        <f t="array" ref="L53">if(or({attackroll;'Dice and Macros'!$F$4:$F$11;macroroll}),randbetween(1,4),L53)</f>
        <v>1</v>
      </c>
      <c r="M53" s="5">
        <f t="array" ref="M53">if(or({attackroll;'Dice and Macros'!$F$4:$F$11;macroroll}),randbetween(1,6),M53)</f>
        <v>2</v>
      </c>
      <c r="N53" s="5">
        <f t="array" ref="N53">if(or({attackroll;'Dice and Macros'!$F$4:$F$11;macroroll}),randbetween(1,8),N53)</f>
        <v>6</v>
      </c>
      <c r="O53" s="5">
        <f t="array" ref="O53">if(or({attackroll;'Dice and Macros'!$F$4:$F$11;macroroll}),randbetween(1,10),O53)</f>
        <v>3</v>
      </c>
      <c r="P53" s="5">
        <f t="array" ref="P53">if(or({attackroll;'Dice and Macros'!$F$4:$F$11;macroroll}),randbetween(1,12),P53)</f>
        <v>4</v>
      </c>
      <c r="Q53" s="5">
        <f t="array" ref="Q53">if(or({attackroll;'Dice and Macros'!$F$4:$F$11;macroroll}),randbetween(1,20),Q53)</f>
        <v>8</v>
      </c>
      <c r="R53" s="5">
        <f t="array" ref="R53">if(or({attackroll;'Dice and Macros'!$F$4:$F$11;macroroll}),randbetween(1,100),R53)</f>
        <v>48</v>
      </c>
      <c r="S53" s="5">
        <f t="array" ref="S53">if(or({attackroll;'Dice and Macros'!$F$4:$F$11;macroroll}),randbetween(1,'Dice and Macros'!$D$11),S53)</f>
        <v>0</v>
      </c>
      <c r="U53" s="35"/>
      <c r="V53" s="10"/>
      <c r="W53" s="11"/>
      <c r="X53" s="24"/>
      <c r="Y53" s="25"/>
      <c r="Z53" s="11"/>
    </row>
    <row r="54">
      <c r="B54" s="30" t="s">
        <v>100</v>
      </c>
      <c r="C54" s="10"/>
      <c r="D54" s="11"/>
      <c r="E54" s="7">
        <f>spellcasterlevel</f>
        <v>14</v>
      </c>
      <c r="F54" s="25">
        <f>if(macroroll,randbetween(1,20)+min(10,E54),F54)</f>
        <v>28</v>
      </c>
      <c r="G54" s="11"/>
      <c r="K54" s="5"/>
      <c r="L54" s="5">
        <f t="array" ref="L54">if(or({attackroll;'Dice and Macros'!$F$4:$F$11;macroroll}),randbetween(1,4),L54)</f>
        <v>4</v>
      </c>
      <c r="M54" s="5">
        <f t="array" ref="M54">if(or({attackroll;'Dice and Macros'!$F$4:$F$11;macroroll}),randbetween(1,6),M54)</f>
        <v>2</v>
      </c>
      <c r="N54" s="5">
        <f t="array" ref="N54">if(or({attackroll;'Dice and Macros'!$F$4:$F$11;macroroll}),randbetween(1,8),N54)</f>
        <v>7</v>
      </c>
      <c r="O54" s="5">
        <f t="array" ref="O54">if(or({attackroll;'Dice and Macros'!$F$4:$F$11;macroroll}),randbetween(1,10),O54)</f>
        <v>4</v>
      </c>
      <c r="P54" s="5">
        <f t="array" ref="P54">if(or({attackroll;'Dice and Macros'!$F$4:$F$11;macroroll}),randbetween(1,12),P54)</f>
        <v>11</v>
      </c>
      <c r="Q54" s="5">
        <f t="array" ref="Q54">if(or({attackroll;'Dice and Macros'!$F$4:$F$11;macroroll}),randbetween(1,20),Q54)</f>
        <v>7</v>
      </c>
      <c r="R54" s="5">
        <f t="array" ref="R54">if(or({attackroll;'Dice and Macros'!$F$4:$F$11;macroroll}),randbetween(1,100),R54)</f>
        <v>48</v>
      </c>
      <c r="S54" s="5">
        <f t="array" ref="S54">if(or({attackroll;'Dice and Macros'!$F$4:$F$11;macroroll}),randbetween(1,'Dice and Macros'!$D$11),S54)</f>
        <v>0</v>
      </c>
      <c r="U54" s="28"/>
      <c r="V54" s="3"/>
      <c r="W54" s="4"/>
      <c r="X54" s="14"/>
      <c r="Y54" s="19"/>
      <c r="Z54" s="4"/>
    </row>
    <row r="55">
      <c r="B55" s="28" t="s">
        <v>101</v>
      </c>
      <c r="C55" s="3"/>
      <c r="D55" s="4"/>
      <c r="E55" s="14">
        <f>spellcasterlevel</f>
        <v>14</v>
      </c>
      <c r="F55" s="19">
        <f>if(macroroll,randbetween(1,20)+min(20,E55),F55)</f>
        <v>33</v>
      </c>
      <c r="G55" s="4"/>
      <c r="K55" s="5"/>
      <c r="L55" s="5">
        <f t="array" ref="L55">if(or({attackroll;'Dice and Macros'!$F$4:$F$11;macroroll}),randbetween(1,4),L55)</f>
        <v>2</v>
      </c>
      <c r="M55" s="5">
        <f t="array" ref="M55">if(or({attackroll;'Dice and Macros'!$F$4:$F$11;macroroll}),randbetween(1,6),M55)</f>
        <v>1</v>
      </c>
      <c r="N55" s="5">
        <f t="array" ref="N55">if(or({attackroll;'Dice and Macros'!$F$4:$F$11;macroroll}),randbetween(1,8),N55)</f>
        <v>4</v>
      </c>
      <c r="O55" s="5">
        <f t="array" ref="O55">if(or({attackroll;'Dice and Macros'!$F$4:$F$11;macroroll}),randbetween(1,10),O55)</f>
        <v>9</v>
      </c>
      <c r="P55" s="5">
        <f t="array" ref="P55">if(or({attackroll;'Dice and Macros'!$F$4:$F$11;macroroll}),randbetween(1,12),P55)</f>
        <v>7</v>
      </c>
      <c r="Q55" s="5">
        <f t="array" ref="Q55">if(or({attackroll;'Dice and Macros'!$F$4:$F$11;macroroll}),randbetween(1,20),Q55)</f>
        <v>20</v>
      </c>
      <c r="R55" s="5">
        <f t="array" ref="R55">if(or({attackroll;'Dice and Macros'!$F$4:$F$11;macroroll}),randbetween(1,100),R55)</f>
        <v>24</v>
      </c>
      <c r="S55" s="5">
        <f t="array" ref="S55">if(or({attackroll;'Dice and Macros'!$F$4:$F$11;macroroll}),randbetween(1,'Dice and Macros'!$D$11),S55)</f>
        <v>0</v>
      </c>
      <c r="U55" s="30"/>
      <c r="V55" s="10"/>
      <c r="W55" s="11"/>
      <c r="X55" s="7"/>
      <c r="Y55" s="36"/>
      <c r="Z55" s="11"/>
    </row>
    <row r="56">
      <c r="B56" s="30" t="s">
        <v>102</v>
      </c>
      <c r="C56" s="10"/>
      <c r="D56" s="11"/>
      <c r="E56" s="7">
        <f>spellcasterlevel</f>
        <v>14</v>
      </c>
      <c r="F56" s="25">
        <f>if(macroroll,randbetween(1,6),F56)</f>
        <v>2</v>
      </c>
      <c r="G56" s="11"/>
      <c r="K56" s="5"/>
      <c r="L56" s="5">
        <f t="array" ref="L56">if(or({attackroll;'Dice and Macros'!$F$4:$F$11;macroroll}),randbetween(1,4),L56)</f>
        <v>2</v>
      </c>
      <c r="M56" s="5">
        <f t="array" ref="M56">if(or({attackroll;'Dice and Macros'!$F$4:$F$11;macroroll}),randbetween(1,6),M56)</f>
        <v>2</v>
      </c>
      <c r="N56" s="5">
        <f t="array" ref="N56">if(or({attackroll;'Dice and Macros'!$F$4:$F$11;macroroll}),randbetween(1,8),N56)</f>
        <v>3</v>
      </c>
      <c r="O56" s="5">
        <f t="array" ref="O56">if(or({attackroll;'Dice and Macros'!$F$4:$F$11;macroroll}),randbetween(1,10),O56)</f>
        <v>4</v>
      </c>
      <c r="P56" s="5">
        <f t="array" ref="P56">if(or({attackroll;'Dice and Macros'!$F$4:$F$11;macroroll}),randbetween(1,12),P56)</f>
        <v>4</v>
      </c>
      <c r="Q56" s="5">
        <f t="array" ref="Q56">if(or({attackroll;'Dice and Macros'!$F$4:$F$11;macroroll}),randbetween(1,20),Q56)</f>
        <v>5</v>
      </c>
      <c r="R56" s="5">
        <f t="array" ref="R56">if(or({attackroll;'Dice and Macros'!$F$4:$F$11;macroroll}),randbetween(1,100),R56)</f>
        <v>38</v>
      </c>
      <c r="S56" s="5">
        <f t="array" ref="S56">if(or({attackroll;'Dice and Macros'!$F$4:$F$11;macroroll}),randbetween(1,'Dice and Macros'!$D$11),S56)</f>
        <v>0</v>
      </c>
      <c r="U56" s="28"/>
      <c r="V56" s="3"/>
      <c r="W56" s="4"/>
      <c r="X56" s="14"/>
      <c r="Y56" s="19"/>
      <c r="Z56" s="4"/>
    </row>
    <row r="57">
      <c r="B57" s="28" t="s">
        <v>103</v>
      </c>
      <c r="C57" s="3"/>
      <c r="D57" s="4"/>
      <c r="E57" s="14">
        <f>spellcasterlevel</f>
        <v>14</v>
      </c>
      <c r="F57" s="19">
        <f>if(macroroll,randbetween(1,100),F57)</f>
        <v>76</v>
      </c>
      <c r="G57" s="4"/>
      <c r="K57" s="5"/>
      <c r="L57" s="5">
        <f t="array" ref="L57">if(or({attackroll;'Dice and Macros'!$F$4:$F$11;macroroll}),randbetween(1,4),L57)</f>
        <v>1</v>
      </c>
      <c r="M57" s="5">
        <f t="array" ref="M57">if(or({attackroll;'Dice and Macros'!$F$4:$F$11;macroroll}),randbetween(1,6),M57)</f>
        <v>5</v>
      </c>
      <c r="N57" s="5">
        <f t="array" ref="N57">if(or({attackroll;'Dice and Macros'!$F$4:$F$11;macroroll}),randbetween(1,8),N57)</f>
        <v>2</v>
      </c>
      <c r="O57" s="5">
        <f t="array" ref="O57">if(or({attackroll;'Dice and Macros'!$F$4:$F$11;macroroll}),randbetween(1,10),O57)</f>
        <v>3</v>
      </c>
      <c r="P57" s="5">
        <f t="array" ref="P57">if(or({attackroll;'Dice and Macros'!$F$4:$F$11;macroroll}),randbetween(1,12),P57)</f>
        <v>9</v>
      </c>
      <c r="Q57" s="5">
        <f t="array" ref="Q57">if(or({attackroll;'Dice and Macros'!$F$4:$F$11;macroroll}),randbetween(1,20),Q57)</f>
        <v>18</v>
      </c>
      <c r="R57" s="5">
        <f t="array" ref="R57">if(or({attackroll;'Dice and Macros'!$F$4:$F$11;macroroll}),randbetween(1,100),R57)</f>
        <v>49</v>
      </c>
      <c r="S57" s="5">
        <f t="array" ref="S57">if(or({attackroll;'Dice and Macros'!$F$4:$F$11;macroroll}),randbetween(1,'Dice and Macros'!$D$11),S57)</f>
        <v>0</v>
      </c>
      <c r="U57" s="30"/>
      <c r="V57" s="10"/>
      <c r="W57" s="11"/>
      <c r="X57" s="7"/>
      <c r="Y57" s="36"/>
      <c r="Z57" s="11"/>
    </row>
    <row r="58">
      <c r="B58" s="30" t="s">
        <v>104</v>
      </c>
      <c r="C58" s="10"/>
      <c r="D58" s="11"/>
      <c r="E58" s="7">
        <f>spellcasterlevel</f>
        <v>14</v>
      </c>
      <c r="F58" s="25">
        <f>if(macroroll,sum(indirect("m"&amp;$K$2):indirect("m"&amp;$K$2+7)),F58)</f>
        <v>23</v>
      </c>
      <c r="G58" s="11"/>
      <c r="K58" s="5"/>
      <c r="L58" s="5">
        <f t="array" ref="L58">if(or({attackroll;'Dice and Macros'!$F$4:$F$11;macroroll}),randbetween(1,4),L58)</f>
        <v>3</v>
      </c>
      <c r="M58" s="5">
        <f t="array" ref="M58">if(or({attackroll;'Dice and Macros'!$F$4:$F$11;macroroll}),randbetween(1,6),M58)</f>
        <v>2</v>
      </c>
      <c r="N58" s="5">
        <f t="array" ref="N58">if(or({attackroll;'Dice and Macros'!$F$4:$F$11;macroroll}),randbetween(1,8),N58)</f>
        <v>3</v>
      </c>
      <c r="O58" s="5">
        <f t="array" ref="O58">if(or({attackroll;'Dice and Macros'!$F$4:$F$11;macroroll}),randbetween(1,10),O58)</f>
        <v>3</v>
      </c>
      <c r="P58" s="5">
        <f t="array" ref="P58">if(or({attackroll;'Dice and Macros'!$F$4:$F$11;macroroll}),randbetween(1,12),P58)</f>
        <v>5</v>
      </c>
      <c r="Q58" s="5">
        <f t="array" ref="Q58">if(or({attackroll;'Dice and Macros'!$F$4:$F$11;macroroll}),randbetween(1,20),Q58)</f>
        <v>9</v>
      </c>
      <c r="R58" s="5">
        <f t="array" ref="R58">if(or({attackroll;'Dice and Macros'!$F$4:$F$11;macroroll}),randbetween(1,100),R58)</f>
        <v>59</v>
      </c>
      <c r="S58" s="5">
        <f t="array" ref="S58">if(or({attackroll;'Dice and Macros'!$F$4:$F$11;macroroll}),randbetween(1,'Dice and Macros'!$D$11),S58)</f>
        <v>0</v>
      </c>
      <c r="U58" s="28"/>
      <c r="V58" s="3"/>
      <c r="W58" s="4"/>
      <c r="X58" s="14"/>
      <c r="Y58" s="19"/>
      <c r="Z58" s="4"/>
    </row>
    <row r="59">
      <c r="B59" s="28" t="s">
        <v>105</v>
      </c>
      <c r="C59" s="3"/>
      <c r="D59" s="4"/>
      <c r="E59" s="14">
        <f>spellcasterlevel</f>
        <v>14</v>
      </c>
      <c r="F59" s="19" t="str">
        <f>if(macroroll,sum(indirect("l"&amp;$K$2):indirect("l"&amp;$K$2+1))&amp;" Large, "&amp;randbetween(1,4)&amp;" Huge, 1 Greater",F59)</f>
        <v>8 Large, 2 Huge, 1 Greater</v>
      </c>
      <c r="G59" s="4"/>
      <c r="K59" s="5"/>
      <c r="L59" s="5">
        <f t="array" ref="L59">if(or({attackroll;'Dice and Macros'!$F$4:$F$11;macroroll}),randbetween(1,4),L59)</f>
        <v>4</v>
      </c>
      <c r="M59" s="5">
        <f t="array" ref="M59">if(or({attackroll;'Dice and Macros'!$F$4:$F$11;macroroll}),randbetween(1,6),M59)</f>
        <v>1</v>
      </c>
      <c r="N59" s="5">
        <f t="array" ref="N59">if(or({attackroll;'Dice and Macros'!$F$4:$F$11;macroroll}),randbetween(1,8),N59)</f>
        <v>7</v>
      </c>
      <c r="O59" s="5">
        <f t="array" ref="O59">if(or({attackroll;'Dice and Macros'!$F$4:$F$11;macroroll}),randbetween(1,10),O59)</f>
        <v>4</v>
      </c>
      <c r="P59" s="5">
        <f t="array" ref="P59">if(or({attackroll;'Dice and Macros'!$F$4:$F$11;macroroll}),randbetween(1,12),P59)</f>
        <v>5</v>
      </c>
      <c r="Q59" s="5">
        <f t="array" ref="Q59">if(or({attackroll;'Dice and Macros'!$F$4:$F$11;macroroll}),randbetween(1,20),Q59)</f>
        <v>16</v>
      </c>
      <c r="R59" s="5">
        <f t="array" ref="R59">if(or({attackroll;'Dice and Macros'!$F$4:$F$11;macroroll}),randbetween(1,100),R59)</f>
        <v>50</v>
      </c>
      <c r="S59" s="5">
        <f t="array" ref="S59">if(or({attackroll;'Dice and Macros'!$F$4:$F$11;macroroll}),randbetween(1,'Dice and Macros'!$D$11),S59)</f>
        <v>0</v>
      </c>
      <c r="U59" s="30"/>
      <c r="V59" s="10"/>
      <c r="W59" s="11"/>
      <c r="X59" s="7"/>
      <c r="Y59" s="25"/>
      <c r="Z59" s="11"/>
    </row>
    <row r="60">
      <c r="B60" s="30" t="s">
        <v>106</v>
      </c>
      <c r="C60" s="10"/>
      <c r="D60" s="11"/>
      <c r="E60" s="7">
        <f>spellcasterlevel</f>
        <v>14</v>
      </c>
      <c r="F60" s="25">
        <f>if(macroroll,sum(indirect("l"&amp;$K$2):indirect("l"&amp;$K$2+1)),F60)</f>
        <v>8</v>
      </c>
      <c r="G60" s="11"/>
      <c r="K60" s="5"/>
      <c r="L60" s="5">
        <f t="array" ref="L60">if(or({attackroll;'Dice and Macros'!$F$4:$F$11;macroroll}),randbetween(1,4),L60)</f>
        <v>4</v>
      </c>
      <c r="M60" s="5">
        <f t="array" ref="M60">if(or({attackroll;'Dice and Macros'!$F$4:$F$11;macroroll}),randbetween(1,6),M60)</f>
        <v>4</v>
      </c>
      <c r="N60" s="5">
        <f t="array" ref="N60">if(or({attackroll;'Dice and Macros'!$F$4:$F$11;macroroll}),randbetween(1,8),N60)</f>
        <v>7</v>
      </c>
      <c r="O60" s="5">
        <f t="array" ref="O60">if(or({attackroll;'Dice and Macros'!$F$4:$F$11;macroroll}),randbetween(1,10),O60)</f>
        <v>8</v>
      </c>
      <c r="P60" s="5">
        <f t="array" ref="P60">if(or({attackroll;'Dice and Macros'!$F$4:$F$11;macroroll}),randbetween(1,12),P60)</f>
        <v>6</v>
      </c>
      <c r="Q60" s="5">
        <f t="array" ref="Q60">if(or({attackroll;'Dice and Macros'!$F$4:$F$11;macroroll}),randbetween(1,20),Q60)</f>
        <v>7</v>
      </c>
      <c r="R60" s="5">
        <f t="array" ref="R60">if(or({attackroll;'Dice and Macros'!$F$4:$F$11;macroroll}),randbetween(1,100),R60)</f>
        <v>84</v>
      </c>
      <c r="S60" s="5">
        <f t="array" ref="S60">if(or({attackroll;'Dice and Macros'!$F$4:$F$11;macroroll}),randbetween(1,'Dice and Macros'!$D$11),S60)</f>
        <v>0</v>
      </c>
      <c r="U60" s="28"/>
      <c r="V60" s="3"/>
      <c r="W60" s="4"/>
      <c r="X60" s="14"/>
      <c r="Y60" s="37"/>
      <c r="Z60" s="4"/>
    </row>
    <row r="61">
      <c r="B61" s="28" t="s">
        <v>107</v>
      </c>
      <c r="C61" s="3"/>
      <c r="D61" s="4"/>
      <c r="E61" s="14">
        <f>spellcasterlevel</f>
        <v>14</v>
      </c>
      <c r="F61" s="19">
        <f>if(macroroll,randbetween(1,4),F61)</f>
        <v>3</v>
      </c>
      <c r="G61" s="4"/>
      <c r="K61" s="5"/>
      <c r="L61" s="5">
        <f t="array" ref="L61">if(or({attackroll;'Dice and Macros'!$F$4:$F$11;macroroll}),randbetween(1,4),L61)</f>
        <v>3</v>
      </c>
      <c r="M61" s="5">
        <f t="array" ref="M61">if(or({attackroll;'Dice and Macros'!$F$4:$F$11;macroroll}),randbetween(1,6),M61)</f>
        <v>5</v>
      </c>
      <c r="N61" s="5">
        <f t="array" ref="N61">if(or({attackroll;'Dice and Macros'!$F$4:$F$11;macroroll}),randbetween(1,8),N61)</f>
        <v>1</v>
      </c>
      <c r="O61" s="5">
        <f t="array" ref="O61">if(or({attackroll;'Dice and Macros'!$F$4:$F$11;macroroll}),randbetween(1,10),O61)</f>
        <v>9</v>
      </c>
      <c r="P61" s="5">
        <f t="array" ref="P61">if(or({attackroll;'Dice and Macros'!$F$4:$F$11;macroroll}),randbetween(1,12),P61)</f>
        <v>12</v>
      </c>
      <c r="Q61" s="5">
        <f t="array" ref="Q61">if(or({attackroll;'Dice and Macros'!$F$4:$F$11;macroroll}),randbetween(1,20),Q61)</f>
        <v>5</v>
      </c>
      <c r="R61" s="5">
        <f t="array" ref="R61">if(or({attackroll;'Dice and Macros'!$F$4:$F$11;macroroll}),randbetween(1,100),R61)</f>
        <v>2</v>
      </c>
      <c r="S61" s="5">
        <f t="array" ref="S61">if(or({attackroll;'Dice and Macros'!$F$4:$F$11;macroroll}),randbetween(1,'Dice and Macros'!$D$11),S61)</f>
        <v>0</v>
      </c>
      <c r="U61" s="30"/>
      <c r="V61" s="10"/>
      <c r="W61" s="11"/>
      <c r="X61" s="7"/>
      <c r="Y61" s="36"/>
      <c r="Z61" s="11"/>
    </row>
    <row r="62">
      <c r="B62" s="35" t="s">
        <v>108</v>
      </c>
      <c r="C62" s="10"/>
      <c r="D62" s="11"/>
      <c r="E62" s="42">
        <f>spellcasterlevel</f>
        <v>14</v>
      </c>
      <c r="F62" s="43">
        <f>if(macroroll,randbetween(1,3),F62)</f>
        <v>3</v>
      </c>
      <c r="G62" s="11"/>
      <c r="K62" s="5"/>
      <c r="L62" s="5">
        <f t="array" ref="L62">if(or({attackroll;'Dice and Macros'!$F$4:$F$11;macroroll}),randbetween(1,4),L62)</f>
        <v>2</v>
      </c>
      <c r="M62" s="5">
        <f t="array" ref="M62">if(or({attackroll;'Dice and Macros'!$F$4:$F$11;macroroll}),randbetween(1,6),M62)</f>
        <v>1</v>
      </c>
      <c r="N62" s="5">
        <f t="array" ref="N62">if(or({attackroll;'Dice and Macros'!$F$4:$F$11;macroroll}),randbetween(1,8),N62)</f>
        <v>8</v>
      </c>
      <c r="O62" s="5">
        <f t="array" ref="O62">if(or({attackroll;'Dice and Macros'!$F$4:$F$11;macroroll}),randbetween(1,10),O62)</f>
        <v>10</v>
      </c>
      <c r="P62" s="5">
        <f t="array" ref="P62">if(or({attackroll;'Dice and Macros'!$F$4:$F$11;macroroll}),randbetween(1,12),P62)</f>
        <v>10</v>
      </c>
      <c r="Q62" s="5">
        <f t="array" ref="Q62">if(or({attackroll;'Dice and Macros'!$F$4:$F$11;macroroll}),randbetween(1,20),Q62)</f>
        <v>1</v>
      </c>
      <c r="R62" s="5">
        <f t="array" ref="R62">if(or({attackroll;'Dice and Macros'!$F$4:$F$11;macroroll}),randbetween(1,100),R62)</f>
        <v>32</v>
      </c>
      <c r="S62" s="5">
        <f t="array" ref="S62">if(or({attackroll;'Dice and Macros'!$F$4:$F$11;macroroll}),randbetween(1,'Dice and Macros'!$D$11),S62)</f>
        <v>0</v>
      </c>
      <c r="U62" s="28"/>
      <c r="V62" s="3"/>
      <c r="W62" s="4"/>
      <c r="X62" s="14"/>
      <c r="Y62" s="37"/>
      <c r="Z62" s="4"/>
    </row>
    <row r="63">
      <c r="B63" s="28" t="s">
        <v>109</v>
      </c>
      <c r="C63" s="3"/>
      <c r="D63" s="4"/>
      <c r="E63" s="14">
        <f>spellcasterlevel</f>
        <v>14</v>
      </c>
      <c r="F63" s="19">
        <f>if(macroroll,sum(indirect("m"&amp;$K$2):indirect("m"&amp;$K$2+5)),F63)</f>
        <v>14</v>
      </c>
      <c r="G63" s="4"/>
      <c r="K63" s="5"/>
      <c r="L63" s="5">
        <f t="array" ref="L63">if(or({attackroll;'Dice and Macros'!$F$4:$F$11;macroroll}),randbetween(1,4),L63)</f>
        <v>2</v>
      </c>
      <c r="M63" s="5">
        <f t="array" ref="M63">if(or({attackroll;'Dice and Macros'!$F$4:$F$11;macroroll}),randbetween(1,6),M63)</f>
        <v>2</v>
      </c>
      <c r="N63" s="5">
        <f t="array" ref="N63">if(or({attackroll;'Dice and Macros'!$F$4:$F$11;macroroll}),randbetween(1,8),N63)</f>
        <v>8</v>
      </c>
      <c r="O63" s="5">
        <f t="array" ref="O63">if(or({attackroll;'Dice and Macros'!$F$4:$F$11;macroroll}),randbetween(1,10),O63)</f>
        <v>4</v>
      </c>
      <c r="P63" s="5">
        <f t="array" ref="P63">if(or({attackroll;'Dice and Macros'!$F$4:$F$11;macroroll}),randbetween(1,12),P63)</f>
        <v>12</v>
      </c>
      <c r="Q63" s="5">
        <f t="array" ref="Q63">if(or({attackroll;'Dice and Macros'!$F$4:$F$11;macroroll}),randbetween(1,20),Q63)</f>
        <v>20</v>
      </c>
      <c r="R63" s="5">
        <f t="array" ref="R63">if(or({attackroll;'Dice and Macros'!$F$4:$F$11;macroroll}),randbetween(1,100),R63)</f>
        <v>34</v>
      </c>
      <c r="S63" s="5">
        <f t="array" ref="S63">if(or({attackroll;'Dice and Macros'!$F$4:$F$11;macroroll}),randbetween(1,'Dice and Macros'!$D$11),S63)</f>
        <v>0</v>
      </c>
      <c r="U63" s="30"/>
      <c r="V63" s="10"/>
      <c r="W63" s="11"/>
      <c r="X63" s="7"/>
      <c r="Y63" s="36"/>
      <c r="Z63" s="11"/>
    </row>
    <row r="64">
      <c r="B64" s="30" t="s">
        <v>110</v>
      </c>
      <c r="C64" s="10"/>
      <c r="D64" s="11"/>
      <c r="E64" s="7">
        <f>spellcasterlevel</f>
        <v>14</v>
      </c>
      <c r="F64" s="25">
        <f>if(macroroll,randbetween(1,4),F64)</f>
        <v>3</v>
      </c>
      <c r="G64" s="11"/>
      <c r="K64" s="5"/>
      <c r="L64" s="5">
        <f t="array" ref="L64">if(or({Main!$W$41;'Dice and Macros'!$F$4:$F$11}),randbetween(1,4),L64)</f>
        <v>1</v>
      </c>
      <c r="M64" s="5">
        <f t="array" ref="M64">if(or({attackroll;'Dice and Macros'!$F$4:$F$11;macroroll}),randbetween(1,6),M64)</f>
        <v>1</v>
      </c>
      <c r="N64" s="5">
        <f t="array" ref="N64">if(or({attackroll;'Dice and Macros'!$F$4:$F$11;macroroll}),randbetween(1,8),N64)</f>
        <v>5</v>
      </c>
      <c r="O64" s="5">
        <f t="array" ref="O64">if(or({attackroll;'Dice and Macros'!$F$4:$F$11;macroroll}),randbetween(1,10),O64)</f>
        <v>5</v>
      </c>
      <c r="P64" s="5">
        <f t="array" ref="P64">if(or({attackroll;'Dice and Macros'!$F$4:$F$11;macroroll}),randbetween(1,12),P64)</f>
        <v>1</v>
      </c>
      <c r="Q64" s="5">
        <f t="array" ref="Q64">if(or({attackroll;'Dice and Macros'!$F$4:$F$11;macroroll}),randbetween(1,20),Q64)</f>
        <v>4</v>
      </c>
      <c r="R64" s="5">
        <f t="array" ref="R64">if(or({attackroll;'Dice and Macros'!$F$4:$F$11;macroroll}),randbetween(1,100),R64)</f>
        <v>66</v>
      </c>
      <c r="S64" s="5">
        <f t="array" ref="S64">if(or({attackroll;'Dice and Macros'!$F$4:$F$11;macroroll}),randbetween(1,'Dice and Macros'!$D$11),S64)</f>
        <v>0</v>
      </c>
      <c r="U64" s="28"/>
      <c r="V64" s="3"/>
      <c r="W64" s="4"/>
      <c r="X64" s="14"/>
      <c r="Y64" s="37"/>
      <c r="Z64" s="4"/>
    </row>
    <row r="65">
      <c r="B65" s="28" t="s">
        <v>111</v>
      </c>
      <c r="C65" s="3"/>
      <c r="D65" s="4"/>
      <c r="E65" s="14">
        <f>spellcasterlevel</f>
        <v>14</v>
      </c>
      <c r="F65" s="40">
        <f>if(macroroll,randbetween(1,10)+min(E65,10),F65)</f>
        <v>14</v>
      </c>
      <c r="G65" s="4"/>
      <c r="K65" s="5"/>
      <c r="L65" s="5">
        <f t="array" ref="L65">if(or({attackroll;'Dice and Macros'!$F$4:$F$11;macroroll}),randbetween(1,4),L65)</f>
        <v>4</v>
      </c>
      <c r="M65" s="5">
        <f t="array" ref="M65">if(or({attackroll;'Dice and Macros'!$F$4:$F$11;macroroll}),randbetween(1,6),M65)</f>
        <v>5</v>
      </c>
      <c r="N65" s="5">
        <f t="array" ref="N65">if(or({attackroll;'Dice and Macros'!$F$4:$F$11;macroroll}),randbetween(1,8),N65)</f>
        <v>3</v>
      </c>
      <c r="O65" s="5">
        <f t="array" ref="O65">if(or({attackroll;'Dice and Macros'!$F$4:$F$11;macroroll}),randbetween(1,10),O65)</f>
        <v>8</v>
      </c>
      <c r="P65" s="5">
        <f t="array" ref="P65">if(or({attackroll;'Dice and Macros'!$F$4:$F$11;macroroll}),randbetween(1,12),P65)</f>
        <v>11</v>
      </c>
      <c r="Q65" s="5">
        <f t="array" ref="Q65">if(or({attackroll;'Dice and Macros'!$F$4:$F$11;macroroll}),randbetween(1,20),Q65)</f>
        <v>12</v>
      </c>
      <c r="R65" s="5">
        <f t="array" ref="R65">if(or({attackroll;'Dice and Macros'!$F$4:$F$11;macroroll}),randbetween(1,100),R65)</f>
        <v>43</v>
      </c>
      <c r="S65" s="5">
        <f t="array" ref="S65">if(or({attackroll;'Dice and Macros'!$F$4:$F$11;macroroll}),randbetween(1,'Dice and Macros'!$D$11),S65)</f>
        <v>0</v>
      </c>
      <c r="U65" s="35"/>
      <c r="V65" s="10"/>
      <c r="W65" s="11"/>
      <c r="X65" s="24"/>
      <c r="Y65" s="36"/>
      <c r="Z65" s="11"/>
    </row>
    <row r="66">
      <c r="B66" s="30" t="s">
        <v>112</v>
      </c>
      <c r="C66" s="10"/>
      <c r="D66" s="11"/>
      <c r="E66" s="7">
        <f>spellcasterlevel</f>
        <v>14</v>
      </c>
      <c r="F66" s="25">
        <f>if(macroroll,sum(indirect("m"&amp;$K$2):indirect("m"&amp;$K$2+2))+min(25,E66),F66)</f>
        <v>21</v>
      </c>
      <c r="G66" s="11"/>
      <c r="K66" s="5"/>
      <c r="L66" s="5">
        <f t="array" ref="L66">if(or({attackroll;'Dice and Macros'!$F$4:$F$11;macroroll}),randbetween(1,4),L66)</f>
        <v>4</v>
      </c>
      <c r="M66" s="5">
        <f t="array" ref="M66">if(or({attackroll;'Dice and Macros'!$F$4:$F$11;macroroll}),randbetween(1,6),M66)</f>
        <v>3</v>
      </c>
      <c r="N66" s="5">
        <f t="array" ref="N66">if(or({attackroll;'Dice and Macros'!$F$4:$F$11;macroroll}),randbetween(1,8),N66)</f>
        <v>4</v>
      </c>
      <c r="O66" s="5">
        <f t="array" ref="O66">if(or({attackroll;'Dice and Macros'!$F$4:$F$11;macroroll}),randbetween(1,10),O66)</f>
        <v>10</v>
      </c>
      <c r="P66" s="5">
        <f t="array" ref="P66">if(or({attackroll;'Dice and Macros'!$F$4:$F$11;macroroll}),randbetween(1,12),P66)</f>
        <v>12</v>
      </c>
      <c r="Q66" s="5">
        <f t="array" ref="Q66">if(or({attackroll;'Dice and Macros'!$F$4:$F$11;macroroll}),randbetween(1,20),Q66)</f>
        <v>6</v>
      </c>
      <c r="R66" s="5">
        <f t="array" ref="R66">if(or({attackroll;'Dice and Macros'!$F$4:$F$11;macroroll}),randbetween(1,100),R66)</f>
        <v>78</v>
      </c>
      <c r="S66" s="5">
        <f t="array" ref="S66">if(or({attackroll;'Dice and Macros'!$F$4:$F$11;macroroll}),randbetween(1,'Dice and Macros'!$D$11),S66)</f>
        <v>0</v>
      </c>
      <c r="U66" s="44"/>
      <c r="V66" s="3"/>
      <c r="W66" s="4"/>
      <c r="X66" s="14"/>
      <c r="Y66" s="37"/>
      <c r="Z66" s="4"/>
    </row>
    <row r="67">
      <c r="B67" s="17" t="s">
        <v>113</v>
      </c>
      <c r="C67" s="3"/>
      <c r="D67" s="4"/>
      <c r="E67" s="18">
        <f>spellcasterlevel</f>
        <v>14</v>
      </c>
      <c r="F67" s="19">
        <f>if(macroroll,randbetween(1,8)+E67,F67)</f>
        <v>18</v>
      </c>
      <c r="G67" s="4"/>
      <c r="K67" s="5"/>
      <c r="L67" s="5">
        <f t="array" ref="L67">if(or({attackroll;'Dice and Macros'!$F$4:$F$11;macroroll}),randbetween(1,4),L67)</f>
        <v>3</v>
      </c>
      <c r="M67" s="5">
        <f t="array" ref="M67">if(or({attackroll;'Dice and Macros'!$F$4:$F$11;macroroll}),randbetween(1,6),M67)</f>
        <v>4</v>
      </c>
      <c r="N67" s="5">
        <f t="array" ref="N67">if(or({attackroll;'Dice and Macros'!$F$4:$F$11;macroroll}),randbetween(1,8),N67)</f>
        <v>1</v>
      </c>
      <c r="O67" s="5">
        <f t="array" ref="O67">if(or({attackroll;'Dice and Macros'!$F$4:$F$11;macroroll}),randbetween(1,10),O67)</f>
        <v>5</v>
      </c>
      <c r="P67" s="5">
        <f t="array" ref="P67">if(or({attackroll;'Dice and Macros'!$F$4:$F$11;macroroll}),randbetween(1,12),P67)</f>
        <v>1</v>
      </c>
      <c r="Q67" s="5">
        <f t="array" ref="Q67">if(or({attackroll;'Dice and Macros'!$F$4:$F$11;macroroll}),randbetween(1,20),Q67)</f>
        <v>13</v>
      </c>
      <c r="R67" s="5">
        <f t="array" ref="R67">if(or({attackroll;'Dice and Macros'!$F$4:$F$11;macroroll}),randbetween(1,100),R67)</f>
        <v>10</v>
      </c>
      <c r="S67" s="5">
        <f t="array" ref="S67">if(or({attackroll;'Dice and Macros'!$F$4:$F$11;macroroll}),randbetween(1,'Dice and Macros'!$D$11),S67)</f>
        <v>0</v>
      </c>
      <c r="U67" s="30"/>
      <c r="V67" s="10"/>
      <c r="W67" s="11"/>
      <c r="X67" s="7"/>
      <c r="Y67" s="41"/>
      <c r="Z67" s="11"/>
    </row>
    <row r="68">
      <c r="B68" s="30" t="s">
        <v>114</v>
      </c>
      <c r="C68" s="10"/>
      <c r="D68" s="11"/>
      <c r="E68" s="7">
        <f>spellcasterlevel</f>
        <v>14</v>
      </c>
      <c r="F68" s="25">
        <f>if(macroroll,randbetween(1,6)+min(15,E68),F68)</f>
        <v>16</v>
      </c>
      <c r="G68" s="11"/>
      <c r="K68" s="5"/>
      <c r="L68" s="5">
        <f t="array" ref="L68">if(or({attackroll;'Dice and Macros'!$F$4:$F$11;macroroll}),randbetween(1,4),L68)</f>
        <v>4</v>
      </c>
      <c r="M68" s="5">
        <f t="array" ref="M68">if(or({attackroll;'Dice and Macros'!$F$4:$F$11;macroroll}),randbetween(1,6),M68)</f>
        <v>6</v>
      </c>
      <c r="N68" s="5">
        <f t="array" ref="N68">if(or({attackroll;'Dice and Macros'!$F$4:$F$11;macroroll}),randbetween(1,8),N68)</f>
        <v>1</v>
      </c>
      <c r="O68" s="5">
        <f t="array" ref="O68">if(or({attackroll;'Dice and Macros'!$F$4:$F$11;macroroll}),randbetween(1,10),O68)</f>
        <v>1</v>
      </c>
      <c r="P68" s="5">
        <f t="array" ref="P68">if(or({attackroll;'Dice and Macros'!$F$4:$F$11;macroroll}),randbetween(1,12),P68)</f>
        <v>12</v>
      </c>
      <c r="Q68" s="5">
        <f t="array" ref="Q68">if(or({attackroll;'Dice and Macros'!$F$4:$F$11;macroroll}),randbetween(1,20),Q68)</f>
        <v>11</v>
      </c>
      <c r="R68" s="5">
        <f t="array" ref="R68">if(or({attackroll;'Dice and Macros'!$F$4:$F$11;macroroll}),randbetween(1,100),R68)</f>
        <v>92</v>
      </c>
      <c r="S68" s="5">
        <f t="array" ref="S68">if(or({attackroll;'Dice and Macros'!$F$4:$F$11;macroroll}),randbetween(1,'Dice and Macros'!$D$11),S68)</f>
        <v>0</v>
      </c>
      <c r="U68" s="17"/>
      <c r="V68" s="3"/>
      <c r="W68" s="4"/>
      <c r="X68" s="18"/>
      <c r="Y68" s="19"/>
      <c r="Z68" s="4"/>
    </row>
    <row r="69">
      <c r="B69" s="28" t="s">
        <v>115</v>
      </c>
      <c r="C69" s="3"/>
      <c r="D69" s="4"/>
      <c r="E69" s="14">
        <f>spellcasterlevel</f>
        <v>14</v>
      </c>
      <c r="F69" s="19">
        <f>if(macroroll,sum(indirect("m"&amp;$K$2):indirect("m"&amp;$K$2+min(19,E69-1))),F69)</f>
        <v>38</v>
      </c>
      <c r="G69" s="4"/>
      <c r="K69" s="5"/>
      <c r="L69" s="5">
        <f t="array" ref="L69">if(or({attackroll;'Dice and Macros'!$F$4:$F$11;macroroll}),randbetween(1,4),L69)</f>
        <v>2</v>
      </c>
      <c r="M69" s="5">
        <f t="array" ref="M69">if(or({attackroll;'Dice and Macros'!$F$4:$F$11;macroroll}),randbetween(1,6),M69)</f>
        <v>4</v>
      </c>
      <c r="N69" s="5">
        <f t="array" ref="N69">if(or({attackroll;'Dice and Macros'!$F$4:$F$11;macroroll}),randbetween(1,8),N69)</f>
        <v>7</v>
      </c>
      <c r="O69" s="5">
        <f t="array" ref="O69">if(or({attackroll;'Dice and Macros'!$F$4:$F$11;macroroll}),randbetween(1,10),O69)</f>
        <v>7</v>
      </c>
      <c r="P69" s="5">
        <f t="array" ref="P69">if(or({attackroll;'Dice and Macros'!$F$4:$F$11;macroroll}),randbetween(1,12),P69)</f>
        <v>10</v>
      </c>
      <c r="Q69" s="5">
        <f t="array" ref="Q69">if(or({attackroll;'Dice and Macros'!$F$4:$F$11;macroroll}),randbetween(1,20),Q69)</f>
        <v>17</v>
      </c>
      <c r="R69" s="5">
        <f t="array" ref="R69">if(or({attackroll;'Dice and Macros'!$F$4:$F$11;macroroll}),randbetween(1,100),R69)</f>
        <v>95</v>
      </c>
      <c r="S69" s="5">
        <f t="array" ref="S69">if(or({attackroll;'Dice and Macros'!$F$4:$F$11;macroroll}),randbetween(1,'Dice and Macros'!$D$11),S69)</f>
        <v>0</v>
      </c>
      <c r="U69" s="34"/>
      <c r="V69" s="10"/>
      <c r="W69" s="11"/>
      <c r="X69" s="24"/>
      <c r="Y69" s="25"/>
      <c r="Z69" s="11"/>
    </row>
    <row r="70">
      <c r="B70" s="30" t="s">
        <v>116</v>
      </c>
      <c r="C70" s="10"/>
      <c r="D70" s="11"/>
      <c r="E70" s="7">
        <f>spellcasterlevel</f>
        <v>14</v>
      </c>
      <c r="F70" s="25">
        <f>if(macroroll,randbetween(1,4)+min(20,E70),F70)</f>
        <v>17</v>
      </c>
      <c r="G70" s="11"/>
      <c r="K70" s="5"/>
      <c r="L70" s="5">
        <f t="array" ref="L70">if(or({attackroll;'Dice and Macros'!$F$4:$F$11;macroroll}),randbetween(1,4),L70)</f>
        <v>2</v>
      </c>
      <c r="M70" s="5">
        <f t="array" ref="M70">if(or({attackroll;'Dice and Macros'!$F$4:$F$11;macroroll}),randbetween(1,6),M70)</f>
        <v>3</v>
      </c>
      <c r="N70" s="5">
        <f t="array" ref="N70">if(or({attackroll;'Dice and Macros'!$F$4:$F$11;macroroll}),randbetween(1,8),N70)</f>
        <v>5</v>
      </c>
      <c r="O70" s="5">
        <f t="array" ref="O70">if(or({attackroll;'Dice and Macros'!$F$4:$F$11;macroroll}),randbetween(1,10),O70)</f>
        <v>1</v>
      </c>
      <c r="P70" s="5">
        <f t="array" ref="P70">if(or({attackroll;'Dice and Macros'!$F$4:$F$11;macroroll}),randbetween(1,12),P70)</f>
        <v>6</v>
      </c>
      <c r="Q70" s="5">
        <f t="array" ref="Q70">if(or({attackroll;'Dice and Macros'!$F$4:$F$11;macroroll}),randbetween(1,20),Q70)</f>
        <v>5</v>
      </c>
      <c r="R70" s="5">
        <f t="array" ref="R70">if(or({attackroll;'Dice and Macros'!$F$4:$F$11;macroroll}),randbetween(1,100),R70)</f>
        <v>72</v>
      </c>
      <c r="S70" s="5">
        <f t="array" ref="S70">if(or({attackroll;'Dice and Macros'!$F$4:$F$11;macroroll}),randbetween(1,'Dice and Macros'!$D$11),S70)</f>
        <v>0</v>
      </c>
      <c r="U70" s="17"/>
      <c r="V70" s="3"/>
      <c r="W70" s="4"/>
      <c r="X70" s="18"/>
      <c r="Y70" s="37"/>
      <c r="Z70" s="4"/>
    </row>
    <row r="71">
      <c r="B71" s="28" t="s">
        <v>117</v>
      </c>
      <c r="C71" s="3"/>
      <c r="D71" s="4"/>
      <c r="E71" s="14">
        <f>spellcasterlevel</f>
        <v>14</v>
      </c>
      <c r="F71" s="19">
        <f>if(macroroll,sum(indirect("m"&amp;$K$2):indirect("m"&amp;$K$2+min(9,E71-1))),F71)</f>
        <v>26</v>
      </c>
      <c r="G71" s="4"/>
      <c r="K71" s="5"/>
      <c r="L71" s="5">
        <f t="array" ref="L71">if(or({attackroll;'Dice and Macros'!$F$4:$F$11;macroroll}),randbetween(1,4),L71)</f>
        <v>1</v>
      </c>
      <c r="M71" s="5">
        <f t="array" ref="M71">if(or({attackroll;'Dice and Macros'!$F$4:$F$11;macroroll}),randbetween(1,6),M71)</f>
        <v>2</v>
      </c>
      <c r="N71" s="5">
        <f t="array" ref="N71">if(or({attackroll;'Dice and Macros'!$F$4:$F$11;macroroll}),randbetween(1,8),N71)</f>
        <v>1</v>
      </c>
      <c r="O71" s="5">
        <f t="array" ref="O71">if(or({attackroll;'Dice and Macros'!$F$4:$F$11;macroroll}),randbetween(1,10),O71)</f>
        <v>5</v>
      </c>
      <c r="P71" s="5">
        <f t="array" ref="P71">if(or({attackroll;'Dice and Macros'!$F$4:$F$11;macroroll}),randbetween(1,12),P71)</f>
        <v>2</v>
      </c>
      <c r="Q71" s="5">
        <f t="array" ref="Q71">if(or({attackroll;'Dice and Macros'!$F$4:$F$11;macroroll}),randbetween(1,20),Q71)</f>
        <v>14</v>
      </c>
      <c r="R71" s="5">
        <f t="array" ref="R71">if(or({attackroll;'Dice and Macros'!$F$4:$F$11;macroroll}),randbetween(1,100),R71)</f>
        <v>47</v>
      </c>
      <c r="S71" s="5">
        <f t="array" ref="S71">if(or({attackroll;'Dice and Macros'!$F$4:$F$11;macroroll}),randbetween(1,'Dice and Macros'!$D$11),S71)</f>
        <v>0</v>
      </c>
      <c r="U71" s="35"/>
      <c r="V71" s="10"/>
      <c r="W71" s="11"/>
      <c r="X71" s="24"/>
      <c r="Y71" s="25"/>
      <c r="Z71" s="11"/>
    </row>
    <row r="72">
      <c r="B72" s="30" t="s">
        <v>118</v>
      </c>
      <c r="C72" s="10"/>
      <c r="D72" s="11"/>
      <c r="E72" s="7">
        <f>spellcasterlevel</f>
        <v>14</v>
      </c>
      <c r="F72" s="25">
        <f>if(macroroll,randbetween(1,6),F72)</f>
        <v>1</v>
      </c>
      <c r="G72" s="11"/>
      <c r="K72" s="5"/>
      <c r="L72" s="5">
        <f t="array" ref="L72">if(or({attackroll;'Dice and Macros'!$F$4:$F$11;macroroll}),randbetween(1,4),L72)</f>
        <v>4</v>
      </c>
      <c r="M72" s="5">
        <f t="array" ref="M72">if(or({attackroll;'Dice and Macros'!$F$4:$F$11;macroroll}),randbetween(1,6),M72)</f>
        <v>2</v>
      </c>
      <c r="N72" s="5">
        <f t="array" ref="N72">if(or({attackroll;'Dice and Macros'!$F$4:$F$11;macroroll}),randbetween(1,8),N72)</f>
        <v>1</v>
      </c>
      <c r="O72" s="5">
        <f t="array" ref="O72">if(or({attackroll;'Dice and Macros'!$F$4:$F$11;macroroll}),randbetween(1,10),O72)</f>
        <v>5</v>
      </c>
      <c r="P72" s="5">
        <f t="array" ref="P72">if(or({attackroll;'Dice and Macros'!$F$4:$F$11;macroroll}),randbetween(1,12),P72)</f>
        <v>4</v>
      </c>
      <c r="Q72" s="5">
        <f t="array" ref="Q72">if(or({attackroll;'Dice and Macros'!$F$4:$F$11;macroroll}),randbetween(1,20),Q72)</f>
        <v>11</v>
      </c>
      <c r="R72" s="5">
        <f t="array" ref="R72">if(or({attackroll;'Dice and Macros'!$F$4:$F$11;macroroll}),randbetween(1,100),R72)</f>
        <v>67</v>
      </c>
      <c r="S72" s="5">
        <f t="array" ref="S72">if(or({attackroll;'Dice and Macros'!$F$4:$F$11;macroroll}),randbetween(1,'Dice and Macros'!$D$11),S72)</f>
        <v>0</v>
      </c>
      <c r="U72" s="28"/>
      <c r="V72" s="3"/>
      <c r="W72" s="4"/>
      <c r="X72" s="14"/>
      <c r="Y72" s="37"/>
      <c r="Z72" s="4"/>
    </row>
    <row r="73">
      <c r="B73" s="28" t="s">
        <v>119</v>
      </c>
      <c r="C73" s="3"/>
      <c r="D73" s="4"/>
      <c r="E73" s="14">
        <f>spellcasterlevel</f>
        <v>14</v>
      </c>
      <c r="F73" s="19">
        <f>if(macroroll,randbetween(1,8)+min(10,floor(E73/2,1)),F73)</f>
        <v>11</v>
      </c>
      <c r="G73" s="4"/>
      <c r="K73" s="5"/>
      <c r="L73" s="5">
        <f t="array" ref="L73">if(or({attackroll;'Dice and Macros'!$F$4:$F$11;macroroll}),randbetween(1,4),L73)</f>
        <v>3</v>
      </c>
      <c r="M73" s="5">
        <f t="array" ref="M73">if(or({attackroll;'Dice and Macros'!$F$4:$F$11;macroroll}),randbetween(1,6),M73)</f>
        <v>1</v>
      </c>
      <c r="N73" s="5">
        <f t="array" ref="N73">if(or({attackroll;'Dice and Macros'!$F$4:$F$11;macroroll}),randbetween(1,8),N73)</f>
        <v>4</v>
      </c>
      <c r="O73" s="5">
        <f t="array" ref="O73">if(or({attackroll;'Dice and Macros'!$F$4:$F$11;macroroll}),randbetween(1,10),O73)</f>
        <v>10</v>
      </c>
      <c r="P73" s="5">
        <f t="array" ref="P73">if(or({attackroll;'Dice and Macros'!$F$4:$F$11;macroroll}),randbetween(1,12),P73)</f>
        <v>12</v>
      </c>
      <c r="Q73" s="5">
        <f t="array" ref="Q73">if(or({attackroll;'Dice and Macros'!$F$4:$F$11;macroroll}),randbetween(1,20),Q73)</f>
        <v>16</v>
      </c>
      <c r="R73" s="5">
        <f t="array" ref="R73">if(or({attackroll;'Dice and Macros'!$F$4:$F$11;macroroll}),randbetween(1,100),R73)</f>
        <v>24</v>
      </c>
      <c r="S73" s="5">
        <f t="array" ref="S73">if(or({attackroll;'Dice and Macros'!$F$4:$F$11;macroroll}),randbetween(1,'Dice and Macros'!$D$11),S73)</f>
        <v>0</v>
      </c>
      <c r="U73" s="30"/>
      <c r="V73" s="10"/>
      <c r="W73" s="11"/>
      <c r="X73" s="7"/>
      <c r="Y73" s="36"/>
      <c r="Z73" s="11"/>
    </row>
    <row r="74">
      <c r="B74" s="30" t="s">
        <v>120</v>
      </c>
      <c r="C74" s="10"/>
      <c r="D74" s="11"/>
      <c r="E74" s="7">
        <f>spellcasterlevel</f>
        <v>14</v>
      </c>
      <c r="F74" s="25">
        <f>if(macroroll,sum(indirect("m"&amp;$K$2):indirect("m"&amp;$K$2+min(14,E74-1))),F74)</f>
        <v>38</v>
      </c>
      <c r="G74" s="11"/>
      <c r="K74" s="5"/>
      <c r="L74" s="5">
        <f t="array" ref="L74">if(or({attackroll;'Dice and Macros'!$F$4:$F$11;macroroll}),randbetween(1,4),L74)</f>
        <v>2</v>
      </c>
      <c r="M74" s="5">
        <f t="array" ref="M74">if(or({attackroll;'Dice and Macros'!$F$4:$F$11;macroroll}),randbetween(1,6),M74)</f>
        <v>4</v>
      </c>
      <c r="N74" s="5">
        <f t="array" ref="N74">if(or({attackroll;'Dice and Macros'!$F$4:$F$11;macroroll}),randbetween(1,8),N74)</f>
        <v>4</v>
      </c>
      <c r="O74" s="5">
        <f t="array" ref="O74">if(or({attackroll;'Dice and Macros'!$F$4:$F$11;macroroll}),randbetween(1,10),O74)</f>
        <v>4</v>
      </c>
      <c r="P74" s="5">
        <f t="array" ref="P74">if(or({attackroll;'Dice and Macros'!$F$4:$F$11;macroroll}),randbetween(1,12),P74)</f>
        <v>7</v>
      </c>
      <c r="Q74" s="5">
        <f t="array" ref="Q74">if(or({attackroll;'Dice and Macros'!$F$4:$F$11;macroroll}),randbetween(1,20),Q74)</f>
        <v>16</v>
      </c>
      <c r="R74" s="5">
        <f t="array" ref="R74">if(or({attackroll;'Dice and Macros'!$F$4:$F$11;macroroll}),randbetween(1,100),R74)</f>
        <v>91</v>
      </c>
      <c r="S74" s="5">
        <f t="array" ref="S74">if(or({attackroll;'Dice and Macros'!$F$4:$F$11;macroroll}),randbetween(1,'Dice and Macros'!$D$11),S74)</f>
        <v>0</v>
      </c>
      <c r="U74" s="28"/>
      <c r="V74" s="3"/>
      <c r="W74" s="4"/>
      <c r="X74" s="14"/>
      <c r="Y74" s="37"/>
      <c r="Z74" s="4"/>
    </row>
    <row r="75">
      <c r="B75" s="28" t="s">
        <v>121</v>
      </c>
      <c r="C75" s="3"/>
      <c r="D75" s="4"/>
      <c r="E75" s="14">
        <f>spellcasterlevel</f>
        <v>14</v>
      </c>
      <c r="F75" s="19">
        <f>if(macroroll,sum(indirect("m"&amp;$K$2):indirect("m"&amp;$K$2+1)),F75)</f>
        <v>4</v>
      </c>
      <c r="G75" s="4"/>
      <c r="K75" s="5"/>
      <c r="L75" s="5">
        <f t="array" ref="L75">if(or({attackroll;'Dice and Macros'!$F$4:$F$11;macroroll}),randbetween(1,4),L75)</f>
        <v>1</v>
      </c>
      <c r="M75" s="5">
        <f t="array" ref="M75">if(or({attackroll;'Dice and Macros'!$F$4:$F$11;macroroll}),randbetween(1,6),M75)</f>
        <v>1</v>
      </c>
      <c r="N75" s="5">
        <f t="array" ref="N75">if(or({attackroll;'Dice and Macros'!$F$4:$F$11;macroroll}),randbetween(1,8),N75)</f>
        <v>4</v>
      </c>
      <c r="O75" s="5">
        <f t="array" ref="O75">if(or({attackroll;'Dice and Macros'!$F$4:$F$11;macroroll}),randbetween(1,10),O75)</f>
        <v>5</v>
      </c>
      <c r="P75" s="5">
        <f t="array" ref="P75">if(or({attackroll;'Dice and Macros'!$F$4:$F$11;macroroll}),randbetween(1,12),P75)</f>
        <v>10</v>
      </c>
      <c r="Q75" s="5">
        <f t="array" ref="Q75">if(or({attackroll;'Dice and Macros'!$F$4:$F$11;macroroll}),randbetween(1,20),Q75)</f>
        <v>3</v>
      </c>
      <c r="R75" s="5">
        <f t="array" ref="R75">if(or({attackroll;'Dice and Macros'!$F$4:$F$11;macroroll}),randbetween(1,100),R75)</f>
        <v>94</v>
      </c>
      <c r="S75" s="5">
        <f t="array" ref="S75">if(or({attackroll;'Dice and Macros'!$F$4:$F$11;macroroll}),randbetween(1,'Dice and Macros'!$D$11),S75)</f>
        <v>0</v>
      </c>
      <c r="U75" s="30"/>
      <c r="V75" s="10"/>
      <c r="W75" s="11"/>
      <c r="X75" s="7"/>
      <c r="Y75" s="36"/>
      <c r="Z75" s="11"/>
    </row>
    <row r="76">
      <c r="B76" s="30" t="s">
        <v>122</v>
      </c>
      <c r="C76" s="10"/>
      <c r="D76" s="11"/>
      <c r="E76" s="7">
        <f>spellcasterlevel</f>
        <v>14</v>
      </c>
      <c r="F76" s="25">
        <f>if(macroroll,sum(indirect("m"&amp;$K$2):indirect("m"&amp;$K$2+min(14,E76-1))),F76)</f>
        <v>38</v>
      </c>
      <c r="G76" s="11"/>
      <c r="K76" s="5"/>
      <c r="L76" s="5">
        <f t="array" ref="L76">if(or({attackroll;'Dice and Macros'!$F$4:$F$11;macroroll}),randbetween(1,4),L76)</f>
        <v>3</v>
      </c>
      <c r="M76" s="5">
        <f t="array" ref="M76">if(or({attackroll;'Dice and Macros'!$F$4:$F$11;macroroll}),randbetween(1,6),M76)</f>
        <v>1</v>
      </c>
      <c r="N76" s="5">
        <f t="array" ref="N76">if(or({attackroll;'Dice and Macros'!$F$4:$F$11;macroroll}),randbetween(1,8),N76)</f>
        <v>8</v>
      </c>
      <c r="O76" s="5">
        <f t="array" ref="O76">if(or({attackroll;'Dice and Macros'!$F$4:$F$11;macroroll}),randbetween(1,10),O76)</f>
        <v>1</v>
      </c>
      <c r="P76" s="5">
        <f t="array" ref="P76">if(or({attackroll;'Dice and Macros'!$F$4:$F$11;macroroll}),randbetween(1,12),P76)</f>
        <v>12</v>
      </c>
      <c r="Q76" s="5">
        <f t="array" ref="Q76">if(or({attackroll;'Dice and Macros'!$F$4:$F$11;macroroll}),randbetween(1,20),Q76)</f>
        <v>20</v>
      </c>
      <c r="R76" s="5">
        <f t="array" ref="R76">if(or({attackroll;'Dice and Macros'!$F$4:$F$11;macroroll}),randbetween(1,100),R76)</f>
        <v>39</v>
      </c>
      <c r="S76" s="5">
        <f t="array" ref="S76">if(or({attackroll;'Dice and Macros'!$F$4:$F$11;macroroll}),randbetween(1,'Dice and Macros'!$D$11),S76)</f>
        <v>0</v>
      </c>
      <c r="U76" s="28"/>
      <c r="V76" s="3"/>
      <c r="W76" s="4"/>
      <c r="X76" s="14"/>
      <c r="Y76" s="37"/>
      <c r="Z76" s="4"/>
    </row>
    <row r="77">
      <c r="B77" s="28" t="s">
        <v>123</v>
      </c>
      <c r="C77" s="3"/>
      <c r="D77" s="4"/>
      <c r="E77" s="14">
        <f>spellcasterlevel</f>
        <v>14</v>
      </c>
      <c r="F77" s="19">
        <f>if(macroroll,sum(indirect("n"&amp;$K$2):indirect("n"&amp;$K$2+min(14,E77-1))),F77)</f>
        <v>65</v>
      </c>
      <c r="G77" s="4"/>
      <c r="K77" s="5"/>
      <c r="L77" s="5">
        <f t="array" ref="L77">if(or({attackroll;'Dice and Macros'!$F$4:$F$11;macroroll}),randbetween(1,4),L77)</f>
        <v>1</v>
      </c>
      <c r="M77" s="5">
        <f t="array" ref="M77">if(or({attackroll;'Dice and Macros'!$F$4:$F$11;macroroll}),randbetween(1,6),M77)</f>
        <v>4</v>
      </c>
      <c r="N77" s="5">
        <f t="array" ref="N77">if(or({attackroll;'Dice and Macros'!$F$4:$F$11;macroroll}),randbetween(1,8),N77)</f>
        <v>3</v>
      </c>
      <c r="O77" s="5">
        <f t="array" ref="O77">if(or({attackroll;'Dice and Macros'!$F$4:$F$11;macroroll}),randbetween(1,10),O77)</f>
        <v>1</v>
      </c>
      <c r="P77" s="5">
        <f t="array" ref="P77">if(or({attackroll;'Dice and Macros'!$F$4:$F$11;macroroll}),randbetween(1,12),P77)</f>
        <v>3</v>
      </c>
      <c r="Q77" s="5">
        <f t="array" ref="Q77">if(or({attackroll;'Dice and Macros'!$F$4:$F$11;macroroll}),randbetween(1,20),Q77)</f>
        <v>10</v>
      </c>
      <c r="R77" s="5">
        <f t="array" ref="R77">if(or({attackroll;'Dice and Macros'!$F$4:$F$11;macroroll}),randbetween(1,100),R77)</f>
        <v>87</v>
      </c>
      <c r="S77" s="5">
        <f t="array" ref="S77">if(or({attackroll;'Dice and Macros'!$F$4:$F$11;macroroll}),randbetween(1,'Dice and Macros'!$D$11),S77)</f>
        <v>0</v>
      </c>
      <c r="U77" s="30"/>
      <c r="V77" s="10"/>
      <c r="W77" s="11"/>
      <c r="X77" s="7"/>
      <c r="Y77" s="36"/>
      <c r="Z77" s="11"/>
    </row>
    <row r="78">
      <c r="B78" s="30" t="s">
        <v>124</v>
      </c>
      <c r="C78" s="10"/>
      <c r="D78" s="11"/>
      <c r="E78" s="7">
        <f>spellcasterlevel</f>
        <v>14</v>
      </c>
      <c r="F78" s="25">
        <f>if(macroroll,sum(indirect("l"&amp;$K$2):indirect("l"&amp;$K$2+1)),F78)</f>
        <v>8</v>
      </c>
      <c r="G78" s="11"/>
      <c r="K78" s="5"/>
      <c r="L78" s="5">
        <f t="array" ref="L78">if(or({attackroll;'Dice and Macros'!$F$4:$F$11;macroroll}),randbetween(1,4),L78)</f>
        <v>2</v>
      </c>
      <c r="M78" s="5">
        <f t="array" ref="M78">if(or({attackroll;'Dice and Macros'!$F$4:$F$11;macroroll}),randbetween(1,6),M78)</f>
        <v>3</v>
      </c>
      <c r="N78" s="5">
        <f t="array" ref="N78">if(or({attackroll;'Dice and Macros'!$F$4:$F$11;macroroll}),randbetween(1,8),N78)</f>
        <v>6</v>
      </c>
      <c r="O78" s="5">
        <f t="array" ref="O78">if(or({attackroll;'Dice and Macros'!$F$4:$F$11;macroroll}),randbetween(1,10),O78)</f>
        <v>5</v>
      </c>
      <c r="P78" s="5">
        <f t="array" ref="P78">if(or({attackroll;'Dice and Macros'!$F$4:$F$11;macroroll}),randbetween(1,12),P78)</f>
        <v>3</v>
      </c>
      <c r="Q78" s="5">
        <f t="array" ref="Q78">if(or({attackroll;'Dice and Macros'!$F$4:$F$11;macroroll}),randbetween(1,20),Q78)</f>
        <v>17</v>
      </c>
      <c r="R78" s="5">
        <f t="array" ref="R78">if(or({attackroll;'Dice and Macros'!$F$4:$F$11;macroroll}),randbetween(1,100),R78)</f>
        <v>22</v>
      </c>
      <c r="S78" s="5">
        <f t="array" ref="S78">if(or({attackroll;'Dice and Macros'!$F$4:$F$11;macroroll}),randbetween(1,'Dice and Macros'!$D$11),S78)</f>
        <v>0</v>
      </c>
      <c r="U78" s="28"/>
      <c r="V78" s="3"/>
      <c r="W78" s="4"/>
      <c r="X78" s="14"/>
      <c r="Y78" s="37"/>
      <c r="Z78" s="4"/>
    </row>
    <row r="79">
      <c r="B79" s="17" t="s">
        <v>125</v>
      </c>
      <c r="C79" s="3"/>
      <c r="D79" s="4"/>
      <c r="E79" s="18">
        <f>spellcasterlevel</f>
        <v>14</v>
      </c>
      <c r="F79" s="19">
        <f>if(macroroll,randbetween(1,4),F79)</f>
        <v>3</v>
      </c>
      <c r="G79" s="4"/>
      <c r="K79" s="5"/>
      <c r="L79" s="5">
        <f t="array" ref="L79">if(or({attackroll;'Dice and Macros'!$F$4:$F$11;macroroll}),randbetween(1,4),L79)</f>
        <v>3</v>
      </c>
      <c r="M79" s="5">
        <f t="array" ref="M79">if(or({attackroll;'Dice and Macros'!$F$4:$F$11;macroroll}),randbetween(1,6),M79)</f>
        <v>4</v>
      </c>
      <c r="N79" s="5">
        <f t="array" ref="N79">if(or({attackroll;'Dice and Macros'!$F$4:$F$11;macroroll}),randbetween(1,8),N79)</f>
        <v>1</v>
      </c>
      <c r="O79" s="5">
        <f t="array" ref="O79">if(or({attackroll;'Dice and Macros'!$F$4:$F$11;macroroll}),randbetween(1,10),O79)</f>
        <v>1</v>
      </c>
      <c r="P79" s="5">
        <f t="array" ref="P79">if(or({attackroll;'Dice and Macros'!$F$4:$F$11;macroroll}),randbetween(1,12),P79)</f>
        <v>5</v>
      </c>
      <c r="Q79" s="5">
        <f t="array" ref="Q79">if(or({attackroll;'Dice and Macros'!$F$4:$F$11;macroroll}),randbetween(1,20),Q79)</f>
        <v>6</v>
      </c>
      <c r="R79" s="5">
        <f t="array" ref="R79">if(or({attackroll;'Dice and Macros'!$F$4:$F$11;macroroll}),randbetween(1,100),R79)</f>
        <v>54</v>
      </c>
      <c r="S79" s="5">
        <f t="array" ref="S79">if(or({attackroll;'Dice and Macros'!$F$4:$F$11;macroroll}),randbetween(1,'Dice and Macros'!$D$11),S79)</f>
        <v>0</v>
      </c>
      <c r="U79" s="30"/>
      <c r="V79" s="10"/>
      <c r="W79" s="11"/>
      <c r="X79" s="7"/>
      <c r="Y79" s="36"/>
      <c r="Z79" s="11"/>
    </row>
    <row r="80">
      <c r="B80" s="34" t="s">
        <v>126</v>
      </c>
      <c r="C80" s="10"/>
      <c r="D80" s="11"/>
      <c r="E80" s="7">
        <f>spellcasterlevel</f>
        <v>14</v>
      </c>
      <c r="F80" s="25">
        <f>if(macroroll,sum(indirect("l"&amp;$K$2):indirect("l"&amp;$K$2+1)),F80)</f>
        <v>8</v>
      </c>
      <c r="G80" s="11"/>
      <c r="K80" s="5"/>
      <c r="L80" s="5">
        <f t="array" ref="L80">if(or({attackroll;'Dice and Macros'!$F$4:$F$11;macroroll}),randbetween(1,4),L80)</f>
        <v>4</v>
      </c>
      <c r="M80" s="5">
        <f t="array" ref="M80">if(or({attackroll;'Dice and Macros'!$F$4:$F$11;macroroll}),randbetween(1,6),M80)</f>
        <v>2</v>
      </c>
      <c r="N80" s="5">
        <f t="array" ref="N80">if(or({attackroll;'Dice and Macros'!$F$4:$F$11;macroroll}),randbetween(1,8),N80)</f>
        <v>3</v>
      </c>
      <c r="O80" s="5">
        <f t="array" ref="O80">if(or({attackroll;'Dice and Macros'!$F$4:$F$11;macroroll}),randbetween(1,10),O80)</f>
        <v>8</v>
      </c>
      <c r="P80" s="5">
        <f t="array" ref="P80">if(or({attackroll;'Dice and Macros'!$F$4:$F$11;macroroll}),randbetween(1,12),P80)</f>
        <v>6</v>
      </c>
      <c r="Q80" s="5">
        <f t="array" ref="Q80">if(or({attackroll;'Dice and Macros'!$F$4:$F$11;macroroll}),randbetween(1,20),Q80)</f>
        <v>18</v>
      </c>
      <c r="R80" s="5">
        <f t="array" ref="R80">if(or({attackroll;'Dice and Macros'!$F$4:$F$11;macroroll}),randbetween(1,100),R80)</f>
        <v>71</v>
      </c>
      <c r="S80" s="5">
        <f t="array" ref="S80">if(or({attackroll;'Dice and Macros'!$F$4:$F$11;macroroll}),randbetween(1,'Dice and Macros'!$D$11),S80)</f>
        <v>0</v>
      </c>
      <c r="U80" s="17"/>
      <c r="V80" s="3"/>
      <c r="W80" s="4"/>
      <c r="X80" s="18"/>
      <c r="Y80" s="19"/>
      <c r="Z80" s="4"/>
    </row>
    <row r="81">
      <c r="B81" s="28" t="s">
        <v>127</v>
      </c>
      <c r="C81" s="3"/>
      <c r="D81" s="4"/>
      <c r="E81" s="14">
        <f>spellcasterlevel</f>
        <v>14</v>
      </c>
      <c r="F81" s="40">
        <f>if(macroroll,randbetween(1,8)+floor(E81/2,1),F81)</f>
        <v>15</v>
      </c>
      <c r="G81" s="4"/>
      <c r="K81" s="5"/>
      <c r="L81" s="5">
        <f t="array" ref="L81">if(or({attackroll;'Dice and Macros'!$F$4:$F$11;macroroll}),randbetween(1,4),L81)</f>
        <v>3</v>
      </c>
      <c r="M81" s="5">
        <f t="array" ref="M81">if(or({attackroll;'Dice and Macros'!$F$4:$F$11;macroroll}),randbetween(1,6),M81)</f>
        <v>1</v>
      </c>
      <c r="N81" s="5">
        <f t="array" ref="N81">if(or({attackroll;'Dice and Macros'!$F$4:$F$11;macroroll}),randbetween(1,8),N81)</f>
        <v>3</v>
      </c>
      <c r="O81" s="5">
        <f t="array" ref="O81">if(or({attackroll;'Dice and Macros'!$F$4:$F$11;macroroll}),randbetween(1,10),O81)</f>
        <v>9</v>
      </c>
      <c r="P81" s="5">
        <f t="array" ref="P81">if(or({attackroll;'Dice and Macros'!$F$4:$F$11;macroroll}),randbetween(1,12),P81)</f>
        <v>11</v>
      </c>
      <c r="Q81" s="5">
        <f t="array" ref="Q81">if(or({attackroll;'Dice and Macros'!$F$4:$F$11;macroroll}),randbetween(1,20),Q81)</f>
        <v>20</v>
      </c>
      <c r="R81" s="5">
        <f t="array" ref="R81">if(or({attackroll;'Dice and Macros'!$F$4:$F$11;macroroll}),randbetween(1,100),R81)</f>
        <v>21</v>
      </c>
      <c r="S81" s="5">
        <f t="array" ref="S81">if(or({attackroll;'Dice and Macros'!$F$4:$F$11;macroroll}),randbetween(1,'Dice and Macros'!$D$11),S81)</f>
        <v>0</v>
      </c>
      <c r="U81" s="30"/>
      <c r="V81" s="10"/>
      <c r="W81" s="11"/>
      <c r="X81" s="7"/>
      <c r="Y81" s="36"/>
      <c r="Z81" s="11"/>
    </row>
    <row r="82">
      <c r="B82" s="35" t="s">
        <v>128</v>
      </c>
      <c r="C82" s="10"/>
      <c r="D82" s="11"/>
      <c r="E82" s="24">
        <f>spellcasterlevel</f>
        <v>14</v>
      </c>
      <c r="F82" s="25" t="str">
        <f>if(macroroll,sum(indirect("n"&amp;$K$2):indirect("n"&amp;$K$2+min(4,floor(E82/2,1)-1)))&amp;" + "&amp;randbetween(1,6)&amp;" rounds",F82)</f>
        <v>24 + 2 rounds</v>
      </c>
      <c r="G82" s="11"/>
      <c r="K82" s="5"/>
      <c r="L82" s="5">
        <f t="array" ref="L82">if(or({attackroll;'Dice and Macros'!$F$4:$F$11;macroroll}),randbetween(1,4),L82)</f>
        <v>3</v>
      </c>
      <c r="M82" s="5">
        <f t="array" ref="M82">if(or({attackroll;'Dice and Macros'!$F$4:$F$11;macroroll}),randbetween(1,6),M82)</f>
        <v>1</v>
      </c>
      <c r="N82" s="5">
        <f t="array" ref="N82">if(or({attackroll;'Dice and Macros'!$F$4:$F$11;macroroll}),randbetween(1,8),N82)</f>
        <v>6</v>
      </c>
      <c r="O82" s="5">
        <f t="array" ref="O82">if(or({attackroll;'Dice and Macros'!$F$4:$F$11;macroroll}),randbetween(1,10),O82)</f>
        <v>1</v>
      </c>
      <c r="P82" s="5">
        <f t="array" ref="P82">if(or({attackroll;'Dice and Macros'!$F$4:$F$11;macroroll}),randbetween(1,12),P82)</f>
        <v>10</v>
      </c>
      <c r="Q82" s="5">
        <f t="array" ref="Q82">if(or({attackroll;'Dice and Macros'!$F$4:$F$11;macroroll}),randbetween(1,20),Q82)</f>
        <v>4</v>
      </c>
      <c r="R82" s="5">
        <f t="array" ref="R82">if(or({attackroll;'Dice and Macros'!$F$4:$F$11;macroroll}),randbetween(1,100),R82)</f>
        <v>53</v>
      </c>
      <c r="S82" s="5">
        <f t="array" ref="S82">if(or({attackroll;'Dice and Macros'!$F$4:$F$11;macroroll}),randbetween(1,'Dice and Macros'!$D$11),S82)</f>
        <v>0</v>
      </c>
      <c r="U82" s="28"/>
      <c r="V82" s="3"/>
      <c r="W82" s="4"/>
      <c r="X82" s="14"/>
      <c r="Y82" s="37"/>
      <c r="Z82" s="4"/>
    </row>
    <row r="83">
      <c r="B83" s="44" t="s">
        <v>129</v>
      </c>
      <c r="C83" s="3"/>
      <c r="D83" s="4"/>
      <c r="E83" s="18">
        <f>spellcasterlevel</f>
        <v>14</v>
      </c>
      <c r="F83" s="19" t="str">
        <f>if(macroroll,sum(indirect("m"&amp;$K$2):indirect("m"&amp;$K$2+min(9,E83-1)))&amp;" + "&amp;randbetween(1,6)&amp;" rounds",F83)</f>
        <v>26 + 2 rounds</v>
      </c>
      <c r="G83" s="4"/>
      <c r="K83" s="5"/>
      <c r="L83" s="5">
        <f t="array" ref="L83">if(or({attackroll;'Dice and Macros'!$F$4:$F$11;macroroll}),randbetween(1,4),L83)</f>
        <v>4</v>
      </c>
      <c r="M83" s="5">
        <f t="array" ref="M83">if(or({attackroll;'Dice and Macros'!$F$4:$F$11;macroroll}),randbetween(1,6),M83)</f>
        <v>5</v>
      </c>
      <c r="N83" s="5">
        <f t="array" ref="N83">if(or({attackroll;'Dice and Macros'!$F$4:$F$11;macroroll}),randbetween(1,8),N83)</f>
        <v>4</v>
      </c>
      <c r="O83" s="5">
        <f t="array" ref="O83">if(or({attackroll;'Dice and Macros'!$F$4:$F$11;macroroll}),randbetween(1,10),O83)</f>
        <v>6</v>
      </c>
      <c r="P83" s="5">
        <f t="array" ref="P83">if(or({attackroll;'Dice and Macros'!$F$4:$F$11;macroroll}),randbetween(1,12),P83)</f>
        <v>3</v>
      </c>
      <c r="Q83" s="5">
        <f t="array" ref="Q83">if(or({attackroll;'Dice and Macros'!$F$4:$F$11;macroroll}),randbetween(1,20),Q83)</f>
        <v>16</v>
      </c>
      <c r="R83" s="5">
        <f t="array" ref="R83">if(or({attackroll;'Dice and Macros'!$F$4:$F$11;macroroll}),randbetween(1,100),R83)</f>
        <v>97</v>
      </c>
      <c r="S83" s="5">
        <f t="array" ref="S83">if(or({attackroll;'Dice and Macros'!$F$4:$F$11;macroroll}),randbetween(1,'Dice and Macros'!$D$11),S83)</f>
        <v>0</v>
      </c>
      <c r="U83" s="30"/>
      <c r="V83" s="10"/>
      <c r="W83" s="11"/>
      <c r="X83" s="7"/>
      <c r="Y83" s="36"/>
      <c r="Z83" s="11"/>
    </row>
    <row r="84">
      <c r="B84" s="35" t="s">
        <v>130</v>
      </c>
      <c r="C84" s="10"/>
      <c r="D84" s="11"/>
      <c r="E84" s="24">
        <f>spellcasterlevel</f>
        <v>14</v>
      </c>
      <c r="F84" s="25" t="str">
        <f>if(macroroll,randbetween(1,4)&amp;" D, "&amp;randbetween(1,4)+randbetween(1,4)&amp;" B, "&amp;randbetween(1,10)&amp;" P",F84)</f>
        <v>2 D, 7 B, 3 P</v>
      </c>
      <c r="G84" s="11"/>
      <c r="K84" s="5"/>
      <c r="L84" s="5">
        <f t="array" ref="L84">if(or({attackroll;'Dice and Macros'!$F$4:$F$11;macroroll}),randbetween(1,4),L84)</f>
        <v>4</v>
      </c>
      <c r="M84" s="5">
        <f t="array" ref="M84">if(or({attackroll;'Dice and Macros'!$F$4:$F$11;macroroll}),randbetween(1,6),M84)</f>
        <v>3</v>
      </c>
      <c r="N84" s="5">
        <f t="array" ref="N84">if(or({attackroll;'Dice and Macros'!$F$4:$F$11;macroroll}),randbetween(1,8),N84)</f>
        <v>2</v>
      </c>
      <c r="O84" s="5">
        <f t="array" ref="O84">if(or({attackroll;'Dice and Macros'!$F$4:$F$11;macroroll}),randbetween(1,10),O84)</f>
        <v>2</v>
      </c>
      <c r="P84" s="5">
        <f t="array" ref="P84">if(or({attackroll;'Dice and Macros'!$F$4:$F$11;macroroll}),randbetween(1,12),P84)</f>
        <v>6</v>
      </c>
      <c r="Q84" s="5">
        <f t="array" ref="Q84">if(or({attackroll;'Dice and Macros'!$F$4:$F$11;macroroll}),randbetween(1,20),Q84)</f>
        <v>5</v>
      </c>
      <c r="R84" s="5">
        <f t="array" ref="R84">if(or({attackroll;'Dice and Macros'!$F$4:$F$11;macroroll}),randbetween(1,100),R84)</f>
        <v>40</v>
      </c>
      <c r="S84" s="5">
        <f t="array" ref="S84">if(or({attackroll;'Dice and Macros'!$F$4:$F$11;macroroll}),randbetween(1,'Dice and Macros'!$D$11),S84)</f>
        <v>0</v>
      </c>
      <c r="U84" s="28"/>
      <c r="V84" s="3"/>
      <c r="W84" s="4"/>
      <c r="X84" s="14"/>
      <c r="Y84" s="37"/>
      <c r="Z84" s="4"/>
    </row>
    <row r="85">
      <c r="B85" s="28" t="s">
        <v>131</v>
      </c>
      <c r="C85" s="3"/>
      <c r="D85" s="4"/>
      <c r="E85" s="14">
        <f>spellcasterlevel</f>
        <v>14</v>
      </c>
      <c r="F85" s="19">
        <f>if(macroroll,sum(indirect("m"&amp;$K$2):indirect("m"&amp;$K$2+min(E85,20)-1)),F85)</f>
        <v>38</v>
      </c>
      <c r="G85" s="4"/>
      <c r="K85" s="5"/>
      <c r="L85" s="5">
        <f t="array" ref="L85">if(or({attackroll;'Dice and Macros'!$F$4:$F$11;macroroll}),randbetween(1,4),L85)</f>
        <v>3</v>
      </c>
      <c r="M85" s="5">
        <f t="array" ref="M85">if(or({attackroll;'Dice and Macros'!$F$4:$F$11;macroroll}),randbetween(1,6),M85)</f>
        <v>5</v>
      </c>
      <c r="N85" s="5">
        <f t="array" ref="N85">if(or({attackroll;'Dice and Macros'!$F$4:$F$11;macroroll}),randbetween(1,8),N85)</f>
        <v>3</v>
      </c>
      <c r="O85" s="5">
        <f t="array" ref="O85">if(or({attackroll;'Dice and Macros'!$F$4:$F$11;macroroll}),randbetween(1,10),O85)</f>
        <v>8</v>
      </c>
      <c r="P85" s="5">
        <f t="array" ref="P85">if(or({attackroll;'Dice and Macros'!$F$4:$F$11;macroroll}),randbetween(1,12),P85)</f>
        <v>1</v>
      </c>
      <c r="Q85" s="5">
        <f t="array" ref="Q85">if(or({attackroll;'Dice and Macros'!$F$4:$F$11;macroroll}),randbetween(1,20),Q85)</f>
        <v>12</v>
      </c>
      <c r="R85" s="5">
        <f t="array" ref="R85">if(or({attackroll;'Dice and Macros'!$F$4:$F$11;macroroll}),randbetween(1,100),R85)</f>
        <v>10</v>
      </c>
      <c r="S85" s="5">
        <f t="array" ref="S85">if(or({attackroll;'Dice and Macros'!$F$4:$F$11;macroroll}),randbetween(1,'Dice and Macros'!$D$11),S85)</f>
        <v>0</v>
      </c>
      <c r="U85" s="30"/>
      <c r="V85" s="10"/>
      <c r="W85" s="11"/>
      <c r="X85" s="7"/>
      <c r="Y85" s="36"/>
      <c r="Z85" s="11"/>
    </row>
    <row r="86">
      <c r="B86" s="35" t="s">
        <v>132</v>
      </c>
      <c r="C86" s="10"/>
      <c r="D86" s="11"/>
      <c r="E86" s="24">
        <f>spellcasterlevel</f>
        <v>14</v>
      </c>
      <c r="F86" s="25">
        <f>if(macroroll,sum(indirect("n"&amp;$K$2):indirect("n"&amp;$K$2+min(E86,20)-1)),F86)</f>
        <v>65</v>
      </c>
      <c r="G86" s="11"/>
      <c r="K86" s="5"/>
      <c r="L86" s="5">
        <f t="array" ref="L86">if(or({attackroll;'Dice and Macros'!$F$4:$F$11;macroroll}),randbetween(1,4),L86)</f>
        <v>2</v>
      </c>
      <c r="M86" s="5">
        <f t="array" ref="M86">if(or({attackroll;'Dice and Macros'!$F$4:$F$11;macroroll}),randbetween(1,6),M86)</f>
        <v>6</v>
      </c>
      <c r="N86" s="5">
        <f t="array" ref="N86">if(or({attackroll;'Dice and Macros'!$F$4:$F$11;macroroll}),randbetween(1,8),N86)</f>
        <v>1</v>
      </c>
      <c r="O86" s="5">
        <f t="array" ref="O86">if(or({attackroll;'Dice and Macros'!$F$4:$F$11;macroroll}),randbetween(1,10),O86)</f>
        <v>6</v>
      </c>
      <c r="P86" s="5">
        <f t="array" ref="P86">if(or({attackroll;'Dice and Macros'!$F$4:$F$11;macroroll}),randbetween(1,12),P86)</f>
        <v>7</v>
      </c>
      <c r="Q86" s="5">
        <f t="array" ref="Q86">if(or({attackroll;'Dice and Macros'!$F$4:$F$11;macroroll}),randbetween(1,20),Q86)</f>
        <v>18</v>
      </c>
      <c r="R86" s="5">
        <f t="array" ref="R86">if(or({attackroll;'Dice and Macros'!$F$4:$F$11;macroroll}),randbetween(1,100),R86)</f>
        <v>85</v>
      </c>
      <c r="S86" s="5">
        <f t="array" ref="S86">if(or({attackroll;'Dice and Macros'!$F$4:$F$11;macroroll}),randbetween(1,'Dice and Macros'!$D$11),S86)</f>
        <v>0</v>
      </c>
      <c r="U86" s="28"/>
      <c r="V86" s="3"/>
      <c r="W86" s="4"/>
      <c r="X86" s="14"/>
      <c r="Y86" s="37"/>
      <c r="Z86" s="4"/>
    </row>
    <row r="87">
      <c r="B87" s="28" t="s">
        <v>133</v>
      </c>
      <c r="C87" s="3"/>
      <c r="D87" s="4"/>
      <c r="E87" s="14">
        <f>spellcasterlevel</f>
        <v>14</v>
      </c>
      <c r="F87" s="19">
        <f>if(macroroll,randbetween(1,4)+randbetween(1,4)+min(E87,10),F87)</f>
        <v>17</v>
      </c>
      <c r="G87" s="4"/>
      <c r="K87" s="5"/>
      <c r="L87" s="5">
        <f t="array" ref="L87">if(or({attackroll;'Dice and Macros'!$F$4:$F$11;macroroll}),randbetween(1,4),L87)</f>
        <v>3</v>
      </c>
      <c r="M87" s="5">
        <f t="array" ref="M87">if(or({attackroll;'Dice and Macros'!$F$4:$F$11;macroroll}),randbetween(1,6),M87)</f>
        <v>4</v>
      </c>
      <c r="N87" s="5">
        <f t="array" ref="N87">if(or({attackroll;'Dice and Macros'!$F$4:$F$11;macroroll}),randbetween(1,8),N87)</f>
        <v>6</v>
      </c>
      <c r="O87" s="5">
        <f t="array" ref="O87">if(or({attackroll;'Dice and Macros'!$F$4:$F$11;macroroll}),randbetween(1,10),O87)</f>
        <v>4</v>
      </c>
      <c r="P87" s="5">
        <f t="array" ref="P87">if(or({attackroll;'Dice and Macros'!$F$4:$F$11;macroroll}),randbetween(1,12),P87)</f>
        <v>4</v>
      </c>
      <c r="Q87" s="5">
        <f t="array" ref="Q87">if(or({attackroll;'Dice and Macros'!$F$4:$F$11;macroroll}),randbetween(1,20),Q87)</f>
        <v>3</v>
      </c>
      <c r="R87" s="5">
        <f t="array" ref="R87">if(or({attackroll;'Dice and Macros'!$F$4:$F$11;macroroll}),randbetween(1,100),R87)</f>
        <v>92</v>
      </c>
      <c r="S87" s="5">
        <f t="array" ref="S87">if(or({attackroll;'Dice and Macros'!$F$4:$F$11;macroroll}),randbetween(1,'Dice and Macros'!$D$11),S87)</f>
        <v>0</v>
      </c>
      <c r="U87" s="30"/>
      <c r="V87" s="10"/>
      <c r="W87" s="11"/>
      <c r="X87" s="7"/>
      <c r="Y87" s="36"/>
      <c r="Z87" s="11"/>
    </row>
    <row r="88">
      <c r="B88" s="30" t="s">
        <v>134</v>
      </c>
      <c r="C88" s="10"/>
      <c r="D88" s="11"/>
      <c r="E88" s="7">
        <f>spellcasterlevel</f>
        <v>14</v>
      </c>
      <c r="F88" s="25">
        <f>if(macroroll,randbetween(1,4)+randbetween(1,4),F88)</f>
        <v>5</v>
      </c>
      <c r="G88" s="11"/>
      <c r="K88" s="5"/>
      <c r="L88" s="5">
        <f t="array" ref="L88">if(or({attackroll;'Dice and Macros'!$F$4:$F$11;macroroll}),randbetween(1,4),L88)</f>
        <v>2</v>
      </c>
      <c r="M88" s="5">
        <f t="array" ref="M88">if(or({attackroll;'Dice and Macros'!$F$4:$F$11;macroroll}),randbetween(1,6),M88)</f>
        <v>1</v>
      </c>
      <c r="N88" s="5">
        <f t="array" ref="N88">if(or({attackroll;'Dice and Macros'!$F$4:$F$11;macroroll}),randbetween(1,8),N88)</f>
        <v>6</v>
      </c>
      <c r="O88" s="5">
        <f t="array" ref="O88">if(or({attackroll;'Dice and Macros'!$F$4:$F$11;macroroll}),randbetween(1,10),O88)</f>
        <v>5</v>
      </c>
      <c r="P88" s="5">
        <f t="array" ref="P88">if(or({attackroll;'Dice and Macros'!$F$4:$F$11;macroroll}),randbetween(1,12),P88)</f>
        <v>7</v>
      </c>
      <c r="Q88" s="5">
        <f t="array" ref="Q88">if(or({attackroll;'Dice and Macros'!$F$4:$F$11;macroroll}),randbetween(1,20),Q88)</f>
        <v>19</v>
      </c>
      <c r="R88" s="5">
        <f t="array" ref="R88">if(or({attackroll;'Dice and Macros'!$F$4:$F$11;macroroll}),randbetween(1,100),R88)</f>
        <v>58</v>
      </c>
      <c r="S88" s="5">
        <f t="array" ref="S88">if(or({attackroll;'Dice and Macros'!$F$4:$F$11;macroroll}),randbetween(1,'Dice and Macros'!$D$11),S88)</f>
        <v>0</v>
      </c>
      <c r="U88" s="28"/>
      <c r="V88" s="3"/>
      <c r="W88" s="4"/>
      <c r="X88" s="14"/>
      <c r="Y88" s="37"/>
      <c r="Z88" s="4"/>
    </row>
    <row r="89">
      <c r="B89" s="28" t="s">
        <v>135</v>
      </c>
      <c r="C89" s="3"/>
      <c r="D89" s="4"/>
      <c r="E89" s="14">
        <f>spellcasterlevel</f>
        <v>14</v>
      </c>
      <c r="F89" s="19" t="str">
        <f>if(macroroll,randbetween(1,6)+randbetween(1,6)+randbetween(1,6)&amp;", "&amp;randbetween(1,6)+randbetween(1,6),F89)</f>
        <v>10, 7</v>
      </c>
      <c r="G89" s="4"/>
      <c r="K89" s="5"/>
      <c r="L89" s="5">
        <f t="array" ref="L89">if(or({attackroll;'Dice and Macros'!$F$4:$F$11;macroroll}),randbetween(1,4),L89)</f>
        <v>3</v>
      </c>
      <c r="M89" s="5">
        <f t="array" ref="M89">if(or({attackroll;'Dice and Macros'!$F$4:$F$11;macroroll}),randbetween(1,6),M89)</f>
        <v>6</v>
      </c>
      <c r="N89" s="5">
        <f t="array" ref="N89">if(or({attackroll;'Dice and Macros'!$F$4:$F$11;macroroll}),randbetween(1,8),N89)</f>
        <v>1</v>
      </c>
      <c r="O89" s="5">
        <f t="array" ref="O89">if(or({attackroll;'Dice and Macros'!$F$4:$F$11;macroroll}),randbetween(1,10),O89)</f>
        <v>9</v>
      </c>
      <c r="P89" s="5">
        <f t="array" ref="P89">if(or({attackroll;'Dice and Macros'!$F$4:$F$11;macroroll}),randbetween(1,12),P89)</f>
        <v>5</v>
      </c>
      <c r="Q89" s="5">
        <f t="array" ref="Q89">if(or({attackroll;'Dice and Macros'!$F$4:$F$11;macroroll}),randbetween(1,20),Q89)</f>
        <v>18</v>
      </c>
      <c r="R89" s="5">
        <f t="array" ref="R89">if(or({attackroll;'Dice and Macros'!$F$4:$F$11;macroroll}),randbetween(1,100),R89)</f>
        <v>46</v>
      </c>
      <c r="S89" s="5">
        <f t="array" ref="S89">if(or({attackroll;'Dice and Macros'!$F$4:$F$11;macroroll}),randbetween(1,'Dice and Macros'!$D$11),S89)</f>
        <v>0</v>
      </c>
      <c r="U89" s="30"/>
      <c r="V89" s="10"/>
      <c r="W89" s="11"/>
      <c r="X89" s="7"/>
      <c r="Y89" s="36"/>
      <c r="Z89" s="11"/>
    </row>
    <row r="90">
      <c r="B90" s="30" t="s">
        <v>136</v>
      </c>
      <c r="C90" s="10"/>
      <c r="D90" s="11"/>
      <c r="E90" s="7">
        <f>spellcasterlevel</f>
        <v>14</v>
      </c>
      <c r="F90" s="25">
        <f>if(macroroll,randbetween(1,6)+randbetween(1,6)+randbetween(1,6)+randbetween(1,6),F90)</f>
        <v>20</v>
      </c>
      <c r="G90" s="11"/>
      <c r="K90" s="5"/>
      <c r="L90" s="5">
        <f t="array" ref="L90">if(or({attackroll;'Dice and Macros'!$F$4:$F$11;macroroll}),randbetween(1,4),L90)</f>
        <v>4</v>
      </c>
      <c r="M90" s="5">
        <f t="array" ref="M90">if(or({attackroll;'Dice and Macros'!$F$4:$F$11;macroroll}),randbetween(1,6),M90)</f>
        <v>2</v>
      </c>
      <c r="N90" s="5">
        <f t="array" ref="N90">if(or({attackroll;'Dice and Macros'!$F$4:$F$11;macroroll}),randbetween(1,8),N90)</f>
        <v>6</v>
      </c>
      <c r="O90" s="5">
        <f t="array" ref="O90">if(or({attackroll;'Dice and Macros'!$F$4:$F$11;macroroll}),randbetween(1,10),O90)</f>
        <v>2</v>
      </c>
      <c r="P90" s="5">
        <f t="array" ref="P90">if(or({attackroll;'Dice and Macros'!$F$4:$F$11;macroroll}),randbetween(1,12),P90)</f>
        <v>10</v>
      </c>
      <c r="Q90" s="5">
        <f t="array" ref="Q90">if(or({attackroll;'Dice and Macros'!$F$4:$F$11;macroroll}),randbetween(1,20),Q90)</f>
        <v>17</v>
      </c>
      <c r="R90" s="5">
        <f t="array" ref="R90">if(or({attackroll;'Dice and Macros'!$F$4:$F$11;macroroll}),randbetween(1,100),R90)</f>
        <v>52</v>
      </c>
      <c r="S90" s="5">
        <f t="array" ref="S90">if(or({attackroll;'Dice and Macros'!$F$4:$F$11;macroroll}),randbetween(1,'Dice and Macros'!$D$11),S90)</f>
        <v>0</v>
      </c>
      <c r="U90" s="28"/>
      <c r="V90" s="3"/>
      <c r="W90" s="4"/>
      <c r="X90" s="14"/>
      <c r="Y90" s="37"/>
      <c r="Z90" s="4"/>
    </row>
    <row r="91">
      <c r="B91" s="28" t="s">
        <v>137</v>
      </c>
      <c r="C91" s="3"/>
      <c r="D91" s="4"/>
      <c r="E91" s="14">
        <f>spellcasterlevel</f>
        <v>14</v>
      </c>
      <c r="F91" s="19">
        <f>if(macroroll,sum(indirect("n"&amp;$K$2):indirect("n"&amp;$K$2+3))+min(20,E91),F91)</f>
        <v>36</v>
      </c>
      <c r="G91" s="4"/>
      <c r="K91" s="5"/>
      <c r="L91" s="5">
        <f t="array" ref="L91">if(or({attackroll;'Dice and Macros'!$F$4:$F$11;macroroll}),randbetween(1,4),L91)</f>
        <v>1</v>
      </c>
      <c r="M91" s="5">
        <f t="array" ref="M91">if(or({attackroll;'Dice and Macros'!$F$4:$F$11;macroroll}),randbetween(1,6),M91)</f>
        <v>5</v>
      </c>
      <c r="N91" s="5">
        <f t="array" ref="N91">if(or({attackroll;'Dice and Macros'!$F$4:$F$11;macroroll}),randbetween(1,8),N91)</f>
        <v>1</v>
      </c>
      <c r="O91" s="5">
        <f t="array" ref="O91">if(or({attackroll;'Dice and Macros'!$F$4:$F$11;macroroll}),randbetween(1,10),O91)</f>
        <v>8</v>
      </c>
      <c r="P91" s="5">
        <f t="array" ref="P91">if(or({attackroll;'Dice and Macros'!$F$4:$F$11;macroroll}),randbetween(1,12),P91)</f>
        <v>1</v>
      </c>
      <c r="Q91" s="5">
        <f t="array" ref="Q91">if(or({attackroll;'Dice and Macros'!$F$4:$F$11;macroroll}),randbetween(1,20),Q91)</f>
        <v>3</v>
      </c>
      <c r="R91" s="5">
        <f t="array" ref="R91">if(or({attackroll;'Dice and Macros'!$F$4:$F$11;macroroll}),randbetween(1,100),R91)</f>
        <v>59</v>
      </c>
      <c r="S91" s="5">
        <f t="array" ref="S91">if(or({attackroll;'Dice and Macros'!$F$4:$F$11;macroroll}),randbetween(1,'Dice and Macros'!$D$11),S91)</f>
        <v>0</v>
      </c>
      <c r="U91" s="30"/>
      <c r="V91" s="10"/>
      <c r="W91" s="11"/>
      <c r="X91" s="7"/>
      <c r="Y91" s="36"/>
      <c r="Z91" s="11"/>
    </row>
    <row r="92">
      <c r="B92" s="30" t="s">
        <v>138</v>
      </c>
      <c r="C92" s="10"/>
      <c r="D92" s="11"/>
      <c r="E92" s="7">
        <f>spellcasterlevel</f>
        <v>14</v>
      </c>
      <c r="F92" s="25">
        <f>if(macroroll,sum(indirect("n"&amp;$K$2):indirect("n"&amp;$K$2+3))+min(40,E92),F92)</f>
        <v>36</v>
      </c>
      <c r="G92" s="11"/>
      <c r="K92" s="5"/>
      <c r="L92" s="5">
        <f t="array" ref="L92">if(or({attackroll;'Dice and Macros'!$F$4:$F$11;macroroll}),randbetween(1,4),L92)</f>
        <v>3</v>
      </c>
      <c r="M92" s="5">
        <f t="array" ref="M92">if(or({attackroll;'Dice and Macros'!$F$4:$F$11;macroroll}),randbetween(1,6),M92)</f>
        <v>3</v>
      </c>
      <c r="N92" s="5">
        <f t="array" ref="N92">if(or({attackroll;'Dice and Macros'!$F$4:$F$11;macroroll}),randbetween(1,8),N92)</f>
        <v>8</v>
      </c>
      <c r="O92" s="5">
        <f t="array" ref="O92">if(or({attackroll;'Dice and Macros'!$F$4:$F$11;macroroll}),randbetween(1,10),O92)</f>
        <v>4</v>
      </c>
      <c r="P92" s="5">
        <f t="array" ref="P92">if(or({attackroll;'Dice and Macros'!$F$4:$F$11;macroroll}),randbetween(1,12),P92)</f>
        <v>8</v>
      </c>
      <c r="Q92" s="5">
        <f t="array" ref="Q92">if(or({attackroll;'Dice and Macros'!$F$4:$F$11;macroroll}),randbetween(1,20),Q92)</f>
        <v>8</v>
      </c>
      <c r="R92" s="5">
        <f t="array" ref="R92">if(or({attackroll;'Dice and Macros'!$F$4:$F$11;macroroll}),randbetween(1,100),R92)</f>
        <v>91</v>
      </c>
      <c r="S92" s="5">
        <f t="array" ref="S92">if(or({attackroll;'Dice and Macros'!$F$4:$F$11;macroroll}),randbetween(1,'Dice and Macros'!$D$11),S92)</f>
        <v>0</v>
      </c>
      <c r="U92" s="28"/>
      <c r="V92" s="3"/>
      <c r="W92" s="4"/>
      <c r="X92" s="14"/>
      <c r="Y92" s="37"/>
      <c r="Z92" s="4"/>
    </row>
    <row r="93">
      <c r="B93" s="28" t="s">
        <v>139</v>
      </c>
      <c r="C93" s="3"/>
      <c r="D93" s="4"/>
      <c r="E93" s="14">
        <f>spellcasterlevel</f>
        <v>14</v>
      </c>
      <c r="F93" s="19">
        <f>if(macroroll,randbetween(1,8)+min(5,E93),F93)</f>
        <v>10</v>
      </c>
      <c r="G93" s="4"/>
      <c r="K93" s="5"/>
      <c r="L93" s="5">
        <f t="array" ref="L93">if(or({attackroll;'Dice and Macros'!$F$4:$F$11;macroroll}),randbetween(1,4),L93)</f>
        <v>2</v>
      </c>
      <c r="M93" s="5">
        <f t="array" ref="M93">if(or({attackroll;'Dice and Macros'!$F$4:$F$11;macroroll}),randbetween(1,6),M93)</f>
        <v>5</v>
      </c>
      <c r="N93" s="5">
        <f t="array" ref="N93">if(or({attackroll;'Dice and Macros'!$F$4:$F$11;macroroll}),randbetween(1,8),N93)</f>
        <v>5</v>
      </c>
      <c r="O93" s="5">
        <f t="array" ref="O93">if(or({attackroll;'Dice and Macros'!$F$4:$F$11;macroroll}),randbetween(1,10),O93)</f>
        <v>10</v>
      </c>
      <c r="P93" s="5">
        <f t="array" ref="P93">if(or({attackroll;'Dice and Macros'!$F$4:$F$11;macroroll}),randbetween(1,12),P93)</f>
        <v>4</v>
      </c>
      <c r="Q93" s="5">
        <f t="array" ref="Q93">if(or({attackroll;'Dice and Macros'!$F$4:$F$11;macroroll}),randbetween(1,20),Q93)</f>
        <v>9</v>
      </c>
      <c r="R93" s="5">
        <f t="array" ref="R93">if(or({attackroll;'Dice and Macros'!$F$4:$F$11;macroroll}),randbetween(1,100),R93)</f>
        <v>15</v>
      </c>
      <c r="S93" s="5">
        <f t="array" ref="S93">if(or({attackroll;'Dice and Macros'!$F$4:$F$11;macroroll}),randbetween(1,'Dice and Macros'!$D$11),S93)</f>
        <v>0</v>
      </c>
      <c r="U93" s="30"/>
      <c r="V93" s="10"/>
      <c r="W93" s="11"/>
      <c r="X93" s="7"/>
      <c r="Y93" s="36"/>
      <c r="Z93" s="11"/>
    </row>
    <row r="94">
      <c r="B94" s="30" t="s">
        <v>140</v>
      </c>
      <c r="C94" s="10"/>
      <c r="D94" s="11"/>
      <c r="E94" s="7">
        <f>spellcasterlevel</f>
        <v>14</v>
      </c>
      <c r="F94" s="25">
        <f>if(macroroll,randbetween(1,8)+min(25,E94),F94)</f>
        <v>17</v>
      </c>
      <c r="G94" s="11"/>
      <c r="K94" s="5"/>
      <c r="L94" s="5">
        <f t="array" ref="L94">if(or({attackroll;'Dice and Macros'!$F$4:$F$11;macroroll}),randbetween(1,4),L94)</f>
        <v>1</v>
      </c>
      <c r="M94" s="5">
        <f t="array" ref="M94">if(or({attackroll;'Dice and Macros'!$F$4:$F$11;macroroll}),randbetween(1,6),M94)</f>
        <v>4</v>
      </c>
      <c r="N94" s="5">
        <f t="array" ref="N94">if(or({attackroll;'Dice and Macros'!$F$4:$F$11;macroroll}),randbetween(1,8),N94)</f>
        <v>2</v>
      </c>
      <c r="O94" s="5">
        <f t="array" ref="O94">if(or({attackroll;'Dice and Macros'!$F$4:$F$11;macroroll}),randbetween(1,10),O94)</f>
        <v>3</v>
      </c>
      <c r="P94" s="5">
        <f t="array" ref="P94">if(or({attackroll;'Dice and Macros'!$F$4:$F$11;macroroll}),randbetween(1,12),P94)</f>
        <v>8</v>
      </c>
      <c r="Q94" s="5">
        <f t="array" ref="Q94">if(or({attackroll;'Dice and Macros'!$F$4:$F$11;macroroll}),randbetween(1,20),Q94)</f>
        <v>13</v>
      </c>
      <c r="R94" s="5">
        <f t="array" ref="R94">if(or({attackroll;'Dice and Macros'!$F$4:$F$11;macroroll}),randbetween(1,100),R94)</f>
        <v>91</v>
      </c>
      <c r="S94" s="5">
        <f t="array" ref="S94">if(or({attackroll;'Dice and Macros'!$F$4:$F$11;macroroll}),randbetween(1,'Dice and Macros'!$D$11),S94)</f>
        <v>0</v>
      </c>
      <c r="U94" s="28"/>
      <c r="V94" s="3"/>
      <c r="W94" s="4"/>
      <c r="X94" s="14"/>
      <c r="Y94" s="37"/>
      <c r="Z94" s="4"/>
    </row>
    <row r="95">
      <c r="B95" s="28" t="s">
        <v>141</v>
      </c>
      <c r="C95" s="3"/>
      <c r="D95" s="4"/>
      <c r="E95" s="14">
        <f>spellcasterlevel</f>
        <v>14</v>
      </c>
      <c r="F95" s="19">
        <f>if(macroroll,sum(indirect("n"&amp;$K$2):indirect("n"&amp;$K$2+1))+min(10,E95),F95)</f>
        <v>22</v>
      </c>
      <c r="G95" s="4"/>
      <c r="K95" s="5"/>
      <c r="L95" s="5">
        <f t="array" ref="L95">if(or({attackroll;'Dice and Macros'!$F$4:$F$11;macroroll}),randbetween(1,4),L95)</f>
        <v>1</v>
      </c>
      <c r="M95" s="5">
        <f t="array" ref="M95">if(or({attackroll;'Dice and Macros'!$F$4:$F$11;macroroll}),randbetween(1,6),M95)</f>
        <v>4</v>
      </c>
      <c r="N95" s="5">
        <f t="array" ref="N95">if(or({attackroll;'Dice and Macros'!$F$4:$F$11;macroroll}),randbetween(1,8),N95)</f>
        <v>1</v>
      </c>
      <c r="O95" s="5">
        <f t="array" ref="O95">if(or({attackroll;'Dice and Macros'!$F$4:$F$11;macroroll}),randbetween(1,10),O95)</f>
        <v>8</v>
      </c>
      <c r="P95" s="5">
        <f t="array" ref="P95">if(or({attackroll;'Dice and Macros'!$F$4:$F$11;macroroll}),randbetween(1,12),P95)</f>
        <v>5</v>
      </c>
      <c r="Q95" s="5">
        <f t="array" ref="Q95">if(or({attackroll;'Dice and Macros'!$F$4:$F$11;macroroll}),randbetween(1,20),Q95)</f>
        <v>19</v>
      </c>
      <c r="R95" s="5">
        <f t="array" ref="R95">if(or({attackroll;'Dice and Macros'!$F$4:$F$11;macroroll}),randbetween(1,100),R95)</f>
        <v>94</v>
      </c>
      <c r="S95" s="5">
        <f t="array" ref="S95">if(or({attackroll;'Dice and Macros'!$F$4:$F$11;macroroll}),randbetween(1,'Dice and Macros'!$D$11),S95)</f>
        <v>0</v>
      </c>
      <c r="U95" s="30"/>
      <c r="V95" s="10"/>
      <c r="W95" s="11"/>
      <c r="X95" s="7"/>
      <c r="Y95" s="36"/>
      <c r="Z95" s="11"/>
    </row>
    <row r="96">
      <c r="B96" s="35" t="s">
        <v>142</v>
      </c>
      <c r="C96" s="10"/>
      <c r="D96" s="11"/>
      <c r="E96" s="24">
        <f>spellcasterlevel</f>
        <v>14</v>
      </c>
      <c r="F96" s="25">
        <f>if(macroroll,sum(indirect("n"&amp;$K$2):indirect("n"&amp;$K$2+1))+min(25,E96),F96)</f>
        <v>26</v>
      </c>
      <c r="G96" s="11"/>
      <c r="K96" s="5"/>
      <c r="L96" s="5">
        <f t="array" ref="L96">if(or({attackroll;'Dice and Macros'!$F$4:$F$11;macroroll}),randbetween(1,4),L96)</f>
        <v>1</v>
      </c>
      <c r="M96" s="5">
        <f t="array" ref="M96">if(or({attackroll;'Dice and Macros'!$F$4:$F$11;macroroll}),randbetween(1,6),M96)</f>
        <v>4</v>
      </c>
      <c r="N96" s="5">
        <f t="array" ref="N96">if(or({attackroll;'Dice and Macros'!$F$4:$F$11;macroroll}),randbetween(1,8),N96)</f>
        <v>3</v>
      </c>
      <c r="O96" s="5">
        <f t="array" ref="O96">if(or({attackroll;'Dice and Macros'!$F$4:$F$11;macroroll}),randbetween(1,10),O96)</f>
        <v>5</v>
      </c>
      <c r="P96" s="5">
        <f t="array" ref="P96">if(or({attackroll;'Dice and Macros'!$F$4:$F$11;macroroll}),randbetween(1,12),P96)</f>
        <v>10</v>
      </c>
      <c r="Q96" s="5">
        <f t="array" ref="Q96">if(or({attackroll;'Dice and Macros'!$F$4:$F$11;macroroll}),randbetween(1,20),Q96)</f>
        <v>3</v>
      </c>
      <c r="R96" s="5">
        <f t="array" ref="R96">if(or({attackroll;'Dice and Macros'!$F$4:$F$11;macroroll}),randbetween(1,100),R96)</f>
        <v>55</v>
      </c>
      <c r="S96" s="5">
        <f t="array" ref="S96">if(or({attackroll;'Dice and Macros'!$F$4:$F$11;macroroll}),randbetween(1,'Dice and Macros'!$D$11),S96)</f>
        <v>0</v>
      </c>
      <c r="U96" s="17"/>
      <c r="V96" s="3"/>
      <c r="W96" s="4"/>
      <c r="X96" s="38"/>
      <c r="Y96" s="39"/>
      <c r="Z96" s="4"/>
    </row>
    <row r="97">
      <c r="B97" s="28" t="s">
        <v>143</v>
      </c>
      <c r="C97" s="3"/>
      <c r="D97" s="4"/>
      <c r="E97" s="14">
        <f>spellcasterlevel</f>
        <v>14</v>
      </c>
      <c r="F97" s="19">
        <f>if(macroroll,sum(indirect("n"&amp;$K$2):indirect("n"&amp;$K$2+2))+min(15,E97),F97)</f>
        <v>31</v>
      </c>
      <c r="G97" s="4"/>
      <c r="K97" s="5"/>
      <c r="L97" s="5">
        <f t="array" ref="L97">if(or({attackroll;'Dice and Macros'!$F$4:$F$11;macroroll}),randbetween(1,4),L97)</f>
        <v>2</v>
      </c>
      <c r="M97" s="5">
        <f t="array" ref="M97">if(or({attackroll;'Dice and Macros'!$F$4:$F$11;macroroll}),randbetween(1,6),M97)</f>
        <v>6</v>
      </c>
      <c r="N97" s="5">
        <f t="array" ref="N97">if(or({attackroll;'Dice and Macros'!$F$4:$F$11;macroroll}),randbetween(1,8),N97)</f>
        <v>7</v>
      </c>
      <c r="O97" s="5">
        <f t="array" ref="O97">if(or({attackroll;'Dice and Macros'!$F$4:$F$11;macroroll}),randbetween(1,10),O97)</f>
        <v>4</v>
      </c>
      <c r="P97" s="5">
        <f t="array" ref="P97">if(or({attackroll;'Dice and Macros'!$F$4:$F$11;macroroll}),randbetween(1,12),P97)</f>
        <v>2</v>
      </c>
      <c r="Q97" s="5">
        <f t="array" ref="Q97">if(or({attackroll;'Dice and Macros'!$F$4:$F$11;macroroll}),randbetween(1,20),Q97)</f>
        <v>5</v>
      </c>
      <c r="R97" s="5">
        <f t="array" ref="R97">if(or({attackroll;'Dice and Macros'!$F$4:$F$11;macroroll}),randbetween(1,100),R97)</f>
        <v>6</v>
      </c>
      <c r="S97" s="5">
        <f t="array" ref="S97">if(or({attackroll;'Dice and Macros'!$F$4:$F$11;macroroll}),randbetween(1,'Dice and Macros'!$D$11),S97)</f>
        <v>0</v>
      </c>
      <c r="U97" s="30"/>
      <c r="V97" s="10"/>
      <c r="W97" s="11"/>
      <c r="X97" s="7"/>
      <c r="Y97" s="36"/>
      <c r="Z97" s="11"/>
    </row>
    <row r="98">
      <c r="B98" s="30" t="s">
        <v>144</v>
      </c>
      <c r="C98" s="10"/>
      <c r="D98" s="11"/>
      <c r="E98" s="7">
        <f>spellcasterlevel</f>
        <v>14</v>
      </c>
      <c r="F98" s="25">
        <f>if(macroroll,sum(indirect("n"&amp;$K$2):indirect("n"&amp;$K$2+2))+min(35,E98),F98)</f>
        <v>31</v>
      </c>
      <c r="G98" s="11"/>
      <c r="K98" s="5"/>
      <c r="L98" s="5">
        <f t="array" ref="L98">if(or({attackroll;'Dice and Macros'!$F$4:$F$11;macroroll}),randbetween(1,4),L98)</f>
        <v>2</v>
      </c>
      <c r="M98" s="5">
        <f t="array" ref="M98">if(or({attackroll;'Dice and Macros'!$F$4:$F$11;macroroll}),randbetween(1,6),M98)</f>
        <v>6</v>
      </c>
      <c r="N98" s="5">
        <f t="array" ref="N98">if(or({attackroll;'Dice and Macros'!$F$4:$F$11;macroroll}),randbetween(1,8),N98)</f>
        <v>4</v>
      </c>
      <c r="O98" s="5">
        <f t="array" ref="O98">if(or({attackroll;'Dice and Macros'!$F$4:$F$11;macroroll}),randbetween(1,10),O98)</f>
        <v>4</v>
      </c>
      <c r="P98" s="5">
        <f t="array" ref="P98">if(or({attackroll;'Dice and Macros'!$F$4:$F$11;macroroll}),randbetween(1,12),P98)</f>
        <v>1</v>
      </c>
      <c r="Q98" s="5">
        <f t="array" ref="Q98">if(or({attackroll;'Dice and Macros'!$F$4:$F$11;macroroll}),randbetween(1,20),Q98)</f>
        <v>4</v>
      </c>
      <c r="R98" s="5">
        <f t="array" ref="R98">if(or({attackroll;'Dice and Macros'!$F$4:$F$11;macroroll}),randbetween(1,100),R98)</f>
        <v>14</v>
      </c>
      <c r="S98" s="5">
        <f t="array" ref="S98">if(or({attackroll;'Dice and Macros'!$F$4:$F$11;macroroll}),randbetween(1,'Dice and Macros'!$D$11),S98)</f>
        <v>0</v>
      </c>
      <c r="U98" s="28"/>
      <c r="V98" s="3"/>
      <c r="W98" s="4"/>
      <c r="X98" s="14"/>
      <c r="Y98" s="37"/>
      <c r="Z98" s="4"/>
    </row>
    <row r="99">
      <c r="B99" s="28" t="s">
        <v>145</v>
      </c>
      <c r="C99" s="3"/>
      <c r="D99" s="4"/>
      <c r="E99" s="14">
        <f>spellcasterlevel</f>
        <v>14</v>
      </c>
      <c r="F99" s="19" t="str">
        <f>if(macroroll,randbetween(1,4)*10&amp;" minutes",F99)</f>
        <v>20 minutes</v>
      </c>
      <c r="G99" s="4"/>
      <c r="K99" s="5"/>
      <c r="L99" s="5">
        <f t="array" ref="L99">if(or({attackroll;'Dice and Macros'!$F$4:$F$11;macroroll}),randbetween(1,4),L99)</f>
        <v>4</v>
      </c>
      <c r="M99" s="5">
        <f t="array" ref="M99">if(or({attackroll;'Dice and Macros'!$F$4:$F$11;macroroll}),randbetween(1,6),M99)</f>
        <v>4</v>
      </c>
      <c r="N99" s="5">
        <f t="array" ref="N99">if(or({attackroll;'Dice and Macros'!$F$4:$F$11;macroroll}),randbetween(1,8),N99)</f>
        <v>4</v>
      </c>
      <c r="O99" s="5">
        <f t="array" ref="O99">if(or({attackroll;'Dice and Macros'!$F$4:$F$11;macroroll}),randbetween(1,10),O99)</f>
        <v>9</v>
      </c>
      <c r="P99" s="5">
        <f t="array" ref="P99">if(or({attackroll;'Dice and Macros'!$F$4:$F$11;macroroll}),randbetween(1,12),P99)</f>
        <v>8</v>
      </c>
      <c r="Q99" s="5">
        <f t="array" ref="Q99">if(or({attackroll;'Dice and Macros'!$F$4:$F$11;macroroll}),randbetween(1,20),Q99)</f>
        <v>6</v>
      </c>
      <c r="R99" s="5">
        <f t="array" ref="R99">if(or({attackroll;'Dice and Macros'!$F$4:$F$11;macroroll}),randbetween(1,100),R99)</f>
        <v>49</v>
      </c>
      <c r="S99" s="5">
        <f t="array" ref="S99">if(or({attackroll;'Dice and Macros'!$F$4:$F$11;macroroll}),randbetween(1,'Dice and Macros'!$D$11),S99)</f>
        <v>0</v>
      </c>
      <c r="U99" s="30"/>
      <c r="V99" s="10"/>
      <c r="W99" s="11"/>
      <c r="X99" s="7"/>
      <c r="Y99" s="36"/>
      <c r="Z99" s="11"/>
    </row>
    <row r="100">
      <c r="B100" s="35" t="s">
        <v>146</v>
      </c>
      <c r="C100" s="10"/>
      <c r="D100" s="11"/>
      <c r="E100" s="24">
        <f>spellcasterlevel</f>
        <v>14</v>
      </c>
      <c r="F100" s="25" t="str">
        <f>if(macroroll,randbetween(1,10)&amp;" days",F100)</f>
        <v>9 days</v>
      </c>
      <c r="G100" s="11"/>
      <c r="K100" s="5"/>
      <c r="L100" s="5">
        <f t="array" ref="L100">if(or({attackroll;'Dice and Macros'!$F$4:$F$11;macroroll}),randbetween(1,4),L100)</f>
        <v>4</v>
      </c>
      <c r="M100" s="5">
        <f t="array" ref="M100">if(or({attackroll;'Dice and Macros'!$F$4:$F$11;macroroll}),randbetween(1,6),M100)</f>
        <v>6</v>
      </c>
      <c r="N100" s="5">
        <f t="array" ref="N100">if(or({attackroll;'Dice and Macros'!$F$4:$F$11;macroroll}),randbetween(1,8),N100)</f>
        <v>7</v>
      </c>
      <c r="O100" s="5">
        <f t="array" ref="O100">if(or({attackroll;'Dice and Macros'!$F$4:$F$11;macroroll}),randbetween(1,10),O100)</f>
        <v>4</v>
      </c>
      <c r="P100" s="5">
        <f t="array" ref="P100">if(or({attackroll;'Dice and Macros'!$F$4:$F$11;macroroll}),randbetween(1,12),P100)</f>
        <v>8</v>
      </c>
      <c r="Q100" s="5">
        <f t="array" ref="Q100">if(or({attackroll;'Dice and Macros'!$F$4:$F$11;macroroll}),randbetween(1,20),Q100)</f>
        <v>17</v>
      </c>
      <c r="R100" s="5">
        <f t="array" ref="R100">if(or({attackroll;'Dice and Macros'!$F$4:$F$11;macroroll}),randbetween(1,100),R100)</f>
        <v>34</v>
      </c>
      <c r="S100" s="5">
        <f t="array" ref="S100">if(or({attackroll;'Dice and Macros'!$F$4:$F$11;macroroll}),randbetween(1,'Dice and Macros'!$D$11),S100)</f>
        <v>0</v>
      </c>
    </row>
    <row r="101">
      <c r="B101" s="17" t="s">
        <v>147</v>
      </c>
      <c r="C101" s="3"/>
      <c r="D101" s="4"/>
      <c r="E101" s="18">
        <f>spellcasterlevel</f>
        <v>14</v>
      </c>
      <c r="F101" s="19" t="str">
        <f>if(macroroll,randbetween(1,6)+randbetween(1,6)&amp;" weeks",F101)</f>
        <v>12 weeks</v>
      </c>
      <c r="G101" s="4"/>
      <c r="K101" s="5"/>
      <c r="L101" s="5">
        <f t="array" ref="L101">if(or({attackroll;'Dice and Macros'!$F$4:$F$11;macroroll}),randbetween(1,4),L101)</f>
        <v>1</v>
      </c>
      <c r="M101" s="5">
        <f t="array" ref="M101">if(or({attackroll;'Dice and Macros'!$F$4:$F$11;macroroll}),randbetween(1,6),M101)</f>
        <v>4</v>
      </c>
      <c r="N101" s="5">
        <f t="array" ref="N101">if(or({attackroll;'Dice and Macros'!$F$4:$F$11;macroroll}),randbetween(1,8),N101)</f>
        <v>5</v>
      </c>
      <c r="O101" s="5">
        <f t="array" ref="O101">if(or({attackroll;'Dice and Macros'!$F$4:$F$11;macroroll}),randbetween(1,10),O101)</f>
        <v>7</v>
      </c>
      <c r="P101" s="5">
        <f t="array" ref="P101">if(or({attackroll;'Dice and Macros'!$F$4:$F$11;macroroll}),randbetween(1,12),P101)</f>
        <v>12</v>
      </c>
      <c r="Q101" s="5">
        <f t="array" ref="Q101">if(or({attackroll;'Dice and Macros'!$F$4:$F$11;macroroll}),randbetween(1,20),Q101)</f>
        <v>5</v>
      </c>
      <c r="R101" s="5">
        <f t="array" ref="R101">if(or({attackroll;'Dice and Macros'!$F$4:$F$11;macroroll}),randbetween(1,100),R101)</f>
        <v>80</v>
      </c>
      <c r="S101" s="5">
        <f t="array" ref="S101">if(or({attackroll;'Dice and Macros'!$F$4:$F$11;macroroll}),randbetween(1,'Dice and Macros'!$D$11),S101)</f>
        <v>0</v>
      </c>
    </row>
    <row r="102">
      <c r="B102" s="30" t="s">
        <v>148</v>
      </c>
      <c r="C102" s="10"/>
      <c r="D102" s="11"/>
      <c r="E102" s="7">
        <f>spellcasterlevel</f>
        <v>14</v>
      </c>
      <c r="F102" s="25">
        <f>if(macroroll,sum(indirect("m"&amp;$K$2):indirect("m"&amp;$K$2+min(9,E102-1))),F102)</f>
        <v>26</v>
      </c>
      <c r="G102" s="11"/>
      <c r="K102" s="5"/>
      <c r="L102" s="5">
        <f t="array" ref="L102">if(or({attackroll;'Dice and Macros'!$F$4:$F$11;macroroll}),randbetween(1,4),L102)</f>
        <v>2</v>
      </c>
      <c r="M102" s="5">
        <f t="array" ref="M102">if(or({attackroll;'Dice and Macros'!$F$4:$F$11;macroroll}),randbetween(1,6),M102)</f>
        <v>4</v>
      </c>
      <c r="N102" s="5">
        <f t="array" ref="N102">if(or({attackroll;'Dice and Macros'!$F$4:$F$11;macroroll}),randbetween(1,8),N102)</f>
        <v>8</v>
      </c>
      <c r="O102" s="5">
        <f t="array" ref="O102">if(or({attackroll;'Dice and Macros'!$F$4:$F$11;macroroll}),randbetween(1,10),O102)</f>
        <v>10</v>
      </c>
      <c r="P102" s="5">
        <f t="array" ref="P102">if(or({attackroll;'Dice and Macros'!$F$4:$F$11;macroroll}),randbetween(1,12),P102)</f>
        <v>3</v>
      </c>
      <c r="Q102" s="5">
        <f t="array" ref="Q102">if(or({attackroll;'Dice and Macros'!$F$4:$F$11;macroroll}),randbetween(1,20),Q102)</f>
        <v>11</v>
      </c>
      <c r="R102" s="5">
        <f t="array" ref="R102">if(or({attackroll;'Dice and Macros'!$F$4:$F$11;macroroll}),randbetween(1,100),R102)</f>
        <v>85</v>
      </c>
      <c r="S102" s="5">
        <f t="array" ref="S102">if(or({attackroll;'Dice and Macros'!$F$4:$F$11;macroroll}),randbetween(1,'Dice and Macros'!$D$11),S102)</f>
        <v>0</v>
      </c>
    </row>
    <row r="103">
      <c r="B103" s="28" t="s">
        <v>149</v>
      </c>
      <c r="C103" s="3"/>
      <c r="D103" s="4"/>
      <c r="E103" s="14">
        <f>spellcasterlevel</f>
        <v>14</v>
      </c>
      <c r="F103" s="19">
        <f>if(macroroll,randbetween(1,100),F103)</f>
        <v>99</v>
      </c>
      <c r="G103" s="4"/>
      <c r="K103" s="5"/>
      <c r="L103" s="5">
        <f t="array" ref="L103">if(or({attackroll;'Dice and Macros'!$F$4:$F$11;macroroll}),randbetween(1,4),L103)</f>
        <v>2</v>
      </c>
      <c r="M103" s="5">
        <f t="array" ref="M103">if(or({attackroll;'Dice and Macros'!$F$4:$F$11;macroroll}),randbetween(1,6),M103)</f>
        <v>5</v>
      </c>
      <c r="N103" s="5">
        <f t="array" ref="N103">if(or({attackroll;'Dice and Macros'!$F$4:$F$11;macroroll}),randbetween(1,8),N103)</f>
        <v>4</v>
      </c>
      <c r="O103" s="5">
        <f t="array" ref="O103">if(or({attackroll;'Dice and Macros'!$F$4:$F$11;macroroll}),randbetween(1,10),O103)</f>
        <v>6</v>
      </c>
      <c r="P103" s="5">
        <f t="array" ref="P103">if(or({attackroll;'Dice and Macros'!$F$4:$F$11;macroroll}),randbetween(1,12),P103)</f>
        <v>9</v>
      </c>
      <c r="Q103" s="5">
        <f t="array" ref="Q103">if(or({attackroll;'Dice and Macros'!$F$4:$F$11;macroroll}),randbetween(1,20),Q103)</f>
        <v>15</v>
      </c>
      <c r="R103" s="5">
        <f t="array" ref="R103">if(or({attackroll;'Dice and Macros'!$F$4:$F$11;macroroll}),randbetween(1,100),R103)</f>
        <v>39</v>
      </c>
      <c r="S103" s="5">
        <f t="array" ref="S103">if(or({attackroll;'Dice and Macros'!$F$4:$F$11;macroroll}),randbetween(1,'Dice and Macros'!$D$11),S103)</f>
        <v>0</v>
      </c>
    </row>
    <row r="104">
      <c r="B104" s="30" t="s">
        <v>150</v>
      </c>
      <c r="C104" s="10"/>
      <c r="D104" s="11"/>
      <c r="E104" s="7">
        <f>spellcasterlevel</f>
        <v>14</v>
      </c>
      <c r="F104" s="25">
        <f>if(macroroll,sum(indirect("l"&amp;$K$2):indirect("l"&amp;$K$2+min(floor((E104-1)/2,1),4)))+min(floor((E104-1)/2,1),4)+1,F104)</f>
        <v>23</v>
      </c>
      <c r="G104" s="11"/>
      <c r="K104" s="5"/>
      <c r="L104" s="5">
        <f t="array" ref="L104">if(or({attackroll;'Dice and Macros'!$F$4:$F$11;macroroll}),randbetween(1,4),L104)</f>
        <v>4</v>
      </c>
      <c r="M104" s="5">
        <f t="array" ref="M104">if(or({attackroll;'Dice and Macros'!$F$4:$F$11;macroroll}),randbetween(1,6),M104)</f>
        <v>2</v>
      </c>
      <c r="N104" s="5">
        <f t="array" ref="N104">if(or({attackroll;'Dice and Macros'!$F$4:$F$11;macroroll}),randbetween(1,8),N104)</f>
        <v>5</v>
      </c>
      <c r="O104" s="5">
        <f t="array" ref="O104">if(or({attackroll;'Dice and Macros'!$F$4:$F$11;macroroll}),randbetween(1,10),O104)</f>
        <v>6</v>
      </c>
      <c r="P104" s="5">
        <f t="array" ref="P104">if(or({attackroll;'Dice and Macros'!$F$4:$F$11;macroroll}),randbetween(1,12),P104)</f>
        <v>3</v>
      </c>
      <c r="Q104" s="5">
        <f t="array" ref="Q104">if(or({attackroll;'Dice and Macros'!$F$4:$F$11;macroroll}),randbetween(1,20),Q104)</f>
        <v>13</v>
      </c>
      <c r="R104" s="5">
        <f t="array" ref="R104">if(or({attackroll;'Dice and Macros'!$F$4:$F$11;macroroll}),randbetween(1,100),R104)</f>
        <v>37</v>
      </c>
      <c r="S104" s="5">
        <f t="array" ref="S104">if(or({attackroll;'Dice and Macros'!$F$4:$F$11;macroroll}),randbetween(1,'Dice and Macros'!$D$11),S104)</f>
        <v>0</v>
      </c>
    </row>
    <row r="105">
      <c r="B105" s="28" t="s">
        <v>151</v>
      </c>
      <c r="C105" s="3"/>
      <c r="D105" s="4"/>
      <c r="E105" s="14">
        <f>spellcasterlevel</f>
        <v>14</v>
      </c>
      <c r="F105" s="19">
        <f>if(macroroll,sum(indirect("m"&amp;$K$2):indirect("m"&amp;$K$2+4)),F105)</f>
        <v>12</v>
      </c>
      <c r="G105" s="4"/>
      <c r="K105" s="5"/>
      <c r="L105" s="5">
        <f t="array" ref="L105">if(or({attackroll;'Dice and Macros'!$F$4:$F$11;macroroll}),randbetween(1,4),L105)</f>
        <v>1</v>
      </c>
      <c r="M105" s="5">
        <f t="array" ref="M105">if(or({attackroll;'Dice and Macros'!$F$4:$F$11;macroroll}),randbetween(1,6),M105)</f>
        <v>4</v>
      </c>
      <c r="N105" s="5">
        <f t="array" ref="N105">if(or({attackroll;'Dice and Macros'!$F$4:$F$11;macroroll}),randbetween(1,8),N105)</f>
        <v>7</v>
      </c>
      <c r="O105" s="5">
        <f t="array" ref="O105">if(or({attackroll;'Dice and Macros'!$F$4:$F$11;macroroll}),randbetween(1,10),O105)</f>
        <v>4</v>
      </c>
      <c r="P105" s="5">
        <f t="array" ref="P105">if(or({attackroll;'Dice and Macros'!$F$4:$F$11;macroroll}),randbetween(1,12),P105)</f>
        <v>10</v>
      </c>
      <c r="Q105" s="5">
        <f t="array" ref="Q105">if(or({attackroll;'Dice and Macros'!$F$4:$F$11;macroroll}),randbetween(1,20),Q105)</f>
        <v>15</v>
      </c>
      <c r="R105" s="5">
        <f t="array" ref="R105">if(or({attackroll;'Dice and Macros'!$F$4:$F$11;macroroll}),randbetween(1,100),R105)</f>
        <v>36</v>
      </c>
      <c r="S105" s="5">
        <f t="array" ref="S105">if(or({attackroll;'Dice and Macros'!$F$4:$F$11;macroroll}),randbetween(1,'Dice and Macros'!$D$11),S105)</f>
        <v>0</v>
      </c>
    </row>
    <row r="106">
      <c r="B106" s="30" t="s">
        <v>152</v>
      </c>
      <c r="C106" s="10"/>
      <c r="D106" s="11"/>
      <c r="E106" s="7">
        <f>spellcasterlevel</f>
        <v>14</v>
      </c>
      <c r="F106" s="25">
        <f>if(macroroll,sum(indirect("m"&amp;$K$2):indirect("m"&amp;$K$2+2)),F106)</f>
        <v>7</v>
      </c>
      <c r="G106" s="11"/>
      <c r="K106" s="5"/>
      <c r="L106" s="5">
        <f t="array" ref="L106">if(or({attackroll;'Dice and Macros'!$F$4:$F$11;macroroll}),randbetween(1,4),L106)</f>
        <v>2</v>
      </c>
      <c r="M106" s="5">
        <f t="array" ref="M106">if(or({attackroll;'Dice and Macros'!$F$4:$F$11;macroroll}),randbetween(1,6),M106)</f>
        <v>1</v>
      </c>
      <c r="N106" s="5">
        <f t="array" ref="N106">if(or({attackroll;'Dice and Macros'!$F$4:$F$11;macroroll}),randbetween(1,8),N106)</f>
        <v>3</v>
      </c>
      <c r="O106" s="5">
        <f t="array" ref="O106">if(or({attackroll;'Dice and Macros'!$F$4:$F$11;macroroll}),randbetween(1,10),O106)</f>
        <v>3</v>
      </c>
      <c r="P106" s="5">
        <f t="array" ref="P106">if(or({attackroll;'Dice and Macros'!$F$4:$F$11;macroroll}),randbetween(1,12),P106)</f>
        <v>6</v>
      </c>
      <c r="Q106" s="5">
        <f t="array" ref="Q106">if(or({attackroll;'Dice and Macros'!$F$4:$F$11;macroroll}),randbetween(1,20),Q106)</f>
        <v>4</v>
      </c>
      <c r="R106" s="5">
        <f t="array" ref="R106">if(or({attackroll;'Dice and Macros'!$F$4:$F$11;macroroll}),randbetween(1,100),R106)</f>
        <v>74</v>
      </c>
      <c r="S106" s="5">
        <f t="array" ref="S106">if(or({attackroll;'Dice and Macros'!$F$4:$F$11;macroroll}),randbetween(1,'Dice and Macros'!$D$11),S106)</f>
        <v>0</v>
      </c>
    </row>
    <row r="107">
      <c r="B107" s="28" t="s">
        <v>153</v>
      </c>
      <c r="C107" s="3"/>
      <c r="D107" s="4"/>
      <c r="E107" s="14">
        <f>spellcasterlevel</f>
        <v>14</v>
      </c>
      <c r="F107" s="19">
        <f>if(macroroll,sum(indirect("m"&amp;$K$2):indirect("m"&amp;$K$2+1)),F107)</f>
        <v>4</v>
      </c>
      <c r="G107" s="4"/>
      <c r="K107" s="5"/>
      <c r="L107" s="5">
        <f t="array" ref="L107">if(or({attackroll;'Dice and Macros'!$F$4:$F$11;macroroll}),randbetween(1,4),L107)</f>
        <v>2</v>
      </c>
      <c r="M107" s="5">
        <f t="array" ref="M107">if(or({attackroll;'Dice and Macros'!$F$4:$F$11;macroroll}),randbetween(1,6),M107)</f>
        <v>6</v>
      </c>
      <c r="N107" s="5">
        <f t="array" ref="N107">if(or({attackroll;'Dice and Macros'!$F$4:$F$11;macroroll}),randbetween(1,8),N107)</f>
        <v>2</v>
      </c>
      <c r="O107" s="5">
        <f t="array" ref="O107">if(or({attackroll;'Dice and Macros'!$F$4:$F$11;macroroll}),randbetween(1,10),O107)</f>
        <v>9</v>
      </c>
      <c r="P107" s="5">
        <f t="array" ref="P107">if(or({attackroll;'Dice and Macros'!$F$4:$F$11;macroroll}),randbetween(1,12),P107)</f>
        <v>8</v>
      </c>
      <c r="Q107" s="5">
        <f t="array" ref="Q107">if(or({attackroll;'Dice and Macros'!$F$4:$F$11;macroroll}),randbetween(1,20),Q107)</f>
        <v>17</v>
      </c>
      <c r="R107" s="5">
        <f t="array" ref="R107">if(or({attackroll;'Dice and Macros'!$F$4:$F$11;macroroll}),randbetween(1,100),R107)</f>
        <v>88</v>
      </c>
      <c r="S107" s="5">
        <f t="array" ref="S107">if(or({attackroll;'Dice and Macros'!$F$4:$F$11;macroroll}),randbetween(1,'Dice and Macros'!$D$11),S107)</f>
        <v>0</v>
      </c>
    </row>
    <row r="108">
      <c r="B108" s="30" t="s">
        <v>154</v>
      </c>
      <c r="C108" s="10"/>
      <c r="D108" s="11"/>
      <c r="E108" s="7">
        <f>spellcasterlevel</f>
        <v>14</v>
      </c>
      <c r="F108" s="25">
        <f>if(macroroll,sum(indirect("m"&amp;$K$2):indirect("m"&amp;$K$2+5)),F108)</f>
        <v>14</v>
      </c>
      <c r="G108" s="11"/>
      <c r="K108" s="5"/>
      <c r="L108" s="5">
        <f t="array" ref="L108">if(or({attackroll;'Dice and Macros'!$F$4:$F$11;macroroll}),randbetween(1,4),L108)</f>
        <v>2</v>
      </c>
      <c r="M108" s="5">
        <f t="array" ref="M108">if(or({attackroll;'Dice and Macros'!$F$4:$F$11;macroroll}),randbetween(1,6),M108)</f>
        <v>3</v>
      </c>
      <c r="N108" s="5">
        <f t="array" ref="N108">if(or({attackroll;'Dice and Macros'!$F$4:$F$11;macroroll}),randbetween(1,8),N108)</f>
        <v>6</v>
      </c>
      <c r="O108" s="5">
        <f t="array" ref="O108">if(or({attackroll;'Dice and Macros'!$F$4:$F$11;macroroll}),randbetween(1,10),O108)</f>
        <v>3</v>
      </c>
      <c r="P108" s="5">
        <f t="array" ref="P108">if(or({attackroll;'Dice and Macros'!$F$4:$F$11;macroroll}),randbetween(1,12),P108)</f>
        <v>4</v>
      </c>
      <c r="Q108" s="5">
        <f t="array" ref="Q108">if(or({attackroll;'Dice and Macros'!$F$4:$F$11;macroroll}),randbetween(1,20),Q108)</f>
        <v>20</v>
      </c>
      <c r="R108" s="5">
        <f t="array" ref="R108">if(or({attackroll;'Dice and Macros'!$F$4:$F$11;macroroll}),randbetween(1,100),R108)</f>
        <v>54</v>
      </c>
      <c r="S108" s="5">
        <f t="array" ref="S108">if(or({attackroll;'Dice and Macros'!$F$4:$F$11;macroroll}),randbetween(1,'Dice and Macros'!$D$11),S108)</f>
        <v>0</v>
      </c>
    </row>
    <row r="109">
      <c r="B109" s="28" t="s">
        <v>155</v>
      </c>
      <c r="C109" s="3"/>
      <c r="D109" s="4"/>
      <c r="E109" s="14">
        <f>spellcasterlevel</f>
        <v>14</v>
      </c>
      <c r="F109" s="19">
        <f>if(macroroll,sum(indirect("m"&amp;$K$3):indirect("m"&amp;$K$3+1)),F109)</f>
        <v>3</v>
      </c>
      <c r="G109" s="4"/>
      <c r="K109" s="5"/>
      <c r="L109" s="5">
        <f t="array" ref="L109">if(or({attackroll;'Dice and Macros'!$F$4:$F$11;macroroll}),randbetween(1,4),L109)</f>
        <v>3</v>
      </c>
      <c r="M109" s="5">
        <f t="array" ref="M109">if(or({attackroll;'Dice and Macros'!$F$4:$F$11;macroroll}),randbetween(1,6),M109)</f>
        <v>3</v>
      </c>
      <c r="N109" s="5">
        <f t="array" ref="N109">if(or({attackroll;'Dice and Macros'!$F$4:$F$11;macroroll}),randbetween(1,8),N109)</f>
        <v>5</v>
      </c>
      <c r="O109" s="5">
        <f t="array" ref="O109">if(or({attackroll;'Dice and Macros'!$F$4:$F$11;macroroll}),randbetween(1,10),O109)</f>
        <v>1</v>
      </c>
      <c r="P109" s="5">
        <f t="array" ref="P109">if(or({attackroll;'Dice and Macros'!$F$4:$F$11;macroroll}),randbetween(1,12),P109)</f>
        <v>9</v>
      </c>
      <c r="Q109" s="5">
        <f t="array" ref="Q109">if(or({attackroll;'Dice and Macros'!$F$4:$F$11;macroroll}),randbetween(1,20),Q109)</f>
        <v>15</v>
      </c>
      <c r="R109" s="5">
        <f t="array" ref="R109">if(or({attackroll;'Dice and Macros'!$F$4:$F$11;macroroll}),randbetween(1,100),R109)</f>
        <v>46</v>
      </c>
      <c r="S109" s="5">
        <f t="array" ref="S109">if(or({attackroll;'Dice and Macros'!$F$4:$F$11;macroroll}),randbetween(1,'Dice and Macros'!$D$11),S109)</f>
        <v>0</v>
      </c>
    </row>
    <row r="110">
      <c r="B110" s="30" t="s">
        <v>156</v>
      </c>
      <c r="C110" s="10"/>
      <c r="D110" s="11"/>
      <c r="E110" s="7">
        <f>spellcasterlevel</f>
        <v>14</v>
      </c>
      <c r="F110" s="25">
        <f>if(macroroll,sum(indirect("m"&amp;$K$3):indirect("m"&amp;$K$3+5)),F110)</f>
        <v>15</v>
      </c>
      <c r="G110" s="11"/>
      <c r="K110" s="5"/>
      <c r="L110" s="5">
        <f t="array" ref="L110">if(or({attackroll;'Dice and Macros'!$F$4:$F$11;macroroll}),randbetween(1,4),L110)</f>
        <v>3</v>
      </c>
      <c r="M110" s="5">
        <f t="array" ref="M110">if(or({attackroll;'Dice and Macros'!$F$4:$F$11;macroroll}),randbetween(1,6),M110)</f>
        <v>4</v>
      </c>
      <c r="N110" s="5">
        <f t="array" ref="N110">if(or({attackroll;'Dice and Macros'!$F$4:$F$11;macroroll}),randbetween(1,8),N110)</f>
        <v>5</v>
      </c>
      <c r="O110" s="5">
        <f t="array" ref="O110">if(or({attackroll;'Dice and Macros'!$F$4:$F$11;macroroll}),randbetween(1,10),O110)</f>
        <v>3</v>
      </c>
      <c r="P110" s="5">
        <f t="array" ref="P110">if(or({attackroll;'Dice and Macros'!$F$4:$F$11;macroroll}),randbetween(1,12),P110)</f>
        <v>4</v>
      </c>
      <c r="Q110" s="5">
        <f t="array" ref="Q110">if(or({attackroll;'Dice and Macros'!$F$4:$F$11;macroroll}),randbetween(1,20),Q110)</f>
        <v>16</v>
      </c>
      <c r="R110" s="5">
        <f t="array" ref="R110">if(or({attackroll;'Dice and Macros'!$F$4:$F$11;macroroll}),randbetween(1,100),R110)</f>
        <v>28</v>
      </c>
      <c r="S110" s="5">
        <f t="array" ref="S110">if(or({attackroll;'Dice and Macros'!$F$4:$F$11;macroroll}),randbetween(1,'Dice and Macros'!$D$11),S110)</f>
        <v>0</v>
      </c>
    </row>
    <row r="111">
      <c r="B111" s="28" t="s">
        <v>157</v>
      </c>
      <c r="C111" s="3"/>
      <c r="D111" s="4"/>
      <c r="E111" s="14">
        <f>spellcasterlevel</f>
        <v>14</v>
      </c>
      <c r="F111" s="19">
        <f>if(macroroll,sum(indirect("m"&amp;$K$4):indirect("m"&amp;$K$4+1)),F111)</f>
        <v>8</v>
      </c>
      <c r="G111" s="4"/>
      <c r="K111" s="5"/>
      <c r="L111" s="5">
        <f t="array" ref="L111">if(or({attackroll;'Dice and Macros'!$F$4:$F$11;macroroll}),randbetween(1,4),L111)</f>
        <v>3</v>
      </c>
      <c r="M111" s="5">
        <f t="array" ref="M111">if(or({attackroll;'Dice and Macros'!$F$4:$F$11;macroroll}),randbetween(1,6),M111)</f>
        <v>3</v>
      </c>
      <c r="N111" s="5">
        <f t="array" ref="N111">if(or({attackroll;'Dice and Macros'!$F$4:$F$11;macroroll}),randbetween(1,8),N111)</f>
        <v>5</v>
      </c>
      <c r="O111" s="5">
        <f t="array" ref="O111">if(or({attackroll;'Dice and Macros'!$F$4:$F$11;macroroll}),randbetween(1,10),O111)</f>
        <v>7</v>
      </c>
      <c r="P111" s="5">
        <f t="array" ref="P111">if(or({attackroll;'Dice and Macros'!$F$4:$F$11;macroroll}),randbetween(1,12),P111)</f>
        <v>6</v>
      </c>
      <c r="Q111" s="5">
        <f t="array" ref="Q111">if(or({attackroll;'Dice and Macros'!$F$4:$F$11;macroroll}),randbetween(1,20),Q111)</f>
        <v>12</v>
      </c>
      <c r="R111" s="5">
        <f t="array" ref="R111">if(or({attackroll;'Dice and Macros'!$F$4:$F$11;macroroll}),randbetween(1,100),R111)</f>
        <v>94</v>
      </c>
      <c r="S111" s="5">
        <f t="array" ref="S111">if(or({attackroll;'Dice and Macros'!$F$4:$F$11;macroroll}),randbetween(1,'Dice and Macros'!$D$11),S111)</f>
        <v>0</v>
      </c>
    </row>
    <row r="112">
      <c r="B112" s="30" t="s">
        <v>158</v>
      </c>
      <c r="C112" s="10"/>
      <c r="D112" s="11"/>
      <c r="E112" s="7">
        <f>spellcasterlevel</f>
        <v>14</v>
      </c>
      <c r="F112" s="25">
        <f>if(macroroll,sum(indirect("m"&amp;$K$4):indirect("m"&amp;$K$4+5)),F112)</f>
        <v>16</v>
      </c>
      <c r="G112" s="11"/>
      <c r="K112" s="5"/>
      <c r="L112" s="5">
        <f t="array" ref="L112">if(or({attackroll;'Dice and Macros'!$F$4:$F$11;macroroll}),randbetween(1,4),L112)</f>
        <v>1</v>
      </c>
      <c r="M112" s="5">
        <f t="array" ref="M112">if(or({attackroll;'Dice and Macros'!$F$4:$F$11;macroroll}),randbetween(1,6),M112)</f>
        <v>1</v>
      </c>
      <c r="N112" s="5">
        <f t="array" ref="N112">if(or({attackroll;'Dice and Macros'!$F$4:$F$11;macroroll}),randbetween(1,8),N112)</f>
        <v>1</v>
      </c>
      <c r="O112" s="5">
        <f t="array" ref="O112">if(or({attackroll;'Dice and Macros'!$F$4:$F$11;macroroll}),randbetween(1,10),O112)</f>
        <v>6</v>
      </c>
      <c r="P112" s="5">
        <f t="array" ref="P112">if(or({attackroll;'Dice and Macros'!$F$4:$F$11;macroroll}),randbetween(1,12),P112)</f>
        <v>3</v>
      </c>
      <c r="Q112" s="5">
        <f t="array" ref="Q112">if(or({attackroll;'Dice and Macros'!$F$4:$F$11;macroroll}),randbetween(1,20),Q112)</f>
        <v>5</v>
      </c>
      <c r="R112" s="5">
        <f t="array" ref="R112">if(or({attackroll;'Dice and Macros'!$F$4:$F$11;macroroll}),randbetween(1,100),R112)</f>
        <v>69</v>
      </c>
      <c r="S112" s="5">
        <f t="array" ref="S112">if(or({attackroll;'Dice and Macros'!$F$4:$F$11;macroroll}),randbetween(1,'Dice and Macros'!$D$11),S112)</f>
        <v>0</v>
      </c>
    </row>
    <row r="113">
      <c r="B113" s="28" t="s">
        <v>159</v>
      </c>
      <c r="C113" s="3"/>
      <c r="D113" s="4"/>
      <c r="E113" s="14">
        <f>spellcasterlevel</f>
        <v>14</v>
      </c>
      <c r="F113" s="19">
        <f>if(macroroll,sum(indirect("m"&amp;$K$5):indirect("m"&amp;$K$5+1)),F113)</f>
        <v>12</v>
      </c>
      <c r="G113" s="4"/>
      <c r="K113" s="5"/>
      <c r="L113" s="5">
        <f t="array" ref="L113">if(or({attackroll;'Dice and Macros'!$F$4:$F$11;macroroll}),randbetween(1,4),L113)</f>
        <v>2</v>
      </c>
      <c r="M113" s="5">
        <f t="array" ref="M113">if(or({attackroll;'Dice and Macros'!$F$4:$F$11;macroroll}),randbetween(1,6),M113)</f>
        <v>3</v>
      </c>
      <c r="N113" s="5">
        <f t="array" ref="N113">if(or({attackroll;'Dice and Macros'!$F$4:$F$11;macroroll}),randbetween(1,8),N113)</f>
        <v>8</v>
      </c>
      <c r="O113" s="5">
        <f t="array" ref="O113">if(or({attackroll;'Dice and Macros'!$F$4:$F$11;macroroll}),randbetween(1,10),O113)</f>
        <v>8</v>
      </c>
      <c r="P113" s="5">
        <f t="array" ref="P113">if(or({attackroll;'Dice and Macros'!$F$4:$F$11;macroroll}),randbetween(1,12),P113)</f>
        <v>9</v>
      </c>
      <c r="Q113" s="5">
        <f t="array" ref="Q113">if(or({attackroll;'Dice and Macros'!$F$4:$F$11;macroroll}),randbetween(1,20),Q113)</f>
        <v>8</v>
      </c>
      <c r="R113" s="5">
        <f t="array" ref="R113">if(or({attackroll;'Dice and Macros'!$F$4:$F$11;macroroll}),randbetween(1,100),R113)</f>
        <v>24</v>
      </c>
      <c r="S113" s="5">
        <f t="array" ref="S113">if(or({attackroll;'Dice and Macros'!$F$4:$F$11;macroroll}),randbetween(1,'Dice and Macros'!$D$11),S113)</f>
        <v>0</v>
      </c>
    </row>
    <row r="114">
      <c r="B114" s="30" t="s">
        <v>160</v>
      </c>
      <c r="C114" s="10"/>
      <c r="D114" s="11"/>
      <c r="E114" s="7">
        <f>spellcasterlevel</f>
        <v>14</v>
      </c>
      <c r="F114" s="25">
        <f>if(macroroll,sum(indirect("m"&amp;$K$5):indirect("m"&amp;$K$2+5)),F114)</f>
        <v>50</v>
      </c>
      <c r="G114" s="11"/>
      <c r="K114" s="5"/>
      <c r="L114" s="5">
        <f t="array" ref="L114">if(or({attackroll;'Dice and Macros'!$F$4:$F$11;macroroll}),randbetween(1,4),L114)</f>
        <v>2</v>
      </c>
      <c r="M114" s="5">
        <f t="array" ref="M114">if(or({attackroll;'Dice and Macros'!$F$4:$F$11;macroroll}),randbetween(1,6),M114)</f>
        <v>1</v>
      </c>
      <c r="N114" s="5">
        <f t="array" ref="N114">if(or({attackroll;'Dice and Macros'!$F$4:$F$11;macroroll}),randbetween(1,8),N114)</f>
        <v>5</v>
      </c>
      <c r="O114" s="5">
        <f t="array" ref="O114">if(or({attackroll;'Dice and Macros'!$F$4:$F$11;macroroll}),randbetween(1,10),O114)</f>
        <v>2</v>
      </c>
      <c r="P114" s="5">
        <f t="array" ref="P114">if(or({attackroll;'Dice and Macros'!$F$4:$F$11;macroroll}),randbetween(1,12),P114)</f>
        <v>9</v>
      </c>
      <c r="Q114" s="5">
        <f t="array" ref="Q114">if(or({attackroll;'Dice and Macros'!$F$4:$F$11;macroroll}),randbetween(1,20),Q114)</f>
        <v>9</v>
      </c>
      <c r="R114" s="5">
        <f t="array" ref="R114">if(or({attackroll;'Dice and Macros'!$F$4:$F$11;macroroll}),randbetween(1,100),R114)</f>
        <v>95</v>
      </c>
      <c r="S114" s="5">
        <f t="array" ref="S114">if(or({attackroll;'Dice and Macros'!$F$4:$F$11;macroroll}),randbetween(1,'Dice and Macros'!$D$11),S114)</f>
        <v>0</v>
      </c>
    </row>
    <row r="115">
      <c r="B115" s="28" t="s">
        <v>161</v>
      </c>
      <c r="C115" s="3"/>
      <c r="D115" s="4"/>
      <c r="E115" s="14">
        <f>spellcasterlevel</f>
        <v>14</v>
      </c>
      <c r="F115" s="19">
        <f>if(macroroll,sum(indirect("m"&amp;$K$5):indirect("m"&amp;$K$2+1)),F115)</f>
        <v>61</v>
      </c>
      <c r="G115" s="4"/>
      <c r="K115" s="5"/>
      <c r="L115" s="5">
        <f t="array" ref="L115">if(or({attackroll;'Dice and Macros'!$F$4:$F$11;macroroll}),randbetween(1,4),L115)</f>
        <v>2</v>
      </c>
      <c r="M115" s="5">
        <f t="array" ref="M115">if(or({attackroll;'Dice and Macros'!$F$4:$F$11;macroroll}),randbetween(1,6),M115)</f>
        <v>2</v>
      </c>
      <c r="N115" s="5">
        <f t="array" ref="N115">if(or({attackroll;'Dice and Macros'!$F$4:$F$11;macroroll}),randbetween(1,8),N115)</f>
        <v>6</v>
      </c>
      <c r="O115" s="5">
        <f t="array" ref="O115">if(or({attackroll;'Dice and Macros'!$F$4:$F$11;macroroll}),randbetween(1,10),O115)</f>
        <v>10</v>
      </c>
      <c r="P115" s="5">
        <f t="array" ref="P115">if(or({attackroll;'Dice and Macros'!$F$4:$F$11;macroroll}),randbetween(1,12),P115)</f>
        <v>7</v>
      </c>
      <c r="Q115" s="5">
        <f t="array" ref="Q115">if(or({attackroll;'Dice and Macros'!$F$4:$F$11;macroroll}),randbetween(1,20),Q115)</f>
        <v>14</v>
      </c>
      <c r="R115" s="5">
        <f t="array" ref="R115">if(or({attackroll;'Dice and Macros'!$F$4:$F$11;macroroll}),randbetween(1,100),R115)</f>
        <v>19</v>
      </c>
      <c r="S115" s="5">
        <f t="array" ref="S115">if(or({attackroll;'Dice and Macros'!$F$4:$F$11;macroroll}),randbetween(1,'Dice and Macros'!$D$11),S115)</f>
        <v>0</v>
      </c>
    </row>
    <row r="116">
      <c r="B116" s="30" t="s">
        <v>162</v>
      </c>
      <c r="C116" s="10"/>
      <c r="D116" s="11"/>
      <c r="E116" s="7">
        <f>spellcasterlevel</f>
        <v>14</v>
      </c>
      <c r="F116" s="25">
        <f>if(macroroll,randbetween(1,10),F116)</f>
        <v>5</v>
      </c>
      <c r="G116" s="11"/>
      <c r="K116" s="5"/>
      <c r="L116" s="5">
        <f t="array" ref="L116">if(or({attackroll;'Dice and Macros'!$F$4:$F$11;macroroll}),randbetween(1,4),L116)</f>
        <v>2</v>
      </c>
      <c r="M116" s="5">
        <f t="array" ref="M116">if(or({attackroll;'Dice and Macros'!$F$4:$F$11;macroroll}),randbetween(1,6),M116)</f>
        <v>5</v>
      </c>
      <c r="N116" s="5">
        <f t="array" ref="N116">if(or({attackroll;'Dice and Macros'!$F$4:$F$11;macroroll}),randbetween(1,8),N116)</f>
        <v>7</v>
      </c>
      <c r="O116" s="5">
        <f t="array" ref="O116">if(or({attackroll;'Dice and Macros'!$F$4:$F$11;macroroll}),randbetween(1,10),O116)</f>
        <v>1</v>
      </c>
      <c r="P116" s="5">
        <f t="array" ref="P116">if(or({attackroll;'Dice and Macros'!$F$4:$F$11;macroroll}),randbetween(1,12),P116)</f>
        <v>4</v>
      </c>
      <c r="Q116" s="5">
        <f t="array" ref="Q116">if(or({attackroll;'Dice and Macros'!$F$4:$F$11;macroroll}),randbetween(1,20),Q116)</f>
        <v>11</v>
      </c>
      <c r="R116" s="5">
        <f t="array" ref="R116">if(or({attackroll;'Dice and Macros'!$F$4:$F$11;macroroll}),randbetween(1,100),R116)</f>
        <v>20</v>
      </c>
      <c r="S116" s="5">
        <f t="array" ref="S116">if(or({attackroll;'Dice and Macros'!$F$4:$F$11;macroroll}),randbetween(1,'Dice and Macros'!$D$11),S116)</f>
        <v>0</v>
      </c>
    </row>
    <row r="117">
      <c r="B117" s="17" t="s">
        <v>163</v>
      </c>
      <c r="C117" s="3"/>
      <c r="D117" s="4"/>
      <c r="E117" s="18">
        <f>spellcasterlevel</f>
        <v>14</v>
      </c>
      <c r="F117" s="19" t="str">
        <f>if(macroroll,sum(indirect("n"&amp;$K$2):indirect("n"&amp;$K$2+min(4,floor(E117/2,1)-1)))&amp;" + "&amp;randbetween(1,6)&amp;" rounds",F117)</f>
        <v>24 + 6 rounds</v>
      </c>
      <c r="G117" s="4"/>
      <c r="K117" s="5"/>
      <c r="L117" s="5">
        <f t="array" ref="L117">if(or({attackroll;'Dice and Macros'!$F$4:$F$11;macroroll}),randbetween(1,4),L117)</f>
        <v>3</v>
      </c>
      <c r="M117" s="5">
        <f t="array" ref="M117">if(or({attackroll;'Dice and Macros'!$F$4:$F$11;macroroll}),randbetween(1,6),M117)</f>
        <v>3</v>
      </c>
      <c r="N117" s="5">
        <f t="array" ref="N117">if(or({attackroll;'Dice and Macros'!$F$4:$F$11;macroroll}),randbetween(1,8),N117)</f>
        <v>4</v>
      </c>
      <c r="O117" s="5">
        <f t="array" ref="O117">if(or({attackroll;'Dice and Macros'!$F$4:$F$11;macroroll}),randbetween(1,10),O117)</f>
        <v>4</v>
      </c>
      <c r="P117" s="5">
        <f t="array" ref="P117">if(or({attackroll;'Dice and Macros'!$F$4:$F$11;macroroll}),randbetween(1,12),P117)</f>
        <v>2</v>
      </c>
      <c r="Q117" s="5">
        <f t="array" ref="Q117">if(or({attackroll;'Dice and Macros'!$F$4:$F$11;macroroll}),randbetween(1,20),Q117)</f>
        <v>1</v>
      </c>
      <c r="R117" s="5">
        <f t="array" ref="R117">if(or({attackroll;'Dice and Macros'!$F$4:$F$11;macroroll}),randbetween(1,100),R117)</f>
        <v>7</v>
      </c>
      <c r="S117" s="5">
        <f t="array" ref="S117">if(or({attackroll;'Dice and Macros'!$F$4:$F$11;macroroll}),randbetween(1,'Dice and Macros'!$D$11),S117)</f>
        <v>0</v>
      </c>
    </row>
    <row r="118">
      <c r="B118" s="35" t="s">
        <v>164</v>
      </c>
      <c r="C118" s="10"/>
      <c r="D118" s="11"/>
      <c r="E118" s="24">
        <f>spellcasterlevel</f>
        <v>14</v>
      </c>
      <c r="F118" s="25" t="str">
        <f>if(macroroll,sum(indirect("m"&amp;$K$2):indirect("m"&amp;$K$2+min(9,E118-1)))&amp;" + "&amp;randbetween(1,6)&amp;" rounds",F118)</f>
        <v>26 + 2 rounds</v>
      </c>
      <c r="G118" s="11"/>
      <c r="K118" s="5"/>
      <c r="L118" s="5">
        <f t="array" ref="L118">if(or({attackroll;'Dice and Macros'!$F$4:$F$11;macroroll}),randbetween(1,4),L118)</f>
        <v>1</v>
      </c>
      <c r="M118" s="5">
        <f t="array" ref="M118">if(or({attackroll;'Dice and Macros'!$F$4:$F$11;macroroll}),randbetween(1,6),M118)</f>
        <v>3</v>
      </c>
      <c r="N118" s="5">
        <f t="array" ref="N118">if(or({attackroll;'Dice and Macros'!$F$4:$F$11;macroroll}),randbetween(1,8),N118)</f>
        <v>6</v>
      </c>
      <c r="O118" s="5">
        <f t="array" ref="O118">if(or({attackroll;'Dice and Macros'!$F$4:$F$11;macroroll}),randbetween(1,10),O118)</f>
        <v>6</v>
      </c>
      <c r="P118" s="5">
        <f t="array" ref="P118">if(or({attackroll;'Dice and Macros'!$F$4:$F$11;macroroll}),randbetween(1,12),P118)</f>
        <v>9</v>
      </c>
      <c r="Q118" s="5">
        <f t="array" ref="Q118">if(or({attackroll;'Dice and Macros'!$F$4:$F$11;macroroll}),randbetween(1,20),Q118)</f>
        <v>8</v>
      </c>
      <c r="R118" s="5">
        <f t="array" ref="R118">if(or({attackroll;'Dice and Macros'!$F$4:$F$11;macroroll}),randbetween(1,100),R118)</f>
        <v>60</v>
      </c>
      <c r="S118" s="5">
        <f t="array" ref="S118">if(or({attackroll;'Dice and Macros'!$F$4:$F$11;macroroll}),randbetween(1,'Dice and Macros'!$D$11),S118)</f>
        <v>0</v>
      </c>
    </row>
    <row r="119">
      <c r="B119" s="28" t="s">
        <v>165</v>
      </c>
      <c r="C119" s="3"/>
      <c r="D119" s="4"/>
      <c r="E119" s="14">
        <f>spellcasterlevel</f>
        <v>14</v>
      </c>
      <c r="F119" s="19">
        <f>if(macroroll,sum(indirect("m"&amp;$K$2):indirect("m"&amp;$K$2+2)),F119)</f>
        <v>7</v>
      </c>
      <c r="G119" s="4"/>
      <c r="K119" s="5"/>
      <c r="L119" s="5">
        <f t="array" ref="L119">if(or({attackroll;'Dice and Macros'!$F$4:$F$11;macroroll}),randbetween(1,4),L119)</f>
        <v>2</v>
      </c>
      <c r="M119" s="5">
        <f t="array" ref="M119">if(or({attackroll;'Dice and Macros'!$F$4:$F$11;macroroll}),randbetween(1,6),M119)</f>
        <v>2</v>
      </c>
      <c r="N119" s="5">
        <f t="array" ref="N119">if(or({attackroll;'Dice and Macros'!$F$4:$F$11;macroroll}),randbetween(1,8),N119)</f>
        <v>7</v>
      </c>
      <c r="O119" s="5">
        <f t="array" ref="O119">if(or({attackroll;'Dice and Macros'!$F$4:$F$11;macroroll}),randbetween(1,10),O119)</f>
        <v>5</v>
      </c>
      <c r="P119" s="5">
        <f t="array" ref="P119">if(or({attackroll;'Dice and Macros'!$F$4:$F$11;macroroll}),randbetween(1,12),P119)</f>
        <v>7</v>
      </c>
      <c r="Q119" s="5">
        <f t="array" ref="Q119">if(or({attackroll;'Dice and Macros'!$F$4:$F$11;macroroll}),randbetween(1,20),Q119)</f>
        <v>17</v>
      </c>
      <c r="R119" s="5">
        <f t="array" ref="R119">if(or({attackroll;'Dice and Macros'!$F$4:$F$11;macroroll}),randbetween(1,100),R119)</f>
        <v>22</v>
      </c>
      <c r="S119" s="5">
        <f t="array" ref="S119">if(or({attackroll;'Dice and Macros'!$F$4:$F$11;macroroll}),randbetween(1,'Dice and Macros'!$D$11),S119)</f>
        <v>0</v>
      </c>
    </row>
    <row r="120">
      <c r="B120" s="30" t="s">
        <v>166</v>
      </c>
      <c r="C120" s="10"/>
      <c r="D120" s="11"/>
      <c r="E120" s="7">
        <f>spellcasterlevel</f>
        <v>14</v>
      </c>
      <c r="F120" s="25">
        <f>if(macroroll,randbetween(1,100)*5,F120)</f>
        <v>310</v>
      </c>
      <c r="G120" s="11"/>
      <c r="K120" s="5"/>
      <c r="L120" s="5">
        <f t="array" ref="L120">if(or({attackroll;'Dice and Macros'!$F$4:$F$11;macroroll}),randbetween(1,4),L120)</f>
        <v>2</v>
      </c>
      <c r="M120" s="5">
        <f t="array" ref="M120">if(or({attackroll;'Dice and Macros'!$F$4:$F$11;macroroll}),randbetween(1,6),M120)</f>
        <v>5</v>
      </c>
      <c r="N120" s="5">
        <f t="array" ref="N120">if(or({attackroll;'Dice and Macros'!$F$4:$F$11;macroroll}),randbetween(1,8),N120)</f>
        <v>8</v>
      </c>
      <c r="O120" s="5">
        <f t="array" ref="O120">if(or({attackroll;'Dice and Macros'!$F$4:$F$11;macroroll}),randbetween(1,10),O120)</f>
        <v>10</v>
      </c>
      <c r="P120" s="5">
        <f t="array" ref="P120">if(or({attackroll;'Dice and Macros'!$F$4:$F$11;macroroll}),randbetween(1,12),P120)</f>
        <v>7</v>
      </c>
      <c r="Q120" s="5">
        <f t="array" ref="Q120">if(or({attackroll;'Dice and Macros'!$F$4:$F$11;macroroll}),randbetween(1,20),Q120)</f>
        <v>18</v>
      </c>
      <c r="R120" s="5">
        <f t="array" ref="R120">if(or({attackroll;'Dice and Macros'!$F$4:$F$11;macroroll}),randbetween(1,100),R120)</f>
        <v>87</v>
      </c>
      <c r="S120" s="5">
        <f t="array" ref="S120">if(or({attackroll;'Dice and Macros'!$F$4:$F$11;macroroll}),randbetween(1,'Dice and Macros'!$D$11),S120)</f>
        <v>0</v>
      </c>
    </row>
    <row r="121">
      <c r="B121" s="28" t="s">
        <v>167</v>
      </c>
      <c r="C121" s="3"/>
      <c r="D121" s="4"/>
      <c r="E121" s="14">
        <f>spellcasterlevel</f>
        <v>14</v>
      </c>
      <c r="F121" s="19">
        <f>if(macroroll,randbetween(1,10),F121)</f>
        <v>4</v>
      </c>
      <c r="G121" s="4"/>
      <c r="K121" s="5"/>
      <c r="L121" s="5">
        <f t="array" ref="L121">if(or({attackroll;'Dice and Macros'!$F$4:$F$11;macroroll}),randbetween(1,4),L121)</f>
        <v>2</v>
      </c>
      <c r="M121" s="5">
        <f t="array" ref="M121">if(or({attackroll;'Dice and Macros'!$F$4:$F$11;macroroll}),randbetween(1,6),M121)</f>
        <v>6</v>
      </c>
      <c r="N121" s="5">
        <f t="array" ref="N121">if(or({attackroll;'Dice and Macros'!$F$4:$F$11;macroroll}),randbetween(1,8),N121)</f>
        <v>2</v>
      </c>
      <c r="O121" s="5">
        <f t="array" ref="O121">if(or({attackroll;'Dice and Macros'!$F$4:$F$11;macroroll}),randbetween(1,10),O121)</f>
        <v>2</v>
      </c>
      <c r="P121" s="5">
        <f t="array" ref="P121">if(or({attackroll;'Dice and Macros'!$F$4:$F$11;macroroll}),randbetween(1,12),P121)</f>
        <v>10</v>
      </c>
      <c r="Q121" s="5">
        <f t="array" ref="Q121">if(or({attackroll;'Dice and Macros'!$F$4:$F$11;macroroll}),randbetween(1,20),Q121)</f>
        <v>16</v>
      </c>
      <c r="R121" s="5">
        <f t="array" ref="R121">if(or({attackroll;'Dice and Macros'!$F$4:$F$11;macroroll}),randbetween(1,100),R121)</f>
        <v>81</v>
      </c>
      <c r="S121" s="5">
        <f t="array" ref="S121">if(or({attackroll;'Dice and Macros'!$F$4:$F$11;macroroll}),randbetween(1,'Dice and Macros'!$D$11),S121)</f>
        <v>0</v>
      </c>
    </row>
    <row r="122">
      <c r="B122" s="30" t="s">
        <v>168</v>
      </c>
      <c r="C122" s="10"/>
      <c r="D122" s="11"/>
      <c r="E122" s="45">
        <f>spellcasterlevel</f>
        <v>14</v>
      </c>
      <c r="F122" s="46">
        <f>if(macroroll,randbetween(1,10),F122)</f>
        <v>9</v>
      </c>
      <c r="G122" s="11"/>
      <c r="K122" s="5"/>
      <c r="L122" s="5">
        <f t="array" ref="L122">if(or({attackroll;'Dice and Macros'!$F$4:$F$11;macroroll}),randbetween(1,4),L122)</f>
        <v>4</v>
      </c>
      <c r="M122" s="5">
        <f t="array" ref="M122">if(or({attackroll;'Dice and Macros'!$F$4:$F$11;macroroll}),randbetween(1,6),M122)</f>
        <v>6</v>
      </c>
      <c r="N122" s="5">
        <f t="array" ref="N122">if(or({attackroll;'Dice and Macros'!$F$4:$F$11;macroroll}),randbetween(1,8),N122)</f>
        <v>1</v>
      </c>
      <c r="O122" s="5">
        <f t="array" ref="O122">if(or({attackroll;'Dice and Macros'!$F$4:$F$11;macroroll}),randbetween(1,10),O122)</f>
        <v>8</v>
      </c>
      <c r="P122" s="5">
        <f t="array" ref="P122">if(or({attackroll;'Dice and Macros'!$F$4:$F$11;macroroll}),randbetween(1,12),P122)</f>
        <v>2</v>
      </c>
      <c r="Q122" s="5">
        <f t="array" ref="Q122">if(or({attackroll;'Dice and Macros'!$F$4:$F$11;macroroll}),randbetween(1,20),Q122)</f>
        <v>8</v>
      </c>
      <c r="R122" s="5">
        <f t="array" ref="R122">if(or({attackroll;'Dice and Macros'!$F$4:$F$11;macroroll}),randbetween(1,100),R122)</f>
        <v>46</v>
      </c>
      <c r="S122" s="5">
        <f t="array" ref="S122">if(or({attackroll;'Dice and Macros'!$F$4:$F$11;macroroll}),randbetween(1,'Dice and Macros'!$D$11),S122)</f>
        <v>0</v>
      </c>
    </row>
    <row r="123">
      <c r="B123" s="28" t="s">
        <v>169</v>
      </c>
      <c r="C123" s="3"/>
      <c r="D123" s="4"/>
      <c r="E123" s="14">
        <f>spellcasterlevel</f>
        <v>14</v>
      </c>
      <c r="F123" s="19">
        <f>if(macroroll,sum(indirect("m"&amp;$K$2):indirect("m"&amp;$K$2+min(24,E123-1))),F123)</f>
        <v>38</v>
      </c>
      <c r="G123" s="4"/>
      <c r="K123" s="5"/>
      <c r="L123" s="5">
        <f t="array" ref="L123">if(or({Main!$W$41;'Dice and Macros'!$F$4:$F$11}),randbetween(1,4),L123)</f>
        <v>4</v>
      </c>
      <c r="M123" s="5">
        <f t="array" ref="M123">if(or({attackroll;'Dice and Macros'!$F$4:$F$11;macroroll}),randbetween(1,6),M123)</f>
        <v>3</v>
      </c>
      <c r="N123" s="5">
        <f t="array" ref="N123">if(or({attackroll;'Dice and Macros'!$F$4:$F$11;macroroll}),randbetween(1,8),N123)</f>
        <v>4</v>
      </c>
      <c r="O123" s="5">
        <f t="array" ref="O123">if(or({attackroll;'Dice and Macros'!$F$4:$F$11;macroroll}),randbetween(1,10),O123)</f>
        <v>4</v>
      </c>
      <c r="P123" s="5">
        <f t="array" ref="P123">if(or({attackroll;'Dice and Macros'!$F$4:$F$11;macroroll}),randbetween(1,12),P123)</f>
        <v>2</v>
      </c>
      <c r="Q123" s="5">
        <f t="array" ref="Q123">if(or({attackroll;'Dice and Macros'!$F$4:$F$11;macroroll}),randbetween(1,20),Q123)</f>
        <v>10</v>
      </c>
      <c r="R123" s="5">
        <f t="array" ref="R123">if(or({attackroll;'Dice and Macros'!$F$4:$F$11;macroroll}),randbetween(1,100),R123)</f>
        <v>18</v>
      </c>
      <c r="S123" s="5">
        <f t="array" ref="S123">if(or({attackroll;'Dice and Macros'!$F$4:$F$11;macroroll}),randbetween(1,'Dice and Macros'!$D$11),S123)</f>
        <v>0</v>
      </c>
    </row>
    <row r="124">
      <c r="B124" s="35" t="s">
        <v>170</v>
      </c>
      <c r="C124" s="10"/>
      <c r="D124" s="11"/>
      <c r="E124" s="24">
        <f>spellcasterlevel</f>
        <v>14</v>
      </c>
      <c r="F124" s="25" t="str">
        <f>if(macroroll,randbetween(1,4)+1&amp;" minutes",F124)</f>
        <v>2 minutes</v>
      </c>
      <c r="G124" s="11"/>
      <c r="K124" s="5"/>
      <c r="L124" s="5">
        <f t="array" ref="L124">if(or({attackroll;'Dice and Macros'!$F$4:$F$11;macroroll}),randbetween(1,4),L124)</f>
        <v>4</v>
      </c>
      <c r="M124" s="5">
        <f t="array" ref="M124">if(or({attackroll;'Dice and Macros'!$F$4:$F$11;macroroll}),randbetween(1,6),M124)</f>
        <v>2</v>
      </c>
      <c r="N124" s="5">
        <f t="array" ref="N124">if(or({attackroll;'Dice and Macros'!$F$4:$F$11;macroroll}),randbetween(1,8),N124)</f>
        <v>6</v>
      </c>
      <c r="O124" s="5">
        <f t="array" ref="O124">if(or({attackroll;'Dice and Macros'!$F$4:$F$11;macroroll}),randbetween(1,10),O124)</f>
        <v>7</v>
      </c>
      <c r="P124" s="5">
        <f t="array" ref="P124">if(or({attackroll;'Dice and Macros'!$F$4:$F$11;macroroll}),randbetween(1,12),P124)</f>
        <v>1</v>
      </c>
      <c r="Q124" s="5">
        <f t="array" ref="Q124">if(or({attackroll;'Dice and Macros'!$F$4:$F$11;macroroll}),randbetween(1,20),Q124)</f>
        <v>1</v>
      </c>
      <c r="R124" s="5">
        <f t="array" ref="R124">if(or({attackroll;'Dice and Macros'!$F$4:$F$11;macroroll}),randbetween(1,100),R124)</f>
        <v>15</v>
      </c>
      <c r="S124" s="5">
        <f t="array" ref="S124">if(or({attackroll;'Dice and Macros'!$F$4:$F$11;macroroll}),randbetween(1,'Dice and Macros'!$D$11),S124)</f>
        <v>0</v>
      </c>
    </row>
    <row r="125">
      <c r="B125" s="17" t="s">
        <v>171</v>
      </c>
      <c r="C125" s="3"/>
      <c r="D125" s="4"/>
      <c r="E125" s="18">
        <f>spellcasterlevel</f>
        <v>14</v>
      </c>
      <c r="F125" s="19" t="str">
        <f>if(macroroll,randbetween(1,4)+1&amp;" rounds",F125)</f>
        <v>3 rounds</v>
      </c>
      <c r="G125" s="4"/>
      <c r="K125" s="5"/>
      <c r="L125" s="5">
        <f t="array" ref="L125">if(or({attackroll;'Dice and Macros'!$F$4:$F$11;macroroll}),randbetween(1,4),L125)</f>
        <v>2</v>
      </c>
      <c r="M125" s="5">
        <f t="array" ref="M125">if(or({attackroll;'Dice and Macros'!$F$4:$F$11;macroroll}),randbetween(1,6),M125)</f>
        <v>2</v>
      </c>
      <c r="N125" s="5">
        <f t="array" ref="N125">if(or({attackroll;'Dice and Macros'!$F$4:$F$11;macroroll}),randbetween(1,8),N125)</f>
        <v>4</v>
      </c>
      <c r="O125" s="5">
        <f t="array" ref="O125">if(or({attackroll;'Dice and Macros'!$F$4:$F$11;macroroll}),randbetween(1,10),O125)</f>
        <v>5</v>
      </c>
      <c r="P125" s="5">
        <f t="array" ref="P125">if(or({attackroll;'Dice and Macros'!$F$4:$F$11;macroroll}),randbetween(1,12),P125)</f>
        <v>8</v>
      </c>
      <c r="Q125" s="5">
        <f t="array" ref="Q125">if(or({attackroll;'Dice and Macros'!$F$4:$F$11;macroroll}),randbetween(1,20),Q125)</f>
        <v>2</v>
      </c>
      <c r="R125" s="5">
        <f t="array" ref="R125">if(or({attackroll;'Dice and Macros'!$F$4:$F$11;macroroll}),randbetween(1,100),R125)</f>
        <v>4</v>
      </c>
      <c r="S125" s="5">
        <f t="array" ref="S125">if(or({attackroll;'Dice and Macros'!$F$4:$F$11;macroroll}),randbetween(1,'Dice and Macros'!$D$11),S125)</f>
        <v>0</v>
      </c>
    </row>
    <row r="126">
      <c r="B126" s="35" t="s">
        <v>172</v>
      </c>
      <c r="C126" s="10"/>
      <c r="D126" s="11"/>
      <c r="E126" s="24">
        <f>spellcasterlevel</f>
        <v>14</v>
      </c>
      <c r="F126" s="25" t="str">
        <f>if(macroroll,randbetween(1,4)+randbetween(1,4)+randbetween(1,4)+randbetween(1,4)&amp;" rounds",F126)</f>
        <v>9 rounds</v>
      </c>
      <c r="G126" s="11"/>
      <c r="K126" s="5"/>
      <c r="L126" s="5">
        <f t="array" ref="L126">if(or({attackroll;'Dice and Macros'!$F$4:$F$11;macroroll}),randbetween(1,4),L126)</f>
        <v>3</v>
      </c>
      <c r="M126" s="5">
        <f t="array" ref="M126">if(or({attackroll;'Dice and Macros'!$F$4:$F$11;macroroll}),randbetween(1,6),M126)</f>
        <v>2</v>
      </c>
      <c r="N126" s="5">
        <f t="array" ref="N126">if(or({attackroll;'Dice and Macros'!$F$4:$F$11;macroroll}),randbetween(1,8),N126)</f>
        <v>5</v>
      </c>
      <c r="O126" s="5">
        <f t="array" ref="O126">if(or({attackroll;'Dice and Macros'!$F$4:$F$11;macroroll}),randbetween(1,10),O126)</f>
        <v>4</v>
      </c>
      <c r="P126" s="5">
        <f t="array" ref="P126">if(or({attackroll;'Dice and Macros'!$F$4:$F$11;macroroll}),randbetween(1,12),P126)</f>
        <v>7</v>
      </c>
      <c r="Q126" s="5">
        <f t="array" ref="Q126">if(or({attackroll;'Dice and Macros'!$F$4:$F$11;macroroll}),randbetween(1,20),Q126)</f>
        <v>19</v>
      </c>
      <c r="R126" s="5">
        <f t="array" ref="R126">if(or({attackroll;'Dice and Macros'!$F$4:$F$11;macroroll}),randbetween(1,100),R126)</f>
        <v>9</v>
      </c>
      <c r="S126" s="5">
        <f t="array" ref="S126">if(or({attackroll;'Dice and Macros'!$F$4:$F$11;macroroll}),randbetween(1,'Dice and Macros'!$D$11),S126)</f>
        <v>0</v>
      </c>
    </row>
    <row r="127">
      <c r="B127" s="17" t="s">
        <v>173</v>
      </c>
      <c r="C127" s="3"/>
      <c r="D127" s="4"/>
      <c r="E127" s="18">
        <f>spellcasterlevel</f>
        <v>14</v>
      </c>
      <c r="F127" s="19" t="str">
        <f>if(macroroll,randbetween(1,4)+randbetween(1,4)&amp;" rounds",F127)</f>
        <v>6 rounds</v>
      </c>
      <c r="G127" s="4"/>
      <c r="K127" s="5"/>
      <c r="L127" s="5">
        <f t="array" ref="L127">if(or({attackroll;'Dice and Macros'!$F$4:$F$11;macroroll}),randbetween(1,4),L127)</f>
        <v>3</v>
      </c>
      <c r="M127" s="5">
        <f t="array" ref="M127">if(or({attackroll;'Dice and Macros'!$F$4:$F$11;macroroll}),randbetween(1,6),M127)</f>
        <v>3</v>
      </c>
      <c r="N127" s="5">
        <f t="array" ref="N127">if(or({attackroll;'Dice and Macros'!$F$4:$F$11;macroroll}),randbetween(1,8),N127)</f>
        <v>1</v>
      </c>
      <c r="O127" s="5">
        <f t="array" ref="O127">if(or({attackroll;'Dice and Macros'!$F$4:$F$11;macroroll}),randbetween(1,10),O127)</f>
        <v>3</v>
      </c>
      <c r="P127" s="5">
        <f t="array" ref="P127">if(or({attackroll;'Dice and Macros'!$F$4:$F$11;macroroll}),randbetween(1,12),P127)</f>
        <v>5</v>
      </c>
      <c r="Q127" s="5">
        <f t="array" ref="Q127">if(or({attackroll;'Dice and Macros'!$F$4:$F$11;macroroll}),randbetween(1,20),Q127)</f>
        <v>3</v>
      </c>
      <c r="R127" s="5">
        <f t="array" ref="R127">if(or({attackroll;'Dice and Macros'!$F$4:$F$11;macroroll}),randbetween(1,100),R127)</f>
        <v>1</v>
      </c>
      <c r="S127" s="5">
        <f t="array" ref="S127">if(or({attackroll;'Dice and Macros'!$F$4:$F$11;macroroll}),randbetween(1,'Dice and Macros'!$D$11),S127)</f>
        <v>0</v>
      </c>
    </row>
    <row r="128">
      <c r="B128" s="35" t="s">
        <v>174</v>
      </c>
      <c r="C128" s="10"/>
      <c r="D128" s="11"/>
      <c r="E128" s="24">
        <f>spellcasterlevel</f>
        <v>14</v>
      </c>
      <c r="F128" s="25" t="str">
        <f>if(macroroll,randbetween(1,4)&amp;" rounds",F128)</f>
        <v>4 rounds</v>
      </c>
      <c r="G128" s="11"/>
      <c r="K128" s="5"/>
      <c r="L128" s="5">
        <f t="array" ref="L128">if(or({attackroll;'Dice and Macros'!$F$4:$F$11;macroroll}),randbetween(1,4),L128)</f>
        <v>4</v>
      </c>
      <c r="M128" s="5">
        <f t="array" ref="M128">if(or({attackroll;'Dice and Macros'!$F$4:$F$11;macroroll}),randbetween(1,6),M128)</f>
        <v>1</v>
      </c>
      <c r="N128" s="5">
        <f t="array" ref="N128">if(or({attackroll;'Dice and Macros'!$F$4:$F$11;macroroll}),randbetween(1,8),N128)</f>
        <v>7</v>
      </c>
      <c r="O128" s="5">
        <f t="array" ref="O128">if(or({attackroll;'Dice and Macros'!$F$4:$F$11;macroroll}),randbetween(1,10),O128)</f>
        <v>10</v>
      </c>
      <c r="P128" s="5">
        <f t="array" ref="P128">if(or({attackroll;'Dice and Macros'!$F$4:$F$11;macroroll}),randbetween(1,12),P128)</f>
        <v>4</v>
      </c>
      <c r="Q128" s="5">
        <f t="array" ref="Q128">if(or({attackroll;'Dice and Macros'!$F$4:$F$11;macroroll}),randbetween(1,20),Q128)</f>
        <v>13</v>
      </c>
      <c r="R128" s="5">
        <f t="array" ref="R128">if(or({attackroll;'Dice and Macros'!$F$4:$F$11;macroroll}),randbetween(1,100),R128)</f>
        <v>95</v>
      </c>
      <c r="S128" s="5">
        <f t="array" ref="S128">if(or({attackroll;'Dice and Macros'!$F$4:$F$11;macroroll}),randbetween(1,'Dice and Macros'!$D$11),S128)</f>
        <v>0</v>
      </c>
    </row>
    <row r="129">
      <c r="B129" s="28" t="s">
        <v>175</v>
      </c>
      <c r="C129" s="3"/>
      <c r="D129" s="4"/>
      <c r="E129" s="14">
        <f>spellcasterlevel</f>
        <v>14</v>
      </c>
      <c r="F129" s="19" t="str">
        <f>if(macroroll,(randbetween(1,4)+randbetween(1,4))*10&amp;" minutes",F129)</f>
        <v>60 minutes</v>
      </c>
      <c r="G129" s="4"/>
      <c r="K129" s="5"/>
      <c r="L129" s="5">
        <f t="array" ref="L129">if(or({attackroll;'Dice and Macros'!$F$4:$F$11;macroroll}),randbetween(1,4),L129)</f>
        <v>3</v>
      </c>
      <c r="M129" s="5">
        <f t="array" ref="M129">if(or({attackroll;'Dice and Macros'!$F$4:$F$11;macroroll}),randbetween(1,6),M129)</f>
        <v>3</v>
      </c>
      <c r="N129" s="5">
        <f t="array" ref="N129">if(or({attackroll;'Dice and Macros'!$F$4:$F$11;macroroll}),randbetween(1,8),N129)</f>
        <v>8</v>
      </c>
      <c r="O129" s="5">
        <f t="array" ref="O129">if(or({attackroll;'Dice and Macros'!$F$4:$F$11;macroroll}),randbetween(1,10),O129)</f>
        <v>7</v>
      </c>
      <c r="P129" s="5">
        <f t="array" ref="P129">if(or({attackroll;'Dice and Macros'!$F$4:$F$11;macroroll}),randbetween(1,12),P129)</f>
        <v>3</v>
      </c>
      <c r="Q129" s="5">
        <f t="array" ref="Q129">if(or({attackroll;'Dice and Macros'!$F$4:$F$11;macroroll}),randbetween(1,20),Q129)</f>
        <v>6</v>
      </c>
      <c r="R129" s="5">
        <f t="array" ref="R129">if(or({attackroll;'Dice and Macros'!$F$4:$F$11;macroroll}),randbetween(1,100),R129)</f>
        <v>95</v>
      </c>
      <c r="S129" s="5">
        <f t="array" ref="S129">if(or({attackroll;'Dice and Macros'!$F$4:$F$11;macroroll}),randbetween(1,'Dice and Macros'!$D$11),S129)</f>
        <v>0</v>
      </c>
    </row>
    <row r="130">
      <c r="B130" s="30" t="s">
        <v>176</v>
      </c>
      <c r="C130" s="10"/>
      <c r="D130" s="11"/>
      <c r="E130" s="7">
        <f>spellcasterlevel</f>
        <v>14</v>
      </c>
      <c r="F130" s="25" t="str">
        <f>if(macroroll,(randbetween(1,4)+randbetween(1,4))&amp;" rounds",F130)</f>
        <v>3 rounds</v>
      </c>
      <c r="G130" s="11"/>
      <c r="K130" s="5"/>
      <c r="L130" s="5">
        <f t="array" ref="L130">if(or({attackroll;'Dice and Macros'!$F$4:$F$11;macroroll}),randbetween(1,4),L130)</f>
        <v>2</v>
      </c>
      <c r="M130" s="5">
        <f t="array" ref="M130">if(or({attackroll;'Dice and Macros'!$F$4:$F$11;macroroll}),randbetween(1,6),M130)</f>
        <v>1</v>
      </c>
      <c r="N130" s="5">
        <f t="array" ref="N130">if(or({attackroll;'Dice and Macros'!$F$4:$F$11;macroroll}),randbetween(1,8),N130)</f>
        <v>3</v>
      </c>
      <c r="O130" s="5">
        <f t="array" ref="O130">if(or({attackroll;'Dice and Macros'!$F$4:$F$11;macroroll}),randbetween(1,10),O130)</f>
        <v>5</v>
      </c>
      <c r="P130" s="5">
        <f t="array" ref="P130">if(or({attackroll;'Dice and Macros'!$F$4:$F$11;macroroll}),randbetween(1,12),P130)</f>
        <v>11</v>
      </c>
      <c r="Q130" s="5">
        <f t="array" ref="Q130">if(or({attackroll;'Dice and Macros'!$F$4:$F$11;macroroll}),randbetween(1,20),Q130)</f>
        <v>14</v>
      </c>
      <c r="R130" s="5">
        <f t="array" ref="R130">if(or({attackroll;'Dice and Macros'!$F$4:$F$11;macroroll}),randbetween(1,100),R130)</f>
        <v>82</v>
      </c>
      <c r="S130" s="5">
        <f t="array" ref="S130">if(or({attackroll;'Dice and Macros'!$F$4:$F$11;macroroll}),randbetween(1,'Dice and Macros'!$D$11),S130)</f>
        <v>0</v>
      </c>
    </row>
    <row r="131">
      <c r="B131" s="28" t="s">
        <v>177</v>
      </c>
      <c r="C131" s="3"/>
      <c r="D131" s="4"/>
      <c r="E131" s="14">
        <f>spellcasterlevel</f>
        <v>14</v>
      </c>
      <c r="F131" s="19" t="str">
        <f t="array" ref="F131">if(macroroll,dget( Sheet4!K106:L114,Sheet4!L106,{"Number";randbetween(1,8)}),F131)</f>
        <v>Yellow</v>
      </c>
      <c r="G131" s="4"/>
      <c r="K131" s="5"/>
      <c r="L131" s="5">
        <f t="array" ref="L131">if(or({attackroll;'Dice and Macros'!$F$4:$F$11;macroroll}),randbetween(1,4),L131)</f>
        <v>3</v>
      </c>
      <c r="M131" s="5">
        <f t="array" ref="M131">if(or({attackroll;'Dice and Macros'!$F$4:$F$11;macroroll}),randbetween(1,6),M131)</f>
        <v>6</v>
      </c>
      <c r="N131" s="5">
        <f t="array" ref="N131">if(or({attackroll;'Dice and Macros'!$F$4:$F$11;macroroll}),randbetween(1,8),N131)</f>
        <v>8</v>
      </c>
      <c r="O131" s="5">
        <f t="array" ref="O131">if(or({attackroll;'Dice and Macros'!$F$4:$F$11;macroroll}),randbetween(1,10),O131)</f>
        <v>7</v>
      </c>
      <c r="P131" s="5">
        <f t="array" ref="P131">if(or({attackroll;'Dice and Macros'!$F$4:$F$11;macroroll}),randbetween(1,12),P131)</f>
        <v>5</v>
      </c>
      <c r="Q131" s="5">
        <f t="array" ref="Q131">if(or({attackroll;'Dice and Macros'!$F$4:$F$11;macroroll}),randbetween(1,20),Q131)</f>
        <v>4</v>
      </c>
      <c r="R131" s="5">
        <f t="array" ref="R131">if(or({attackroll;'Dice and Macros'!$F$4:$F$11;macroroll}),randbetween(1,100),R131)</f>
        <v>11</v>
      </c>
      <c r="S131" s="5">
        <f t="array" ref="S131">if(or({attackroll;'Dice and Macros'!$F$4:$F$11;macroroll}),randbetween(1,'Dice and Macros'!$D$11),S131)</f>
        <v>0</v>
      </c>
    </row>
    <row r="132">
      <c r="B132" s="30" t="s">
        <v>178</v>
      </c>
      <c r="C132" s="10"/>
      <c r="D132" s="11"/>
      <c r="E132" s="7">
        <f>spellcasterlevel</f>
        <v>14</v>
      </c>
      <c r="F132" s="25" t="str">
        <f>if(macroroll,(randbetween(1,4)+randbetween(1,4))&amp;" rounds",F132)</f>
        <v>2 rounds</v>
      </c>
      <c r="G132" s="11"/>
      <c r="K132" s="5"/>
      <c r="L132" s="5">
        <f t="array" ref="L132">if(or({attackroll;'Dice and Macros'!$F$4:$F$11;macroroll}),randbetween(1,4),L132)</f>
        <v>4</v>
      </c>
      <c r="M132" s="5">
        <f t="array" ref="M132">if(or({attackroll;'Dice and Macros'!$F$4:$F$11;macroroll}),randbetween(1,6),M132)</f>
        <v>1</v>
      </c>
      <c r="N132" s="5">
        <f t="array" ref="N132">if(or({attackroll;'Dice and Macros'!$F$4:$F$11;macroroll}),randbetween(1,8),N132)</f>
        <v>3</v>
      </c>
      <c r="O132" s="5">
        <f t="array" ref="O132">if(or({attackroll;'Dice and Macros'!$F$4:$F$11;macroroll}),randbetween(1,10),O132)</f>
        <v>10</v>
      </c>
      <c r="P132" s="5">
        <f t="array" ref="P132">if(or({attackroll;'Dice and Macros'!$F$4:$F$11;macroroll}),randbetween(1,12),P132)</f>
        <v>3</v>
      </c>
      <c r="Q132" s="5">
        <f t="array" ref="Q132">if(or({attackroll;'Dice and Macros'!$F$4:$F$11;macroroll}),randbetween(1,20),Q132)</f>
        <v>5</v>
      </c>
      <c r="R132" s="5">
        <f t="array" ref="R132">if(or({attackroll;'Dice and Macros'!$F$4:$F$11;macroroll}),randbetween(1,100),R132)</f>
        <v>19</v>
      </c>
      <c r="S132" s="5">
        <f t="array" ref="S132">if(or({attackroll;'Dice and Macros'!$F$4:$F$11;macroroll}),randbetween(1,'Dice and Macros'!$D$11),S132)</f>
        <v>0</v>
      </c>
    </row>
    <row r="133">
      <c r="B133" s="28" t="s">
        <v>179</v>
      </c>
      <c r="C133" s="3"/>
      <c r="D133" s="4"/>
      <c r="E133" s="14">
        <f>spellcasterlevel</f>
        <v>14</v>
      </c>
      <c r="F133" s="19">
        <f>if(macroroll,(randbetween(1,4)+E133),F133)</f>
        <v>15</v>
      </c>
      <c r="G133" s="4"/>
      <c r="K133" s="5"/>
      <c r="L133" s="5">
        <f t="array" ref="L133">if(or({attackroll;'Dice and Macros'!$F$4:$F$11;macroroll}),randbetween(1,4),L133)</f>
        <v>4</v>
      </c>
      <c r="M133" s="5">
        <f t="array" ref="M133">if(or({attackroll;'Dice and Macros'!$F$4:$F$11;macroroll}),randbetween(1,6),M133)</f>
        <v>6</v>
      </c>
      <c r="N133" s="5">
        <f t="array" ref="N133">if(or({attackroll;'Dice and Macros'!$F$4:$F$11;macroroll}),randbetween(1,8),N133)</f>
        <v>7</v>
      </c>
      <c r="O133" s="5">
        <f t="array" ref="O133">if(or({attackroll;'Dice and Macros'!$F$4:$F$11;macroroll}),randbetween(1,10),O133)</f>
        <v>6</v>
      </c>
      <c r="P133" s="5">
        <f t="array" ref="P133">if(or({attackroll;'Dice and Macros'!$F$4:$F$11;macroroll}),randbetween(1,12),P133)</f>
        <v>2</v>
      </c>
      <c r="Q133" s="5">
        <f t="array" ref="Q133">if(or({attackroll;'Dice and Macros'!$F$4:$F$11;macroroll}),randbetween(1,20),Q133)</f>
        <v>14</v>
      </c>
      <c r="R133" s="5">
        <f t="array" ref="R133">if(or({attackroll;'Dice and Macros'!$F$4:$F$11;macroroll}),randbetween(1,100),R133)</f>
        <v>80</v>
      </c>
      <c r="S133" s="5">
        <f t="array" ref="S133">if(or({attackroll;'Dice and Macros'!$F$4:$F$11;macroroll}),randbetween(1,'Dice and Macros'!$D$11),S133)</f>
        <v>0</v>
      </c>
    </row>
    <row r="134">
      <c r="B134" s="30" t="s">
        <v>180</v>
      </c>
      <c r="C134" s="10"/>
      <c r="D134" s="11"/>
      <c r="E134" s="7">
        <f>spellcasterlevel</f>
        <v>14</v>
      </c>
      <c r="F134" s="25" t="str">
        <f>if(macroroll,randbetween(1,4)+1&amp;" rounds",F134)</f>
        <v>5 rounds</v>
      </c>
      <c r="G134" s="11"/>
      <c r="K134" s="5"/>
      <c r="L134" s="5">
        <f t="array" ref="L134">if(or({attackroll;'Dice and Macros'!$F$4:$F$11;macroroll}),randbetween(1,4),L134)</f>
        <v>1</v>
      </c>
      <c r="M134" s="5">
        <f t="array" ref="M134">if(or({attackroll;'Dice and Macros'!$F$4:$F$11;macroroll}),randbetween(1,6),M134)</f>
        <v>1</v>
      </c>
      <c r="N134" s="5">
        <f t="array" ref="N134">if(or({attackroll;'Dice and Macros'!$F$4:$F$11;macroroll}),randbetween(1,8),N134)</f>
        <v>1</v>
      </c>
      <c r="O134" s="5">
        <f t="array" ref="O134">if(or({attackroll;'Dice and Macros'!$F$4:$F$11;macroroll}),randbetween(1,10),O134)</f>
        <v>3</v>
      </c>
      <c r="P134" s="5">
        <f t="array" ref="P134">if(or({attackroll;'Dice and Macros'!$F$4:$F$11;macroroll}),randbetween(1,12),P134)</f>
        <v>1</v>
      </c>
      <c r="Q134" s="5">
        <f t="array" ref="Q134">if(or({attackroll;'Dice and Macros'!$F$4:$F$11;macroroll}),randbetween(1,20),Q134)</f>
        <v>1</v>
      </c>
      <c r="R134" s="5">
        <f t="array" ref="R134">if(or({attackroll;'Dice and Macros'!$F$4:$F$11;macroroll}),randbetween(1,100),R134)</f>
        <v>18</v>
      </c>
      <c r="S134" s="5">
        <f t="array" ref="S134">if(or({attackroll;'Dice and Macros'!$F$4:$F$11;macroroll}),randbetween(1,'Dice and Macros'!$D$11),S134)</f>
        <v>0</v>
      </c>
    </row>
    <row r="135">
      <c r="B135" s="28" t="s">
        <v>181</v>
      </c>
      <c r="C135" s="3"/>
      <c r="D135" s="4"/>
      <c r="E135" s="14">
        <f>spellcasterlevel</f>
        <v>14</v>
      </c>
      <c r="F135" s="19">
        <f>if(macroroll,randbetween(1,20)+min(E135,15),F135)</f>
        <v>31</v>
      </c>
      <c r="G135" s="4"/>
      <c r="K135" s="5"/>
      <c r="L135" s="5">
        <f t="array" ref="L135">if(or({attackroll;'Dice and Macros'!$F$4:$F$11;macroroll}),randbetween(1,4),L135)</f>
        <v>3</v>
      </c>
      <c r="M135" s="5">
        <f t="array" ref="M135">if(or({attackroll;'Dice and Macros'!$F$4:$F$11;macroroll}),randbetween(1,6),M135)</f>
        <v>4</v>
      </c>
      <c r="N135" s="5">
        <f t="array" ref="N135">if(or({attackroll;'Dice and Macros'!$F$4:$F$11;macroroll}),randbetween(1,8),N135)</f>
        <v>8</v>
      </c>
      <c r="O135" s="5">
        <f t="array" ref="O135">if(or({attackroll;'Dice and Macros'!$F$4:$F$11;macroroll}),randbetween(1,10),O135)</f>
        <v>3</v>
      </c>
      <c r="P135" s="5">
        <f t="array" ref="P135">if(or({attackroll;'Dice and Macros'!$F$4:$F$11;macroroll}),randbetween(1,12),P135)</f>
        <v>4</v>
      </c>
      <c r="Q135" s="5">
        <f t="array" ref="Q135">if(or({attackroll;'Dice and Macros'!$F$4:$F$11;macroroll}),randbetween(1,20),Q135)</f>
        <v>20</v>
      </c>
      <c r="R135" s="5">
        <f t="array" ref="R135">if(or({attackroll;'Dice and Macros'!$F$4:$F$11;macroroll}),randbetween(1,100),R135)</f>
        <v>95</v>
      </c>
      <c r="S135" s="5">
        <f t="array" ref="S135">if(or({attackroll;'Dice and Macros'!$F$4:$F$11;macroroll}),randbetween(1,'Dice and Macros'!$D$11),S135)</f>
        <v>0</v>
      </c>
    </row>
    <row r="136">
      <c r="B136" s="30" t="s">
        <v>182</v>
      </c>
      <c r="C136" s="10"/>
      <c r="D136" s="11"/>
      <c r="E136" s="7">
        <f>spellcasterlevel</f>
        <v>14</v>
      </c>
      <c r="F136" s="25">
        <f>if(macroroll,sum(indirect("m"&amp;$K$2):indirect("m"&amp;$K$2+min(14,E136-1))),F136)</f>
        <v>38</v>
      </c>
      <c r="G136" s="11"/>
      <c r="K136" s="5"/>
      <c r="L136" s="5">
        <f t="array" ref="L136">if(or({attackroll;'Dice and Macros'!$F$4:$F$11;macroroll}),randbetween(1,4),L136)</f>
        <v>4</v>
      </c>
      <c r="M136" s="5">
        <f t="array" ref="M136">if(or({attackroll;'Dice and Macros'!$F$4:$F$11;macroroll}),randbetween(1,6),M136)</f>
        <v>1</v>
      </c>
      <c r="N136" s="5">
        <f t="array" ref="N136">if(or({attackroll;'Dice and Macros'!$F$4:$F$11;macroroll}),randbetween(1,8),N136)</f>
        <v>1</v>
      </c>
      <c r="O136" s="5">
        <f t="array" ref="O136">if(or({attackroll;'Dice and Macros'!$F$4:$F$11;macroroll}),randbetween(1,10),O136)</f>
        <v>2</v>
      </c>
      <c r="P136" s="5">
        <f t="array" ref="P136">if(or({attackroll;'Dice and Macros'!$F$4:$F$11;macroroll}),randbetween(1,12),P136)</f>
        <v>6</v>
      </c>
      <c r="Q136" s="5">
        <f t="array" ref="Q136">if(or({attackroll;'Dice and Macros'!$F$4:$F$11;macroroll}),randbetween(1,20),Q136)</f>
        <v>8</v>
      </c>
      <c r="R136" s="5">
        <f t="array" ref="R136">if(or({attackroll;'Dice and Macros'!$F$4:$F$11;macroroll}),randbetween(1,100),R136)</f>
        <v>28</v>
      </c>
      <c r="S136" s="5">
        <f t="array" ref="S136">if(or({attackroll;'Dice and Macros'!$F$4:$F$11;macroroll}),randbetween(1,'Dice and Macros'!$D$11),S136)</f>
        <v>0</v>
      </c>
    </row>
    <row r="137">
      <c r="B137" s="17" t="s">
        <v>183</v>
      </c>
      <c r="C137" s="3"/>
      <c r="D137" s="4"/>
      <c r="E137" s="18">
        <f>spellcasterlevel</f>
        <v>14</v>
      </c>
      <c r="F137" s="19" t="str">
        <f>if(macroroll,randbetween(1,4)&amp;" hours",F137)</f>
        <v>3 hours</v>
      </c>
      <c r="G137" s="4"/>
      <c r="K137" s="5"/>
      <c r="L137" s="5">
        <f t="array" ref="L137">if(or({attackroll;'Dice and Macros'!$F$4:$F$11;macroroll}),randbetween(1,4),L137)</f>
        <v>3</v>
      </c>
      <c r="M137" s="5">
        <f t="array" ref="M137">if(or({attackroll;'Dice and Macros'!$F$4:$F$11;macroroll}),randbetween(1,6),M137)</f>
        <v>5</v>
      </c>
      <c r="N137" s="5">
        <f t="array" ref="N137">if(or({attackroll;'Dice and Macros'!$F$4:$F$11;macroroll}),randbetween(1,8),N137)</f>
        <v>7</v>
      </c>
      <c r="O137" s="5">
        <f t="array" ref="O137">if(or({attackroll;'Dice and Macros'!$F$4:$F$11;macroroll}),randbetween(1,10),O137)</f>
        <v>5</v>
      </c>
      <c r="P137" s="5">
        <f t="array" ref="P137">if(or({attackroll;'Dice and Macros'!$F$4:$F$11;macroroll}),randbetween(1,12),P137)</f>
        <v>2</v>
      </c>
      <c r="Q137" s="5">
        <f t="array" ref="Q137">if(or({attackroll;'Dice and Macros'!$F$4:$F$11;macroroll}),randbetween(1,20),Q137)</f>
        <v>18</v>
      </c>
      <c r="R137" s="5">
        <f t="array" ref="R137">if(or({attackroll;'Dice and Macros'!$F$4:$F$11;macroroll}),randbetween(1,100),R137)</f>
        <v>62</v>
      </c>
      <c r="S137" s="5">
        <f t="array" ref="S137">if(or({attackroll;'Dice and Macros'!$F$4:$F$11;macroroll}),randbetween(1,'Dice and Macros'!$D$11),S137)</f>
        <v>0</v>
      </c>
    </row>
    <row r="138">
      <c r="B138" s="35" t="s">
        <v>184</v>
      </c>
      <c r="C138" s="10"/>
      <c r="D138" s="11"/>
      <c r="E138" s="24">
        <f>spellcasterlevel</f>
        <v>14</v>
      </c>
      <c r="F138" s="25">
        <f>if(macroroll,randbetween(1,6)+min(floor(E138/2,1),5),F138)</f>
        <v>7</v>
      </c>
      <c r="G138" s="11"/>
      <c r="K138" s="5"/>
      <c r="L138" s="5">
        <f t="array" ref="L138">if(or({attackroll;'Dice and Macros'!$F$4:$F$11;macroroll}),randbetween(1,4),L138)</f>
        <v>1</v>
      </c>
      <c r="M138" s="5">
        <f t="array" ref="M138">if(or({attackroll;'Dice and Macros'!$F$4:$F$11;macroroll}),randbetween(1,6),M138)</f>
        <v>1</v>
      </c>
      <c r="N138" s="5">
        <f t="array" ref="N138">if(or({attackroll;'Dice and Macros'!$F$4:$F$11;macroroll}),randbetween(1,8),N138)</f>
        <v>7</v>
      </c>
      <c r="O138" s="5">
        <f t="array" ref="O138">if(or({attackroll;'Dice and Macros'!$F$4:$F$11;macroroll}),randbetween(1,10),O138)</f>
        <v>4</v>
      </c>
      <c r="P138" s="5">
        <f t="array" ref="P138">if(or({attackroll;'Dice and Macros'!$F$4:$F$11;macroroll}),randbetween(1,12),P138)</f>
        <v>11</v>
      </c>
      <c r="Q138" s="5">
        <f t="array" ref="Q138">if(or({attackroll;'Dice and Macros'!$F$4:$F$11;macroroll}),randbetween(1,20),Q138)</f>
        <v>13</v>
      </c>
      <c r="R138" s="5">
        <f t="array" ref="R138">if(or({attackroll;'Dice and Macros'!$F$4:$F$11;macroroll}),randbetween(1,100),R138)</f>
        <v>57</v>
      </c>
      <c r="S138" s="5">
        <f t="array" ref="S138">if(or({attackroll;'Dice and Macros'!$F$4:$F$11;macroroll}),randbetween(1,'Dice and Macros'!$D$11),S138)</f>
        <v>0</v>
      </c>
    </row>
    <row r="139">
      <c r="B139" s="17" t="s">
        <v>185</v>
      </c>
      <c r="C139" s="3"/>
      <c r="D139" s="4"/>
      <c r="E139" s="18">
        <f>spellcasterlevel</f>
        <v>14</v>
      </c>
      <c r="F139" s="19">
        <f>if(macroroll,randbetween(1,3),F139)</f>
        <v>1</v>
      </c>
      <c r="G139" s="4"/>
      <c r="K139" s="5"/>
      <c r="L139" s="5">
        <f t="array" ref="L139">if(or({attackroll;'Dice and Macros'!$F$4:$F$11;macroroll}),randbetween(1,4),L139)</f>
        <v>4</v>
      </c>
      <c r="M139" s="5">
        <f t="array" ref="M139">if(or({attackroll;'Dice and Macros'!$F$4:$F$11;macroroll}),randbetween(1,6),M139)</f>
        <v>2</v>
      </c>
      <c r="N139" s="5">
        <f t="array" ref="N139">if(or({attackroll;'Dice and Macros'!$F$4:$F$11;macroroll}),randbetween(1,8),N139)</f>
        <v>3</v>
      </c>
      <c r="O139" s="5">
        <f t="array" ref="O139">if(or({attackroll;'Dice and Macros'!$F$4:$F$11;macroroll}),randbetween(1,10),O139)</f>
        <v>2</v>
      </c>
      <c r="P139" s="5">
        <f t="array" ref="P139">if(or({attackroll;'Dice and Macros'!$F$4:$F$11;macroroll}),randbetween(1,12),P139)</f>
        <v>9</v>
      </c>
      <c r="Q139" s="5">
        <f t="array" ref="Q139">if(or({attackroll;'Dice and Macros'!$F$4:$F$11;macroroll}),randbetween(1,20),Q139)</f>
        <v>15</v>
      </c>
      <c r="R139" s="5">
        <f t="array" ref="R139">if(or({attackroll;'Dice and Macros'!$F$4:$F$11;macroroll}),randbetween(1,100),R139)</f>
        <v>7</v>
      </c>
      <c r="S139" s="5">
        <f t="array" ref="S139">if(or({attackroll;'Dice and Macros'!$F$4:$F$11;macroroll}),randbetween(1,'Dice and Macros'!$D$11),S139)</f>
        <v>0</v>
      </c>
    </row>
    <row r="140">
      <c r="B140" s="35" t="s">
        <v>186</v>
      </c>
      <c r="C140" s="10"/>
      <c r="D140" s="11"/>
      <c r="E140" s="24">
        <f>spellcasterlevel</f>
        <v>14</v>
      </c>
      <c r="F140" s="25" t="str">
        <f>if(macroroll,randbetween(1,10)+randbetween(1,10)&amp;" rounds",F140)</f>
        <v>17 rounds</v>
      </c>
      <c r="G140" s="11"/>
      <c r="K140" s="5"/>
      <c r="L140" s="5">
        <f t="array" ref="L140">if(or({attackroll;'Dice and Macros'!$F$4:$F$11;macroroll}),randbetween(1,4),L140)</f>
        <v>4</v>
      </c>
      <c r="M140" s="5">
        <f t="array" ref="M140">if(or({attackroll;'Dice and Macros'!$F$4:$F$11;macroroll}),randbetween(1,6),M140)</f>
        <v>5</v>
      </c>
      <c r="N140" s="5">
        <f t="array" ref="N140">if(or({attackroll;'Dice and Macros'!$F$4:$F$11;macroroll}),randbetween(1,8),N140)</f>
        <v>7</v>
      </c>
      <c r="O140" s="5">
        <f t="array" ref="O140">if(or({attackroll;'Dice and Macros'!$F$4:$F$11;macroroll}),randbetween(1,10),O140)</f>
        <v>6</v>
      </c>
      <c r="P140" s="5">
        <f t="array" ref="P140">if(or({attackroll;'Dice and Macros'!$F$4:$F$11;macroroll}),randbetween(1,12),P140)</f>
        <v>7</v>
      </c>
      <c r="Q140" s="5">
        <f t="array" ref="Q140">if(or({attackroll;'Dice and Macros'!$F$4:$F$11;macroroll}),randbetween(1,20),Q140)</f>
        <v>15</v>
      </c>
      <c r="R140" s="5">
        <f t="array" ref="R140">if(or({attackroll;'Dice and Macros'!$F$4:$F$11;macroroll}),randbetween(1,100),R140)</f>
        <v>34</v>
      </c>
      <c r="S140" s="5">
        <f t="array" ref="S140">if(or({attackroll;'Dice and Macros'!$F$4:$F$11;macroroll}),randbetween(1,'Dice and Macros'!$D$11),S140)</f>
        <v>0</v>
      </c>
    </row>
    <row r="141">
      <c r="B141" s="28" t="s">
        <v>187</v>
      </c>
      <c r="C141" s="3"/>
      <c r="D141" s="4"/>
      <c r="E141" s="14">
        <f>spellcasterlevel</f>
        <v>14</v>
      </c>
      <c r="F141" s="19">
        <f>if(macroroll,sum(indirect("n"&amp;$K$2):indirect("n"&amp;$K$2+3))+min(35,E141),F141)</f>
        <v>36</v>
      </c>
      <c r="G141" s="4"/>
      <c r="K141" s="5"/>
      <c r="L141" s="5">
        <f t="array" ref="L141">if(or({attackroll;'Dice and Macros'!$F$4:$F$11;macroroll}),randbetween(1,4),L141)</f>
        <v>1</v>
      </c>
      <c r="M141" s="5">
        <f t="array" ref="M141">if(or({attackroll;'Dice and Macros'!$F$4:$F$11;macroroll}),randbetween(1,6),M141)</f>
        <v>6</v>
      </c>
      <c r="N141" s="5">
        <f t="array" ref="N141">if(or({attackroll;'Dice and Macros'!$F$4:$F$11;macroroll}),randbetween(1,8),N141)</f>
        <v>6</v>
      </c>
      <c r="O141" s="5">
        <f t="array" ref="O141">if(or({attackroll;'Dice and Macros'!$F$4:$F$11;macroroll}),randbetween(1,10),O141)</f>
        <v>5</v>
      </c>
      <c r="P141" s="5">
        <f t="array" ref="P141">if(or({attackroll;'Dice and Macros'!$F$4:$F$11;macroroll}),randbetween(1,12),P141)</f>
        <v>9</v>
      </c>
      <c r="Q141" s="5">
        <f t="array" ref="Q141">if(or({attackroll;'Dice and Macros'!$F$4:$F$11;macroroll}),randbetween(1,20),Q141)</f>
        <v>15</v>
      </c>
      <c r="R141" s="5">
        <f t="array" ref="R141">if(or({attackroll;'Dice and Macros'!$F$4:$F$11;macroroll}),randbetween(1,100),R141)</f>
        <v>93</v>
      </c>
      <c r="S141" s="5">
        <f t="array" ref="S141">if(or({attackroll;'Dice and Macros'!$F$4:$F$11;macroroll}),randbetween(1,'Dice and Macros'!$D$11),S141)</f>
        <v>0</v>
      </c>
    </row>
    <row r="142">
      <c r="B142" s="30" t="s">
        <v>188</v>
      </c>
      <c r="C142" s="10"/>
      <c r="D142" s="11"/>
      <c r="E142" s="7">
        <f>spellcasterlevel</f>
        <v>14</v>
      </c>
      <c r="F142" s="25" t="str">
        <f t="array" ref="F142">if(macroroll,dget(Sheet4!AE17:AF117,Sheet4!AF17,{"Number";randbetween(1,100)}),F142)</f>
        <v>Troglodyte</v>
      </c>
      <c r="G142" s="11"/>
      <c r="K142" s="5"/>
      <c r="L142" s="5">
        <f t="array" ref="L142">if(or({attackroll;'Dice and Macros'!$F$4:$F$11;macroroll}),randbetween(1,4),L142)</f>
        <v>2</v>
      </c>
      <c r="M142" s="5">
        <f t="array" ref="M142">if(or({attackroll;'Dice and Macros'!$F$4:$F$11;macroroll}),randbetween(1,6),M142)</f>
        <v>3</v>
      </c>
      <c r="N142" s="5">
        <f t="array" ref="N142">if(or({attackroll;'Dice and Macros'!$F$4:$F$11;macroroll}),randbetween(1,8),N142)</f>
        <v>5</v>
      </c>
      <c r="O142" s="5">
        <f t="array" ref="O142">if(or({attackroll;'Dice and Macros'!$F$4:$F$11;macroroll}),randbetween(1,10),O142)</f>
        <v>6</v>
      </c>
      <c r="P142" s="5">
        <f t="array" ref="P142">if(or({attackroll;'Dice and Macros'!$F$4:$F$11;macroroll}),randbetween(1,12),P142)</f>
        <v>12</v>
      </c>
      <c r="Q142" s="5">
        <f t="array" ref="Q142">if(or({attackroll;'Dice and Macros'!$F$4:$F$11;macroroll}),randbetween(1,20),Q142)</f>
        <v>14</v>
      </c>
      <c r="R142" s="5">
        <f t="array" ref="R142">if(or({attackroll;'Dice and Macros'!$F$4:$F$11;macroroll}),randbetween(1,100),R142)</f>
        <v>33</v>
      </c>
      <c r="S142" s="5">
        <f t="array" ref="S142">if(or({attackroll;'Dice and Macros'!$F$4:$F$11;macroroll}),randbetween(1,'Dice and Macros'!$D$11),S142)</f>
        <v>0</v>
      </c>
    </row>
    <row r="143">
      <c r="B143" s="17" t="s">
        <v>189</v>
      </c>
      <c r="C143" s="3"/>
      <c r="D143" s="4"/>
      <c r="E143" s="18">
        <f>spellcasterlevel</f>
        <v>14</v>
      </c>
      <c r="F143" s="19">
        <f>if(macroroll,randbetween(1,6),F143)</f>
        <v>6</v>
      </c>
      <c r="G143" s="4"/>
      <c r="K143" s="5"/>
      <c r="L143" s="5">
        <f t="array" ref="L143">if(or({attackroll;'Dice and Macros'!$F$4:$F$11;macroroll}),randbetween(1,4),L143)</f>
        <v>2</v>
      </c>
      <c r="M143" s="5">
        <f t="array" ref="M143">if(or({attackroll;'Dice and Macros'!$F$4:$F$11;macroroll}),randbetween(1,6),M143)</f>
        <v>3</v>
      </c>
      <c r="N143" s="5">
        <f t="array" ref="N143">if(or({attackroll;'Dice and Macros'!$F$4:$F$11;macroroll}),randbetween(1,8),N143)</f>
        <v>6</v>
      </c>
      <c r="O143" s="5">
        <f t="array" ref="O143">if(or({attackroll;'Dice and Macros'!$F$4:$F$11;macroroll}),randbetween(1,10),O143)</f>
        <v>10</v>
      </c>
      <c r="P143" s="5">
        <f t="array" ref="P143">if(or({attackroll;'Dice and Macros'!$F$4:$F$11;macroroll}),randbetween(1,12),P143)</f>
        <v>3</v>
      </c>
      <c r="Q143" s="5">
        <f t="array" ref="Q143">if(or({attackroll;'Dice and Macros'!$F$4:$F$11;macroroll}),randbetween(1,20),Q143)</f>
        <v>1</v>
      </c>
      <c r="R143" s="5">
        <f t="array" ref="R143">if(or({attackroll;'Dice and Macros'!$F$4:$F$11;macroroll}),randbetween(1,100),R143)</f>
        <v>43</v>
      </c>
      <c r="S143" s="5">
        <f t="array" ref="S143">if(or({attackroll;'Dice and Macros'!$F$4:$F$11;macroroll}),randbetween(1,'Dice and Macros'!$D$11),S143)</f>
        <v>0</v>
      </c>
    </row>
    <row r="144">
      <c r="B144" s="30" t="s">
        <v>190</v>
      </c>
      <c r="C144" s="10"/>
      <c r="D144" s="11"/>
      <c r="E144" s="7">
        <f>spellcasterlevel</f>
        <v>14</v>
      </c>
      <c r="F144" s="25">
        <f>if(macroroll,sum(indirect("n"&amp;$K$2):indirect("n"&amp;$K$2+2))+min(15,E144),F144)</f>
        <v>31</v>
      </c>
      <c r="G144" s="11"/>
      <c r="K144" s="5"/>
      <c r="L144" s="5">
        <f t="array" ref="L144">if(or({attackroll;'Dice and Macros'!$F$4:$F$11;macroroll}),randbetween(1,4),L144)</f>
        <v>1</v>
      </c>
      <c r="M144" s="5">
        <f t="array" ref="M144">if(or({attackroll;'Dice and Macros'!$F$4:$F$11;macroroll}),randbetween(1,6),M144)</f>
        <v>3</v>
      </c>
      <c r="N144" s="5">
        <f t="array" ref="N144">if(or({attackroll;'Dice and Macros'!$F$4:$F$11;macroroll}),randbetween(1,8),N144)</f>
        <v>2</v>
      </c>
      <c r="O144" s="5">
        <f t="array" ref="O144">if(or({attackroll;'Dice and Macros'!$F$4:$F$11;macroroll}),randbetween(1,10),O144)</f>
        <v>3</v>
      </c>
      <c r="P144" s="5">
        <f t="array" ref="P144">if(or({attackroll;'Dice and Macros'!$F$4:$F$11;macroroll}),randbetween(1,12),P144)</f>
        <v>9</v>
      </c>
      <c r="Q144" s="5">
        <f t="array" ref="Q144">if(or({attackroll;'Dice and Macros'!$F$4:$F$11;macroroll}),randbetween(1,20),Q144)</f>
        <v>16</v>
      </c>
      <c r="R144" s="5">
        <f t="array" ref="R144">if(or({attackroll;'Dice and Macros'!$F$4:$F$11;macroroll}),randbetween(1,100),R144)</f>
        <v>14</v>
      </c>
      <c r="S144" s="5">
        <f t="array" ref="S144">if(or({attackroll;'Dice and Macros'!$F$4:$F$11;macroroll}),randbetween(1,'Dice and Macros'!$D$11),S144)</f>
        <v>0</v>
      </c>
    </row>
    <row r="145">
      <c r="B145" s="17" t="s">
        <v>191</v>
      </c>
      <c r="C145" s="3"/>
      <c r="D145" s="4"/>
      <c r="E145" s="18">
        <f>spellcasterlevel</f>
        <v>14</v>
      </c>
      <c r="F145" s="19" t="str">
        <f>if(macroroll,randbetween(1,4)&amp;" U, "&amp;randbetween(1,4)&amp;" S, "&amp;randbetween(1,4)&amp;" C",F145)</f>
        <v>4 U, 4 S, 1 C</v>
      </c>
      <c r="G145" s="4"/>
      <c r="K145" s="5"/>
      <c r="L145" s="5">
        <f t="array" ref="L145">if(or({attackroll;'Dice and Macros'!$F$4:$F$11;macroroll}),randbetween(1,4),L145)</f>
        <v>1</v>
      </c>
      <c r="M145" s="5">
        <f t="array" ref="M145">if(or({attackroll;'Dice and Macros'!$F$4:$F$11;macroroll}),randbetween(1,6),M145)</f>
        <v>1</v>
      </c>
      <c r="N145" s="5">
        <f t="array" ref="N145">if(or({attackroll;'Dice and Macros'!$F$4:$F$11;macroroll}),randbetween(1,8),N145)</f>
        <v>3</v>
      </c>
      <c r="O145" s="5">
        <f t="array" ref="O145">if(or({attackroll;'Dice and Macros'!$F$4:$F$11;macroroll}),randbetween(1,10),O145)</f>
        <v>3</v>
      </c>
      <c r="P145" s="5">
        <f t="array" ref="P145">if(or({attackroll;'Dice and Macros'!$F$4:$F$11;macroroll}),randbetween(1,12),P145)</f>
        <v>7</v>
      </c>
      <c r="Q145" s="5">
        <f t="array" ref="Q145">if(or({attackroll;'Dice and Macros'!$F$4:$F$11;macroroll}),randbetween(1,20),Q145)</f>
        <v>8</v>
      </c>
      <c r="R145" s="5">
        <f t="array" ref="R145">if(or({attackroll;'Dice and Macros'!$F$4:$F$11;macroroll}),randbetween(1,100),R145)</f>
        <v>87</v>
      </c>
      <c r="S145" s="5">
        <f t="array" ref="S145">if(or({attackroll;'Dice and Macros'!$F$4:$F$11;macroroll}),randbetween(1,'Dice and Macros'!$D$11),S145)</f>
        <v>0</v>
      </c>
    </row>
    <row r="146">
      <c r="B146" s="35" t="s">
        <v>192</v>
      </c>
      <c r="C146" s="10"/>
      <c r="D146" s="11"/>
      <c r="E146" s="24">
        <f>spellcasterlevel</f>
        <v>14</v>
      </c>
      <c r="F146" s="25" t="str">
        <f>if(macroroll,randbetween(1,4)&amp;" S, "&amp;randbetween(1,4)&amp;" C",F146)</f>
        <v>3 S, 3 C</v>
      </c>
      <c r="G146" s="11"/>
      <c r="K146" s="5"/>
      <c r="L146" s="5">
        <f t="array" ref="L146">if(or({attackroll;'Dice and Macros'!$F$4:$F$11;macroroll}),randbetween(1,4),L146)</f>
        <v>1</v>
      </c>
      <c r="M146" s="5">
        <f t="array" ref="M146">if(or({attackroll;'Dice and Macros'!$F$4:$F$11;macroroll}),randbetween(1,6),M146)</f>
        <v>1</v>
      </c>
      <c r="N146" s="5">
        <f t="array" ref="N146">if(or({attackroll;'Dice and Macros'!$F$4:$F$11;macroroll}),randbetween(1,8),N146)</f>
        <v>2</v>
      </c>
      <c r="O146" s="5">
        <f t="array" ref="O146">if(or({attackroll;'Dice and Macros'!$F$4:$F$11;macroroll}),randbetween(1,10),O146)</f>
        <v>8</v>
      </c>
      <c r="P146" s="5">
        <f t="array" ref="P146">if(or({attackroll;'Dice and Macros'!$F$4:$F$11;macroroll}),randbetween(1,12),P146)</f>
        <v>2</v>
      </c>
      <c r="Q146" s="5">
        <f t="array" ref="Q146">if(or({attackroll;'Dice and Macros'!$F$4:$F$11;macroroll}),randbetween(1,20),Q146)</f>
        <v>8</v>
      </c>
      <c r="R146" s="5">
        <f t="array" ref="R146">if(or({attackroll;'Dice and Macros'!$F$4:$F$11;macroroll}),randbetween(1,100),R146)</f>
        <v>90</v>
      </c>
      <c r="S146" s="5">
        <f t="array" ref="S146">if(or({attackroll;'Dice and Macros'!$F$4:$F$11;macroroll}),randbetween(1,'Dice and Macros'!$D$11),S146)</f>
        <v>0</v>
      </c>
    </row>
    <row r="147">
      <c r="B147" s="17" t="s">
        <v>193</v>
      </c>
      <c r="C147" s="3"/>
      <c r="D147" s="4"/>
      <c r="E147" s="18">
        <f>spellcasterlevel</f>
        <v>14</v>
      </c>
      <c r="F147" s="19" t="str">
        <f>if(macroroll,randbetween(1,4)&amp;" C",F147)</f>
        <v>2 C</v>
      </c>
      <c r="G147" s="4"/>
      <c r="K147" s="5"/>
      <c r="L147" s="5">
        <f t="array" ref="L147">if(or({attackroll;'Dice and Macros'!$F$4:$F$11;macroroll}),randbetween(1,4),L147)</f>
        <v>4</v>
      </c>
      <c r="M147" s="5">
        <f t="array" ref="M147">if(or({attackroll;'Dice and Macros'!$F$4:$F$11;macroroll}),randbetween(1,6),M147)</f>
        <v>5</v>
      </c>
      <c r="N147" s="5">
        <f t="array" ref="N147">if(or({attackroll;'Dice and Macros'!$F$4:$F$11;macroroll}),randbetween(1,8),N147)</f>
        <v>8</v>
      </c>
      <c r="O147" s="5">
        <f t="array" ref="O147">if(or({attackroll;'Dice and Macros'!$F$4:$F$11;macroroll}),randbetween(1,10),O147)</f>
        <v>4</v>
      </c>
      <c r="P147" s="5">
        <f t="array" ref="P147">if(or({attackroll;'Dice and Macros'!$F$4:$F$11;macroroll}),randbetween(1,12),P147)</f>
        <v>11</v>
      </c>
      <c r="Q147" s="5">
        <f t="array" ref="Q147">if(or({attackroll;'Dice and Macros'!$F$4:$F$11;macroroll}),randbetween(1,20),Q147)</f>
        <v>10</v>
      </c>
      <c r="R147" s="5">
        <f t="array" ref="R147">if(or({attackroll;'Dice and Macros'!$F$4:$F$11;macroroll}),randbetween(1,100),R147)</f>
        <v>2</v>
      </c>
      <c r="S147" s="5">
        <f t="array" ref="S147">if(or({attackroll;'Dice and Macros'!$F$4:$F$11;macroroll}),randbetween(1,'Dice and Macros'!$D$11),S147)</f>
        <v>0</v>
      </c>
    </row>
    <row r="148">
      <c r="B148" s="30" t="s">
        <v>194</v>
      </c>
      <c r="C148" s="10"/>
      <c r="D148" s="11"/>
      <c r="E148" s="7">
        <f>spellcasterlevel</f>
        <v>14</v>
      </c>
      <c r="F148" s="25" t="str">
        <f>if(macroroll,sum(indirect("m"&amp;$K$2):indirect("m"&amp;$K$2+3))&amp;if(E148&gt;=7,", "&amp;sum(indirect("m"&amp;$K$3):indirect("m"&amp;$K$3+3)),)&amp;if(E148&gt;=11,", "&amp;sum(indirect("m"&amp;$K$4):indirect("m"&amp;$K$4+3)),),F148)</f>
        <v>11, 8, 10</v>
      </c>
      <c r="G148" s="11"/>
      <c r="K148" s="5"/>
      <c r="L148" s="5">
        <f t="array" ref="L148">if(or({attackroll;'Dice and Macros'!$F$4:$F$11;macroroll}),randbetween(1,4),L148)</f>
        <v>2</v>
      </c>
      <c r="M148" s="5">
        <f t="array" ref="M148">if(or({attackroll;'Dice and Macros'!$F$4:$F$11;macroroll}),randbetween(1,6),M148)</f>
        <v>6</v>
      </c>
      <c r="N148" s="5">
        <f t="array" ref="N148">if(or({attackroll;'Dice and Macros'!$F$4:$F$11;macroroll}),randbetween(1,8),N148)</f>
        <v>2</v>
      </c>
      <c r="O148" s="5">
        <f t="array" ref="O148">if(or({attackroll;'Dice and Macros'!$F$4:$F$11;macroroll}),randbetween(1,10),O148)</f>
        <v>7</v>
      </c>
      <c r="P148" s="5">
        <f t="array" ref="P148">if(or({attackroll;'Dice and Macros'!$F$4:$F$11;macroroll}),randbetween(1,12),P148)</f>
        <v>10</v>
      </c>
      <c r="Q148" s="5">
        <f t="array" ref="Q148">if(or({attackroll;'Dice and Macros'!$F$4:$F$11;macroroll}),randbetween(1,20),Q148)</f>
        <v>6</v>
      </c>
      <c r="R148" s="5">
        <f t="array" ref="R148">if(or({attackroll;'Dice and Macros'!$F$4:$F$11;macroroll}),randbetween(1,100),R148)</f>
        <v>58</v>
      </c>
      <c r="S148" s="5">
        <f t="array" ref="S148">if(or({attackroll;'Dice and Macros'!$F$4:$F$11;macroroll}),randbetween(1,'Dice and Macros'!$D$11),S148)</f>
        <v>0</v>
      </c>
    </row>
    <row r="149">
      <c r="B149" s="28" t="s">
        <v>195</v>
      </c>
      <c r="C149" s="3"/>
      <c r="D149" s="4"/>
      <c r="E149" s="14">
        <f>spellcasterlevel</f>
        <v>14</v>
      </c>
      <c r="F149" s="19">
        <f>if(macroroll,sum(indirect("n"&amp;$K$2):indirect("n"&amp;$K$2+min(4,floor(E149/2,1)-1))),F149)</f>
        <v>24</v>
      </c>
      <c r="G149" s="4"/>
      <c r="K149" s="5"/>
      <c r="L149" s="5">
        <f t="array" ref="L149">if(or({attackroll;'Dice and Macros'!$F$4:$F$11;macroroll}),randbetween(1,4),L149)</f>
        <v>1</v>
      </c>
      <c r="M149" s="5">
        <f t="array" ref="M149">if(or({attackroll;'Dice and Macros'!$F$4:$F$11;macroroll}),randbetween(1,6),M149)</f>
        <v>4</v>
      </c>
      <c r="N149" s="5">
        <f t="array" ref="N149">if(or({attackroll;'Dice and Macros'!$F$4:$F$11;macroroll}),randbetween(1,8),N149)</f>
        <v>3</v>
      </c>
      <c r="O149" s="5">
        <f t="array" ref="O149">if(or({attackroll;'Dice and Macros'!$F$4:$F$11;macroroll}),randbetween(1,10),O149)</f>
        <v>7</v>
      </c>
      <c r="P149" s="5">
        <f t="array" ref="P149">if(or({attackroll;'Dice and Macros'!$F$4:$F$11;macroroll}),randbetween(1,12),P149)</f>
        <v>2</v>
      </c>
      <c r="Q149" s="5">
        <f t="array" ref="Q149">if(or({attackroll;'Dice and Macros'!$F$4:$F$11;macroroll}),randbetween(1,20),Q149)</f>
        <v>3</v>
      </c>
      <c r="R149" s="5">
        <f t="array" ref="R149">if(or({attackroll;'Dice and Macros'!$F$4:$F$11;macroroll}),randbetween(1,100),R149)</f>
        <v>6</v>
      </c>
      <c r="S149" s="5">
        <f t="array" ref="S149">if(or({attackroll;'Dice and Macros'!$F$4:$F$11;macroroll}),randbetween(1,'Dice and Macros'!$D$11),S149)</f>
        <v>0</v>
      </c>
    </row>
    <row r="150">
      <c r="B150" s="30" t="s">
        <v>196</v>
      </c>
      <c r="C150" s="10"/>
      <c r="D150" s="11"/>
      <c r="E150" s="7">
        <f>spellcasterlevel</f>
        <v>14</v>
      </c>
      <c r="F150" s="25">
        <f>if(macroroll,sum(indirect("m"&amp;$K$2):indirect("m"&amp;$K$2+min(9,E150-1))),F150)</f>
        <v>26</v>
      </c>
      <c r="G150" s="11"/>
      <c r="K150" s="5"/>
      <c r="L150" s="5">
        <f t="array" ref="L150">if(or({attackroll;'Dice and Macros'!$F$4:$F$11;macroroll}),randbetween(1,4),L150)</f>
        <v>2</v>
      </c>
      <c r="M150" s="5">
        <f t="array" ref="M150">if(or({attackroll;'Dice and Macros'!$F$4:$F$11;macroroll}),randbetween(1,6),M150)</f>
        <v>2</v>
      </c>
      <c r="N150" s="5">
        <f t="array" ref="N150">if(or({attackroll;'Dice and Macros'!$F$4:$F$11;macroroll}),randbetween(1,8),N150)</f>
        <v>8</v>
      </c>
      <c r="O150" s="5">
        <f t="array" ref="O150">if(or({attackroll;'Dice and Macros'!$F$4:$F$11;macroroll}),randbetween(1,10),O150)</f>
        <v>4</v>
      </c>
      <c r="P150" s="5">
        <f t="array" ref="P150">if(or({attackroll;'Dice and Macros'!$F$4:$F$11;macroroll}),randbetween(1,12),P150)</f>
        <v>6</v>
      </c>
      <c r="Q150" s="5">
        <f t="array" ref="Q150">if(or({attackroll;'Dice and Macros'!$F$4:$F$11;macroroll}),randbetween(1,20),Q150)</f>
        <v>1</v>
      </c>
      <c r="R150" s="5">
        <f t="array" ref="R150">if(or({attackroll;'Dice and Macros'!$F$4:$F$11;macroroll}),randbetween(1,100),R150)</f>
        <v>80</v>
      </c>
      <c r="S150" s="5">
        <f t="array" ref="S150">if(or({attackroll;'Dice and Macros'!$F$4:$F$11;macroroll}),randbetween(1,'Dice and Macros'!$D$11),S150)</f>
        <v>0</v>
      </c>
    </row>
    <row r="151">
      <c r="B151" s="17" t="s">
        <v>197</v>
      </c>
      <c r="C151" s="3"/>
      <c r="D151" s="4"/>
      <c r="E151" s="18">
        <f>spellcasterlevel</f>
        <v>14</v>
      </c>
      <c r="F151" s="19">
        <f>if(macroroll,sum(indirect("n"&amp;$K$2):indirect("n"&amp;$K$2+min(9,E151-1))),F151)</f>
        <v>44</v>
      </c>
      <c r="G151" s="4"/>
      <c r="K151" s="5"/>
      <c r="L151" s="5">
        <f t="array" ref="L151">if(or({attackroll;'Dice and Macros'!$F$4:$F$11;macroroll}),randbetween(1,4),L151)</f>
        <v>2</v>
      </c>
      <c r="M151" s="5">
        <f t="array" ref="M151">if(or({attackroll;'Dice and Macros'!$F$4:$F$11;macroroll}),randbetween(1,6),M151)</f>
        <v>1</v>
      </c>
      <c r="N151" s="5">
        <f t="array" ref="N151">if(or({attackroll;'Dice and Macros'!$F$4:$F$11;macroroll}),randbetween(1,8),N151)</f>
        <v>7</v>
      </c>
      <c r="O151" s="5">
        <f t="array" ref="O151">if(or({attackroll;'Dice and Macros'!$F$4:$F$11;macroroll}),randbetween(1,10),O151)</f>
        <v>7</v>
      </c>
      <c r="P151" s="5">
        <f t="array" ref="P151">if(or({attackroll;'Dice and Macros'!$F$4:$F$11;macroroll}),randbetween(1,12),P151)</f>
        <v>10</v>
      </c>
      <c r="Q151" s="5">
        <f t="array" ref="Q151">if(or({attackroll;'Dice and Macros'!$F$4:$F$11;macroroll}),randbetween(1,20),Q151)</f>
        <v>2</v>
      </c>
      <c r="R151" s="5">
        <f t="array" ref="R151">if(or({attackroll;'Dice and Macros'!$F$4:$F$11;macroroll}),randbetween(1,100),R151)</f>
        <v>82</v>
      </c>
      <c r="S151" s="5">
        <f t="array" ref="S151">if(or({attackroll;'Dice and Macros'!$F$4:$F$11;macroroll}),randbetween(1,'Dice and Macros'!$D$11),S151)</f>
        <v>0</v>
      </c>
    </row>
    <row r="152">
      <c r="B152" s="35" t="s">
        <v>198</v>
      </c>
      <c r="C152" s="10"/>
      <c r="D152" s="11"/>
      <c r="E152" s="24">
        <f>spellcasterlevel</f>
        <v>14</v>
      </c>
      <c r="F152" s="25">
        <f>if(macroroll,sum(indirect("m"&amp;$K$2):indirect("m"&amp;$K$2+min(4,floor(E152/2,1)-1))),F152)</f>
        <v>12</v>
      </c>
      <c r="G152" s="11"/>
      <c r="K152" s="5"/>
      <c r="L152" s="5">
        <f t="array" ref="L152">if(or({attackroll;'Dice and Macros'!$F$4:$F$11;macroroll}),randbetween(1,4),L152)</f>
        <v>4</v>
      </c>
      <c r="M152" s="5">
        <f t="array" ref="M152">if(or({attackroll;'Dice and Macros'!$F$4:$F$11;macroroll}),randbetween(1,6),M152)</f>
        <v>1</v>
      </c>
      <c r="N152" s="5">
        <f t="array" ref="N152">if(or({attackroll;'Dice and Macros'!$F$4:$F$11;macroroll}),randbetween(1,8),N152)</f>
        <v>1</v>
      </c>
      <c r="O152" s="5">
        <f t="array" ref="O152">if(or({attackroll;'Dice and Macros'!$F$4:$F$11;macroroll}),randbetween(1,10),O152)</f>
        <v>8</v>
      </c>
      <c r="P152" s="5">
        <f t="array" ref="P152">if(or({attackroll;'Dice and Macros'!$F$4:$F$11;macroroll}),randbetween(1,12),P152)</f>
        <v>11</v>
      </c>
      <c r="Q152" s="5">
        <f t="array" ref="Q152">if(or({attackroll;'Dice and Macros'!$F$4:$F$11;macroroll}),randbetween(1,20),Q152)</f>
        <v>11</v>
      </c>
      <c r="R152" s="5">
        <f t="array" ref="R152">if(or({attackroll;'Dice and Macros'!$F$4:$F$11;macroroll}),randbetween(1,100),R152)</f>
        <v>27</v>
      </c>
      <c r="S152" s="5">
        <f t="array" ref="S152">if(or({attackroll;'Dice and Macros'!$F$4:$F$11;macroroll}),randbetween(1,'Dice and Macros'!$D$11),S152)</f>
        <v>0</v>
      </c>
    </row>
    <row r="153">
      <c r="B153" s="17" t="s">
        <v>199</v>
      </c>
      <c r="C153" s="3"/>
      <c r="D153" s="4"/>
      <c r="E153" s="18">
        <f>spellcasterlevel</f>
        <v>14</v>
      </c>
      <c r="F153" s="19" t="str">
        <f>if(macroroll,randbetween(1,4)+E153&amp;" days",F153)</f>
        <v>16 days</v>
      </c>
      <c r="G153" s="4"/>
      <c r="K153" s="5"/>
      <c r="L153" s="5">
        <f t="array" ref="L153">if(or({attackroll;'Dice and Macros'!$F$4:$F$11;macroroll}),randbetween(1,4),L153)</f>
        <v>1</v>
      </c>
      <c r="M153" s="5">
        <f t="array" ref="M153">if(or({attackroll;'Dice and Macros'!$F$4:$F$11;macroroll}),randbetween(1,6),M153)</f>
        <v>4</v>
      </c>
      <c r="N153" s="5">
        <f t="array" ref="N153">if(or({attackroll;'Dice and Macros'!$F$4:$F$11;macroroll}),randbetween(1,8),N153)</f>
        <v>4</v>
      </c>
      <c r="O153" s="5">
        <f t="array" ref="O153">if(or({attackroll;'Dice and Macros'!$F$4:$F$11;macroroll}),randbetween(1,10),O153)</f>
        <v>5</v>
      </c>
      <c r="P153" s="5">
        <f t="array" ref="P153">if(or({attackroll;'Dice and Macros'!$F$4:$F$11;macroroll}),randbetween(1,12),P153)</f>
        <v>8</v>
      </c>
      <c r="Q153" s="5">
        <f t="array" ref="Q153">if(or({attackroll;'Dice and Macros'!$F$4:$F$11;macroroll}),randbetween(1,20),Q153)</f>
        <v>2</v>
      </c>
      <c r="R153" s="5">
        <f t="array" ref="R153">if(or({attackroll;'Dice and Macros'!$F$4:$F$11;macroroll}),randbetween(1,100),R153)</f>
        <v>97</v>
      </c>
      <c r="S153" s="5">
        <f t="array" ref="S153">if(or({attackroll;'Dice and Macros'!$F$4:$F$11;macroroll}),randbetween(1,'Dice and Macros'!$D$11),S153)</f>
        <v>0</v>
      </c>
    </row>
    <row r="154">
      <c r="B154" s="35" t="s">
        <v>200</v>
      </c>
      <c r="C154" s="10"/>
      <c r="D154" s="11"/>
      <c r="E154" s="24">
        <f>spellcasterlevel</f>
        <v>14</v>
      </c>
      <c r="F154" s="25" t="str">
        <f>if(macroroll,randbetween(1,10)*100&amp;" ft",F154)</f>
        <v>1000 ft</v>
      </c>
      <c r="G154" s="11"/>
      <c r="K154" s="5"/>
      <c r="L154" s="5">
        <f t="array" ref="L154">if(or({attackroll;'Dice and Macros'!$F$4:$F$11;macroroll}),randbetween(1,4),L154)</f>
        <v>2</v>
      </c>
      <c r="M154" s="5">
        <f t="array" ref="M154">if(or({attackroll;'Dice and Macros'!$F$4:$F$11;macroroll}),randbetween(1,6),M154)</f>
        <v>3</v>
      </c>
      <c r="N154" s="5">
        <f t="array" ref="N154">if(or({attackroll;'Dice and Macros'!$F$4:$F$11;macroroll}),randbetween(1,8),N154)</f>
        <v>3</v>
      </c>
      <c r="O154" s="5">
        <f t="array" ref="O154">if(or({attackroll;'Dice and Macros'!$F$4:$F$11;macroroll}),randbetween(1,10),O154)</f>
        <v>10</v>
      </c>
      <c r="P154" s="5">
        <f t="array" ref="P154">if(or({attackroll;'Dice and Macros'!$F$4:$F$11;macroroll}),randbetween(1,12),P154)</f>
        <v>2</v>
      </c>
      <c r="Q154" s="5">
        <f t="array" ref="Q154">if(or({attackroll;'Dice and Macros'!$F$4:$F$11;macroroll}),randbetween(1,20),Q154)</f>
        <v>1</v>
      </c>
      <c r="R154" s="5">
        <f t="array" ref="R154">if(or({attackroll;'Dice and Macros'!$F$4:$F$11;macroroll}),randbetween(1,100),R154)</f>
        <v>61</v>
      </c>
      <c r="S154" s="5">
        <f t="array" ref="S154">if(or({attackroll;'Dice and Macros'!$F$4:$F$11;macroroll}),randbetween(1,'Dice and Macros'!$D$11),S154)</f>
        <v>0</v>
      </c>
    </row>
    <row r="155">
      <c r="B155" s="17" t="s">
        <v>201</v>
      </c>
      <c r="C155" s="3"/>
      <c r="D155" s="4"/>
      <c r="E155" s="18">
        <f>spellcasterlevel</f>
        <v>14</v>
      </c>
      <c r="F155" s="19" t="str">
        <f>if(macroroll,randbetween(1,10)*1000&amp;" ft",F155)</f>
        <v>4000 ft</v>
      </c>
      <c r="G155" s="4"/>
      <c r="K155" s="5"/>
      <c r="L155" s="5">
        <f t="array" ref="L155">if(or({attackroll;'Dice and Macros'!$F$4:$F$11;macroroll}),randbetween(1,4),L155)</f>
        <v>4</v>
      </c>
      <c r="M155" s="5">
        <f t="array" ref="M155">if(or({attackroll;'Dice and Macros'!$F$4:$F$11;macroroll}),randbetween(1,6),M155)</f>
        <v>2</v>
      </c>
      <c r="N155" s="5">
        <f t="array" ref="N155">if(or({attackroll;'Dice and Macros'!$F$4:$F$11;macroroll}),randbetween(1,8),N155)</f>
        <v>1</v>
      </c>
      <c r="O155" s="5">
        <f t="array" ref="O155">if(or({attackroll;'Dice and Macros'!$F$4:$F$11;macroroll}),randbetween(1,10),O155)</f>
        <v>9</v>
      </c>
      <c r="P155" s="5">
        <f t="array" ref="P155">if(or({attackroll;'Dice and Macros'!$F$4:$F$11;macroroll}),randbetween(1,12),P155)</f>
        <v>5</v>
      </c>
      <c r="Q155" s="5">
        <f t="array" ref="Q155">if(or({attackroll;'Dice and Macros'!$F$4:$F$11;macroroll}),randbetween(1,20),Q155)</f>
        <v>14</v>
      </c>
      <c r="R155" s="5">
        <f t="array" ref="R155">if(or({attackroll;'Dice and Macros'!$F$4:$F$11;macroroll}),randbetween(1,100),R155)</f>
        <v>97</v>
      </c>
      <c r="S155" s="5">
        <f t="array" ref="S155">if(or({attackroll;'Dice and Macros'!$F$4:$F$11;macroroll}),randbetween(1,'Dice and Macros'!$D$11),S155)</f>
        <v>0</v>
      </c>
    </row>
    <row r="156">
      <c r="B156" s="35" t="s">
        <v>202</v>
      </c>
      <c r="C156" s="10"/>
      <c r="D156" s="11"/>
      <c r="E156" s="24">
        <f>spellcasterlevel</f>
        <v>14</v>
      </c>
      <c r="F156" s="25" t="str">
        <f>if(macroroll,randbetween(1,4)&amp;" hours",F156)</f>
        <v>3 hours</v>
      </c>
      <c r="G156" s="11"/>
      <c r="K156" s="5"/>
      <c r="L156" s="5">
        <f t="array" ref="L156">if(or({attackroll;'Dice and Macros'!$F$4:$F$11;macroroll}),randbetween(1,4),L156)</f>
        <v>2</v>
      </c>
      <c r="M156" s="5">
        <f t="array" ref="M156">if(or({attackroll;'Dice and Macros'!$F$4:$F$11;macroroll}),randbetween(1,6),M156)</f>
        <v>5</v>
      </c>
      <c r="N156" s="5">
        <f t="array" ref="N156">if(or({attackroll;'Dice and Macros'!$F$4:$F$11;macroroll}),randbetween(1,8),N156)</f>
        <v>6</v>
      </c>
      <c r="O156" s="5">
        <f t="array" ref="O156">if(or({attackroll;'Dice and Macros'!$F$4:$F$11;macroroll}),randbetween(1,10),O156)</f>
        <v>2</v>
      </c>
      <c r="P156" s="5">
        <f t="array" ref="P156">if(or({attackroll;'Dice and Macros'!$F$4:$F$11;macroroll}),randbetween(1,12),P156)</f>
        <v>10</v>
      </c>
      <c r="Q156" s="5">
        <f t="array" ref="Q156">if(or({attackroll;'Dice and Macros'!$F$4:$F$11;macroroll}),randbetween(1,20),Q156)</f>
        <v>3</v>
      </c>
      <c r="R156" s="5">
        <f t="array" ref="R156">if(or({attackroll;'Dice and Macros'!$F$4:$F$11;macroroll}),randbetween(1,100),R156)</f>
        <v>63</v>
      </c>
      <c r="S156" s="5">
        <f t="array" ref="S156">if(or({attackroll;'Dice and Macros'!$F$4:$F$11;macroroll}),randbetween(1,'Dice and Macros'!$D$11),S156)</f>
        <v>0</v>
      </c>
    </row>
    <row r="157">
      <c r="B157" s="17" t="s">
        <v>203</v>
      </c>
      <c r="C157" s="3"/>
      <c r="D157" s="4"/>
      <c r="E157" s="18">
        <f>spellcasterlevel</f>
        <v>14</v>
      </c>
      <c r="F157" s="19">
        <f>if(macroroll,randbetween(1,4)+2,F157)</f>
        <v>6</v>
      </c>
      <c r="G157" s="4"/>
      <c r="K157" s="5"/>
      <c r="L157" s="5">
        <f t="array" ref="L157">if(or({attackroll;'Dice and Macros'!$F$4:$F$11;macroroll}),randbetween(1,4),L157)</f>
        <v>2</v>
      </c>
      <c r="M157" s="5">
        <f t="array" ref="M157">if(or({attackroll;'Dice and Macros'!$F$4:$F$11;macroroll}),randbetween(1,6),M157)</f>
        <v>4</v>
      </c>
      <c r="N157" s="5">
        <f t="array" ref="N157">if(or({attackroll;'Dice and Macros'!$F$4:$F$11;macroroll}),randbetween(1,8),N157)</f>
        <v>3</v>
      </c>
      <c r="O157" s="5">
        <f t="array" ref="O157">if(or({attackroll;'Dice and Macros'!$F$4:$F$11;macroroll}),randbetween(1,10),O157)</f>
        <v>5</v>
      </c>
      <c r="P157" s="5">
        <f t="array" ref="P157">if(or({attackroll;'Dice and Macros'!$F$4:$F$11;macroroll}),randbetween(1,12),P157)</f>
        <v>9</v>
      </c>
      <c r="Q157" s="5">
        <f t="array" ref="Q157">if(or({attackroll;'Dice and Macros'!$F$4:$F$11;macroroll}),randbetween(1,20),Q157)</f>
        <v>3</v>
      </c>
      <c r="R157" s="5">
        <f t="array" ref="R157">if(or({attackroll;'Dice and Macros'!$F$4:$F$11;macroroll}),randbetween(1,100),R157)</f>
        <v>96</v>
      </c>
      <c r="S157" s="5">
        <f t="array" ref="S157">if(or({attackroll;'Dice and Macros'!$F$4:$F$11;macroroll}),randbetween(1,'Dice and Macros'!$D$11),S157)</f>
        <v>0</v>
      </c>
    </row>
    <row r="158">
      <c r="B158" s="30" t="s">
        <v>204</v>
      </c>
      <c r="C158" s="10"/>
      <c r="D158" s="11"/>
      <c r="E158" s="7">
        <f>spellcasterlevel</f>
        <v>14</v>
      </c>
      <c r="F158" s="25">
        <f>if(macroroll,sum(indirect("m"&amp;$K$2):indirect("m"&amp;$K$2+min(9,E158-1))),F158)</f>
        <v>26</v>
      </c>
      <c r="G158" s="11"/>
      <c r="K158" s="5"/>
      <c r="L158" s="5">
        <f t="array" ref="L158">if(or({attackroll;'Dice and Macros'!$F$4:$F$11;macroroll}),randbetween(1,4),L158)</f>
        <v>3</v>
      </c>
      <c r="M158" s="5">
        <f t="array" ref="M158">if(or({attackroll;'Dice and Macros'!$F$4:$F$11;macroroll}),randbetween(1,6),M158)</f>
        <v>3</v>
      </c>
      <c r="N158" s="5">
        <f t="array" ref="N158">if(or({attackroll;'Dice and Macros'!$F$4:$F$11;macroroll}),randbetween(1,8),N158)</f>
        <v>7</v>
      </c>
      <c r="O158" s="5">
        <f t="array" ref="O158">if(or({attackroll;'Dice and Macros'!$F$4:$F$11;macroroll}),randbetween(1,10),O158)</f>
        <v>5</v>
      </c>
      <c r="P158" s="5">
        <f t="array" ref="P158">if(or({attackroll;'Dice and Macros'!$F$4:$F$11;macroroll}),randbetween(1,12),P158)</f>
        <v>6</v>
      </c>
      <c r="Q158" s="5">
        <f t="array" ref="Q158">if(or({attackroll;'Dice and Macros'!$F$4:$F$11;macroroll}),randbetween(1,20),Q158)</f>
        <v>7</v>
      </c>
      <c r="R158" s="5">
        <f t="array" ref="R158">if(or({attackroll;'Dice and Macros'!$F$4:$F$11;macroroll}),randbetween(1,100),R158)</f>
        <v>22</v>
      </c>
      <c r="S158" s="5">
        <f t="array" ref="S158">if(or({attackroll;'Dice and Macros'!$F$4:$F$11;macroroll}),randbetween(1,'Dice and Macros'!$D$11),S158)</f>
        <v>0</v>
      </c>
    </row>
    <row r="159">
      <c r="B159" s="28" t="s">
        <v>205</v>
      </c>
      <c r="C159" s="3"/>
      <c r="D159" s="4"/>
      <c r="E159" s="14">
        <f>spellcasterlevel</f>
        <v>14</v>
      </c>
      <c r="F159" s="19">
        <f>if(macroroll,sum(indirect("m"&amp;$K$2):indirect("m"&amp;$K$2+min(4,E159-1))),F159)</f>
        <v>12</v>
      </c>
      <c r="G159" s="4"/>
      <c r="K159" s="5"/>
      <c r="L159" s="5">
        <f t="array" ref="L159">if(or({attackroll;'Dice and Macros'!$F$4:$F$11;macroroll}),randbetween(1,4),L159)</f>
        <v>3</v>
      </c>
      <c r="M159" s="5">
        <f t="array" ref="M159">if(or({attackroll;'Dice and Macros'!$F$4:$F$11;macroroll}),randbetween(1,6),M159)</f>
        <v>5</v>
      </c>
      <c r="N159" s="5">
        <f t="array" ref="N159">if(or({attackroll;'Dice and Macros'!$F$4:$F$11;macroroll}),randbetween(1,8),N159)</f>
        <v>3</v>
      </c>
      <c r="O159" s="5">
        <f t="array" ref="O159">if(or({attackroll;'Dice and Macros'!$F$4:$F$11;macroroll}),randbetween(1,10),O159)</f>
        <v>8</v>
      </c>
      <c r="P159" s="5">
        <f t="array" ref="P159">if(or({attackroll;'Dice and Macros'!$F$4:$F$11;macroroll}),randbetween(1,12),P159)</f>
        <v>3</v>
      </c>
      <c r="Q159" s="5">
        <f t="array" ref="Q159">if(or({attackroll;'Dice and Macros'!$F$4:$F$11;macroroll}),randbetween(1,20),Q159)</f>
        <v>3</v>
      </c>
      <c r="R159" s="5">
        <f t="array" ref="R159">if(or({attackroll;'Dice and Macros'!$F$4:$F$11;macroroll}),randbetween(1,100),R159)</f>
        <v>11</v>
      </c>
      <c r="S159" s="5">
        <f t="array" ref="S159">if(or({attackroll;'Dice and Macros'!$F$4:$F$11;macroroll}),randbetween(1,'Dice and Macros'!$D$11),S159)</f>
        <v>0</v>
      </c>
    </row>
    <row r="160">
      <c r="B160" s="35" t="s">
        <v>206</v>
      </c>
      <c r="C160" s="10"/>
      <c r="D160" s="11"/>
      <c r="E160" s="42">
        <f>spellcasterlevel</f>
        <v>14</v>
      </c>
      <c r="F160" s="43" t="str">
        <f>if(macroroll,sum(indirect("m"&amp;$K$2):indirect("m"&amp;$K$2+4))&amp;" + "&amp;randbetween(1,6)+randbetween(1,6)&amp;" rounds",F160)</f>
        <v>12 + 11 rounds</v>
      </c>
      <c r="G160" s="11"/>
      <c r="K160" s="5"/>
      <c r="L160" s="5">
        <f t="array" ref="L160">if(or({attackroll;'Dice and Macros'!$F$4:$F$11;macroroll}),randbetween(1,4),L160)</f>
        <v>1</v>
      </c>
      <c r="M160" s="5">
        <f t="array" ref="M160">if(or({attackroll;'Dice and Macros'!$F$4:$F$11;macroroll}),randbetween(1,6),M160)</f>
        <v>2</v>
      </c>
      <c r="N160" s="5">
        <f t="array" ref="N160">if(or({attackroll;'Dice and Macros'!$F$4:$F$11;macroroll}),randbetween(1,8),N160)</f>
        <v>6</v>
      </c>
      <c r="O160" s="5">
        <f t="array" ref="O160">if(or({attackroll;'Dice and Macros'!$F$4:$F$11;macroroll}),randbetween(1,10),O160)</f>
        <v>9</v>
      </c>
      <c r="P160" s="5">
        <f t="array" ref="P160">if(or({attackroll;'Dice and Macros'!$F$4:$F$11;macroroll}),randbetween(1,12),P160)</f>
        <v>10</v>
      </c>
      <c r="Q160" s="5">
        <f t="array" ref="Q160">if(or({attackroll;'Dice and Macros'!$F$4:$F$11;macroroll}),randbetween(1,20),Q160)</f>
        <v>5</v>
      </c>
      <c r="R160" s="5">
        <f t="array" ref="R160">if(or({attackroll;'Dice and Macros'!$F$4:$F$11;macroroll}),randbetween(1,100),R160)</f>
        <v>24</v>
      </c>
      <c r="S160" s="5">
        <f t="array" ref="S160">if(or({attackroll;'Dice and Macros'!$F$4:$F$11;macroroll}),randbetween(1,'Dice and Macros'!$D$11),S160)</f>
        <v>0</v>
      </c>
    </row>
    <row r="161">
      <c r="B161" s="17" t="s">
        <v>207</v>
      </c>
      <c r="C161" s="3"/>
      <c r="D161" s="4"/>
      <c r="E161" s="38">
        <f>spellcasterlevel</f>
        <v>14</v>
      </c>
      <c r="F161" s="39" t="str">
        <f>if(macroroll,sum(indirect("m"&amp;$K$2):indirect("m"&amp;$K$2+min(14,E161-1)))&amp;" + "&amp;randbetween(1,6)+randbetween(1,6)&amp;" rounds",F161)</f>
        <v>38 + 7 rounds</v>
      </c>
      <c r="G161" s="4"/>
      <c r="K161" s="5"/>
      <c r="L161" s="5">
        <f t="array" ref="L161">if(or({attackroll;'Dice and Macros'!$F$4:$F$11;macroroll}),randbetween(1,4),L161)</f>
        <v>3</v>
      </c>
      <c r="M161" s="5">
        <f t="array" ref="M161">if(or({attackroll;'Dice and Macros'!$F$4:$F$11;macroroll}),randbetween(1,6),M161)</f>
        <v>2</v>
      </c>
      <c r="N161" s="5">
        <f t="array" ref="N161">if(or({attackroll;'Dice and Macros'!$F$4:$F$11;macroroll}),randbetween(1,8),N161)</f>
        <v>6</v>
      </c>
      <c r="O161" s="5">
        <f t="array" ref="O161">if(or({attackroll;'Dice and Macros'!$F$4:$F$11;macroroll}),randbetween(1,10),O161)</f>
        <v>8</v>
      </c>
      <c r="P161" s="5">
        <f t="array" ref="P161">if(or({attackroll;'Dice and Macros'!$F$4:$F$11;macroroll}),randbetween(1,12),P161)</f>
        <v>3</v>
      </c>
      <c r="Q161" s="5">
        <f t="array" ref="Q161">if(or({attackroll;'Dice and Macros'!$F$4:$F$11;macroroll}),randbetween(1,20),Q161)</f>
        <v>3</v>
      </c>
      <c r="R161" s="5">
        <f t="array" ref="R161">if(or({attackroll;'Dice and Macros'!$F$4:$F$11;macroroll}),randbetween(1,100),R161)</f>
        <v>9</v>
      </c>
      <c r="S161" s="5">
        <f t="array" ref="S161">if(or({attackroll;'Dice and Macros'!$F$4:$F$11;macroroll}),randbetween(1,'Dice and Macros'!$D$11),S161)</f>
        <v>0</v>
      </c>
    </row>
    <row r="162">
      <c r="B162" s="35" t="s">
        <v>208</v>
      </c>
      <c r="C162" s="10"/>
      <c r="D162" s="11"/>
      <c r="E162" s="42">
        <f>spellcasterlevel</f>
        <v>14</v>
      </c>
      <c r="F162" s="43" t="str">
        <f>if(macroroll,sum(indirect("m"&amp;$K$2):indirect("m"&amp;$K$2+9))&amp;",1 S, "&amp;randbetween(1,6)+randbetween(1,6)+randbetween(1,6)+randbetween(1,6)&amp;" D",F162)</f>
        <v>26,1 S, 16 D</v>
      </c>
      <c r="G162" s="11"/>
      <c r="K162" s="5"/>
      <c r="L162" s="5">
        <f t="array" ref="L162">if(or({attackroll;'Dice and Macros'!$F$4:$F$11;macroroll}),randbetween(1,4),L162)</f>
        <v>4</v>
      </c>
      <c r="M162" s="5">
        <f t="array" ref="M162">if(or({attackroll;'Dice and Macros'!$F$4:$F$11;macroroll}),randbetween(1,6),M162)</f>
        <v>2</v>
      </c>
      <c r="N162" s="5">
        <f t="array" ref="N162">if(or({attackroll;'Dice and Macros'!$F$4:$F$11;macroroll}),randbetween(1,8),N162)</f>
        <v>6</v>
      </c>
      <c r="O162" s="5">
        <f t="array" ref="O162">if(or({attackroll;'Dice and Macros'!$F$4:$F$11;macroroll}),randbetween(1,10),O162)</f>
        <v>6</v>
      </c>
      <c r="P162" s="5">
        <f t="array" ref="P162">if(or({attackroll;'Dice and Macros'!$F$4:$F$11;macroroll}),randbetween(1,12),P162)</f>
        <v>6</v>
      </c>
      <c r="Q162" s="5">
        <f t="array" ref="Q162">if(or({attackroll;'Dice and Macros'!$F$4:$F$11;macroroll}),randbetween(1,20),Q162)</f>
        <v>13</v>
      </c>
      <c r="R162" s="5">
        <f t="array" ref="R162">if(or({attackroll;'Dice and Macros'!$F$4:$F$11;macroroll}),randbetween(1,100),R162)</f>
        <v>83</v>
      </c>
      <c r="S162" s="5">
        <f t="array" ref="S162">if(or({attackroll;'Dice and Macros'!$F$4:$F$11;macroroll}),randbetween(1,'Dice and Macros'!$D$11),S162)</f>
        <v>0</v>
      </c>
    </row>
    <row r="163">
      <c r="B163" s="17" t="s">
        <v>207</v>
      </c>
      <c r="C163" s="3"/>
      <c r="D163" s="4"/>
      <c r="E163" s="38">
        <f>spellcasterlevel</f>
        <v>14</v>
      </c>
      <c r="F163" s="39" t="str">
        <f>if(macroroll,sum(indirect("m"&amp;$K$2):indirect("m"&amp;$K$2+min(19,E163-1)))&amp;",1 S, "&amp;randbetween(1,6)+randbetween(1,6)+randbetween(1,6)+randbetween(1,6)&amp;" D",F163)</f>
        <v>38,1 S, 20 D</v>
      </c>
      <c r="G163" s="4"/>
      <c r="K163" s="5"/>
      <c r="L163" s="5">
        <f t="array" ref="L163">if(or({attackroll;'Dice and Macros'!$F$4:$F$11;macroroll}),randbetween(1,4),L163)</f>
        <v>3</v>
      </c>
      <c r="M163" s="5">
        <f t="array" ref="M163">if(or({attackroll;'Dice and Macros'!$F$4:$F$11;macroroll}),randbetween(1,6),M163)</f>
        <v>5</v>
      </c>
      <c r="N163" s="5">
        <f t="array" ref="N163">if(or({attackroll;'Dice and Macros'!$F$4:$F$11;macroroll}),randbetween(1,8),N163)</f>
        <v>3</v>
      </c>
      <c r="O163" s="5">
        <f t="array" ref="O163">if(or({attackroll;'Dice and Macros'!$F$4:$F$11;macroroll}),randbetween(1,10),O163)</f>
        <v>6</v>
      </c>
      <c r="P163" s="5">
        <f t="array" ref="P163">if(or({attackroll;'Dice and Macros'!$F$4:$F$11;macroroll}),randbetween(1,12),P163)</f>
        <v>7</v>
      </c>
      <c r="Q163" s="5">
        <f t="array" ref="Q163">if(or({attackroll;'Dice and Macros'!$F$4:$F$11;macroroll}),randbetween(1,20),Q163)</f>
        <v>13</v>
      </c>
      <c r="R163" s="5">
        <f t="array" ref="R163">if(or({attackroll;'Dice and Macros'!$F$4:$F$11;macroroll}),randbetween(1,100),R163)</f>
        <v>24</v>
      </c>
      <c r="S163" s="5">
        <f t="array" ref="S163">if(or({attackroll;'Dice and Macros'!$F$4:$F$11;macroroll}),randbetween(1,'Dice and Macros'!$D$11),S163)</f>
        <v>0</v>
      </c>
    </row>
    <row r="164">
      <c r="B164" s="30" t="s">
        <v>209</v>
      </c>
      <c r="C164" s="10"/>
      <c r="D164" s="11"/>
      <c r="E164" s="7">
        <f>spellcasterlevel</f>
        <v>14</v>
      </c>
      <c r="F164" s="25">
        <f>if(macroroll,sum(indirect("m"&amp;$K$2):indirect("m"&amp;$K$2+2))+E164,F164)</f>
        <v>21</v>
      </c>
      <c r="G164" s="11"/>
      <c r="K164" s="5"/>
      <c r="L164" s="5">
        <f t="array" ref="L164">if(or({attackroll;'Dice and Macros'!$F$4:$F$11;macroroll}),randbetween(1,4),L164)</f>
        <v>4</v>
      </c>
      <c r="M164" s="5">
        <f t="array" ref="M164">if(or({attackroll;'Dice and Macros'!$F$4:$F$11;macroroll}),randbetween(1,6),M164)</f>
        <v>6</v>
      </c>
      <c r="N164" s="5">
        <f t="array" ref="N164">if(or({attackroll;'Dice and Macros'!$F$4:$F$11;macroroll}),randbetween(1,8),N164)</f>
        <v>2</v>
      </c>
      <c r="O164" s="5">
        <f t="array" ref="O164">if(or({attackroll;'Dice and Macros'!$F$4:$F$11;macroroll}),randbetween(1,10),O164)</f>
        <v>6</v>
      </c>
      <c r="P164" s="5">
        <f t="array" ref="P164">if(or({attackroll;'Dice and Macros'!$F$4:$F$11;macroroll}),randbetween(1,12),P164)</f>
        <v>10</v>
      </c>
      <c r="Q164" s="5">
        <f t="array" ref="Q164">if(or({attackroll;'Dice and Macros'!$F$4:$F$11;macroroll}),randbetween(1,20),Q164)</f>
        <v>10</v>
      </c>
      <c r="R164" s="5">
        <f t="array" ref="R164">if(or({attackroll;'Dice and Macros'!$F$4:$F$11;macroroll}),randbetween(1,100),R164)</f>
        <v>23</v>
      </c>
      <c r="S164" s="5">
        <f t="array" ref="S164">if(or({attackroll;'Dice and Macros'!$F$4:$F$11;macroroll}),randbetween(1,'Dice and Macros'!$D$11),S164)</f>
        <v>0</v>
      </c>
    </row>
    <row r="165">
      <c r="B165" s="28" t="s">
        <v>210</v>
      </c>
      <c r="C165" s="3"/>
      <c r="D165" s="4"/>
      <c r="E165" s="14">
        <f>spellcasterlevel</f>
        <v>14</v>
      </c>
      <c r="F165" s="19">
        <f>if(macroroll,randbetween(1,6),F165)</f>
        <v>1</v>
      </c>
      <c r="G165" s="4"/>
      <c r="K165" s="5"/>
      <c r="L165" s="5">
        <f t="array" ref="L165">if(or({attackroll;'Dice and Macros'!$F$4:$F$11;macroroll}),randbetween(1,4),L165)</f>
        <v>1</v>
      </c>
      <c r="M165" s="5">
        <f t="array" ref="M165">if(or({attackroll;'Dice and Macros'!$F$4:$F$11;macroroll}),randbetween(1,6),M165)</f>
        <v>1</v>
      </c>
      <c r="N165" s="5">
        <f t="array" ref="N165">if(or({attackroll;'Dice and Macros'!$F$4:$F$11;macroroll}),randbetween(1,8),N165)</f>
        <v>6</v>
      </c>
      <c r="O165" s="5">
        <f t="array" ref="O165">if(or({attackroll;'Dice and Macros'!$F$4:$F$11;macroroll}),randbetween(1,10),O165)</f>
        <v>2</v>
      </c>
      <c r="P165" s="5">
        <f t="array" ref="P165">if(or({attackroll;'Dice and Macros'!$F$4:$F$11;macroroll}),randbetween(1,12),P165)</f>
        <v>12</v>
      </c>
      <c r="Q165" s="5">
        <f t="array" ref="Q165">if(or({attackroll;'Dice and Macros'!$F$4:$F$11;macroroll}),randbetween(1,20),Q165)</f>
        <v>6</v>
      </c>
      <c r="R165" s="5">
        <f t="array" ref="R165">if(or({attackroll;'Dice and Macros'!$F$4:$F$11;macroroll}),randbetween(1,100),R165)</f>
        <v>42</v>
      </c>
      <c r="S165" s="5">
        <f t="array" ref="S165">if(or({attackroll;'Dice and Macros'!$F$4:$F$11;macroroll}),randbetween(1,'Dice and Macros'!$D$11),S165)</f>
        <v>0</v>
      </c>
    </row>
    <row r="166">
      <c r="B166" s="35" t="s">
        <v>211</v>
      </c>
      <c r="C166" s="10"/>
      <c r="D166" s="11"/>
      <c r="E166" s="42">
        <f>spellcasterlevel</f>
        <v>14</v>
      </c>
      <c r="F166" s="43">
        <f>if(macroroll,randbetween(1,2),F166)</f>
        <v>2</v>
      </c>
      <c r="G166" s="11"/>
      <c r="K166" s="5"/>
      <c r="L166" s="5">
        <f t="array" ref="L166">if(or({attackroll;'Dice and Macros'!$F$4:$F$11;macroroll}),randbetween(1,4),L166)</f>
        <v>2</v>
      </c>
      <c r="M166" s="5">
        <f t="array" ref="M166">if(or({attackroll;'Dice and Macros'!$F$4:$F$11;macroroll}),randbetween(1,6),M166)</f>
        <v>2</v>
      </c>
      <c r="N166" s="5">
        <f t="array" ref="N166">if(or({attackroll;'Dice and Macros'!$F$4:$F$11;macroroll}),randbetween(1,8),N166)</f>
        <v>5</v>
      </c>
      <c r="O166" s="5">
        <f t="array" ref="O166">if(or({attackroll;'Dice and Macros'!$F$4:$F$11;macroroll}),randbetween(1,10),O166)</f>
        <v>7</v>
      </c>
      <c r="P166" s="5">
        <f t="array" ref="P166">if(or({attackroll;'Dice and Macros'!$F$4:$F$11;macroroll}),randbetween(1,12),P166)</f>
        <v>9</v>
      </c>
      <c r="Q166" s="5">
        <f t="array" ref="Q166">if(or({attackroll;'Dice and Macros'!$F$4:$F$11;macroroll}),randbetween(1,20),Q166)</f>
        <v>12</v>
      </c>
      <c r="R166" s="5">
        <f t="array" ref="R166">if(or({attackroll;'Dice and Macros'!$F$4:$F$11;macroroll}),randbetween(1,100),R166)</f>
        <v>67</v>
      </c>
      <c r="S166" s="5">
        <f t="array" ref="S166">if(or({attackroll;'Dice and Macros'!$F$4:$F$11;macroroll}),randbetween(1,'Dice and Macros'!$D$11),S166)</f>
        <v>0</v>
      </c>
    </row>
    <row r="167">
      <c r="B167" s="28" t="s">
        <v>212</v>
      </c>
      <c r="C167" s="3"/>
      <c r="D167" s="4"/>
      <c r="E167" s="14">
        <f>spellcasterlevel</f>
        <v>14</v>
      </c>
      <c r="F167" s="19">
        <f>if(macroroll,randbetween(1,8),F167)</f>
        <v>7</v>
      </c>
      <c r="G167" s="4"/>
      <c r="K167" s="5"/>
      <c r="L167" s="5">
        <f t="array" ref="L167">if(or({attackroll;'Dice and Macros'!$F$4:$F$11;macroroll}),randbetween(1,4),L167)</f>
        <v>2</v>
      </c>
      <c r="M167" s="5">
        <f t="array" ref="M167">if(or({attackroll;'Dice and Macros'!$F$4:$F$11;macroroll}),randbetween(1,6),M167)</f>
        <v>5</v>
      </c>
      <c r="N167" s="5">
        <f t="array" ref="N167">if(or({attackroll;'Dice and Macros'!$F$4:$F$11;macroroll}),randbetween(1,8),N167)</f>
        <v>4</v>
      </c>
      <c r="O167" s="5">
        <f t="array" ref="O167">if(or({attackroll;'Dice and Macros'!$F$4:$F$11;macroroll}),randbetween(1,10),O167)</f>
        <v>5</v>
      </c>
      <c r="P167" s="5">
        <f t="array" ref="P167">if(or({attackroll;'Dice and Macros'!$F$4:$F$11;macroroll}),randbetween(1,12),P167)</f>
        <v>2</v>
      </c>
      <c r="Q167" s="5">
        <f t="array" ref="Q167">if(or({attackroll;'Dice and Macros'!$F$4:$F$11;macroroll}),randbetween(1,20),Q167)</f>
        <v>3</v>
      </c>
      <c r="R167" s="5">
        <f t="array" ref="R167">if(or({attackroll;'Dice and Macros'!$F$4:$F$11;macroroll}),randbetween(1,100),R167)</f>
        <v>57</v>
      </c>
      <c r="S167" s="5">
        <f t="array" ref="S167">if(or({attackroll;'Dice and Macros'!$F$4:$F$11;macroroll}),randbetween(1,'Dice and Macros'!$D$11),S167)</f>
        <v>0</v>
      </c>
    </row>
    <row r="168">
      <c r="B168" s="23" t="s">
        <v>213</v>
      </c>
      <c r="C168" s="10"/>
      <c r="D168" s="11"/>
      <c r="E168" s="24">
        <f>spellcasterlevel</f>
        <v>14</v>
      </c>
      <c r="F168" s="43" t="str">
        <f t="array" ref="F168">if(macroroll,dget(Sheet4!AE17:AG117,Sheet4!AG17,{"Number";randbetween(1,100)}),F168)</f>
        <v>Spell Drains away without effect</v>
      </c>
      <c r="G168" s="11"/>
      <c r="K168" s="5"/>
      <c r="L168" s="5">
        <f t="array" ref="L168">if(or({attackroll;'Dice and Macros'!$F$4:$F$11;macroroll}),randbetween(1,4),L168)</f>
        <v>1</v>
      </c>
      <c r="M168" s="5">
        <f t="array" ref="M168">if(or({attackroll;'Dice and Macros'!$F$4:$F$11;macroroll}),randbetween(1,6),M168)</f>
        <v>6</v>
      </c>
      <c r="N168" s="5">
        <f t="array" ref="N168">if(or({attackroll;'Dice and Macros'!$F$4:$F$11;macroroll}),randbetween(1,8),N168)</f>
        <v>2</v>
      </c>
      <c r="O168" s="5">
        <f t="array" ref="O168">if(or({attackroll;'Dice and Macros'!$F$4:$F$11;macroroll}),randbetween(1,10),O168)</f>
        <v>3</v>
      </c>
      <c r="P168" s="5">
        <f t="array" ref="P168">if(or({attackroll;'Dice and Macros'!$F$4:$F$11;macroroll}),randbetween(1,12),P168)</f>
        <v>2</v>
      </c>
      <c r="Q168" s="5">
        <f t="array" ref="Q168">if(or({attackroll;'Dice and Macros'!$F$4:$F$11;macroroll}),randbetween(1,20),Q168)</f>
        <v>10</v>
      </c>
      <c r="R168" s="5">
        <f t="array" ref="R168">if(or({attackroll;'Dice and Macros'!$F$4:$F$11;macroroll}),randbetween(1,100),R168)</f>
        <v>96</v>
      </c>
      <c r="S168" s="5">
        <f t="array" ref="S168">if(or({attackroll;'Dice and Macros'!$F$4:$F$11;macroroll}),randbetween(1,'Dice and Macros'!$D$11),S168)</f>
        <v>0</v>
      </c>
    </row>
    <row r="169">
      <c r="B169" s="28" t="s">
        <v>214</v>
      </c>
      <c r="C169" s="3"/>
      <c r="D169" s="4"/>
      <c r="E169" s="14">
        <f>spellcasterlevel</f>
        <v>14</v>
      </c>
      <c r="F169" s="19">
        <f>if(macroroll,randbetween(1,4),F169)</f>
        <v>2</v>
      </c>
      <c r="G169" s="4"/>
      <c r="K169" s="5"/>
      <c r="L169" s="5">
        <f t="array" ref="L169">if(or({attackroll;'Dice and Macros'!$F$4:$F$11;macroroll}),randbetween(1,4),L169)</f>
        <v>1</v>
      </c>
      <c r="M169" s="5">
        <f t="array" ref="M169">if(or({attackroll;'Dice and Macros'!$F$4:$F$11;macroroll}),randbetween(1,6),M169)</f>
        <v>3</v>
      </c>
      <c r="N169" s="5">
        <f t="array" ref="N169">if(or({attackroll;'Dice and Macros'!$F$4:$F$11;macroroll}),randbetween(1,8),N169)</f>
        <v>2</v>
      </c>
      <c r="O169" s="5">
        <f t="array" ref="O169">if(or({attackroll;'Dice and Macros'!$F$4:$F$11;macroroll}),randbetween(1,10),O169)</f>
        <v>2</v>
      </c>
      <c r="P169" s="5">
        <f t="array" ref="P169">if(or({attackroll;'Dice and Macros'!$F$4:$F$11;macroroll}),randbetween(1,12),P169)</f>
        <v>9</v>
      </c>
      <c r="Q169" s="5">
        <f t="array" ref="Q169">if(or({attackroll;'Dice and Macros'!$F$4:$F$11;macroroll}),randbetween(1,20),Q169)</f>
        <v>9</v>
      </c>
      <c r="R169" s="5">
        <f t="array" ref="R169">if(or({attackroll;'Dice and Macros'!$F$4:$F$11;macroroll}),randbetween(1,100),R169)</f>
        <v>47</v>
      </c>
      <c r="S169" s="5">
        <f t="array" ref="S169">if(or({attackroll;'Dice and Macros'!$F$4:$F$11;macroroll}),randbetween(1,'Dice and Macros'!$D$11),S169)</f>
        <v>0</v>
      </c>
    </row>
    <row r="170">
      <c r="B170" s="30" t="s">
        <v>215</v>
      </c>
      <c r="C170" s="10"/>
      <c r="D170" s="11"/>
      <c r="E170" s="7">
        <f>spellcasterlevel</f>
        <v>14</v>
      </c>
      <c r="F170" s="25">
        <f>if(macroroll,randbetween(1,8),F170)</f>
        <v>6</v>
      </c>
      <c r="G170" s="11"/>
      <c r="K170" s="5"/>
      <c r="L170" s="5">
        <f t="array" ref="L170">if(or({attackroll;'Dice and Macros'!$F$4:$F$11;macroroll}),randbetween(1,4),L170)</f>
        <v>1</v>
      </c>
      <c r="M170" s="5">
        <f t="array" ref="M170">if(or({attackroll;'Dice and Macros'!$F$4:$F$11;macroroll}),randbetween(1,6),M170)</f>
        <v>6</v>
      </c>
      <c r="N170" s="5">
        <f t="array" ref="N170">if(or({attackroll;'Dice and Macros'!$F$4:$F$11;macroroll}),randbetween(1,8),N170)</f>
        <v>6</v>
      </c>
      <c r="O170" s="5">
        <f t="array" ref="O170">if(or({attackroll;'Dice and Macros'!$F$4:$F$11;macroroll}),randbetween(1,10),O170)</f>
        <v>7</v>
      </c>
      <c r="P170" s="5">
        <f t="array" ref="P170">if(or({attackroll;'Dice and Macros'!$F$4:$F$11;macroroll}),randbetween(1,12),P170)</f>
        <v>2</v>
      </c>
      <c r="Q170" s="5">
        <f t="array" ref="Q170">if(or({attackroll;'Dice and Macros'!$F$4:$F$11;macroroll}),randbetween(1,20),Q170)</f>
        <v>20</v>
      </c>
      <c r="R170" s="5">
        <f t="array" ref="R170">if(or({attackroll;'Dice and Macros'!$F$4:$F$11;macroroll}),randbetween(1,100),R170)</f>
        <v>14</v>
      </c>
      <c r="S170" s="5">
        <f t="array" ref="S170">if(or({attackroll;'Dice and Macros'!$F$4:$F$11;macroroll}),randbetween(1,'Dice and Macros'!$D$11),S170)</f>
        <v>0</v>
      </c>
    </row>
    <row r="171">
      <c r="B171" s="17" t="s">
        <v>216</v>
      </c>
      <c r="C171" s="3"/>
      <c r="D171" s="4"/>
      <c r="E171" s="38">
        <f>spellcasterlevel</f>
        <v>14</v>
      </c>
      <c r="F171" s="39">
        <f>if(macroroll,randbetween(1,4)+1,F171)</f>
        <v>5</v>
      </c>
      <c r="G171" s="4"/>
      <c r="K171" s="5"/>
      <c r="L171" s="5">
        <f t="array" ref="L171">if(or({attackroll;'Dice and Macros'!$F$4:$F$11;macroroll}),randbetween(1,4),L171)</f>
        <v>3</v>
      </c>
      <c r="M171" s="5">
        <f t="array" ref="M171">if(or({attackroll;'Dice and Macros'!$F$4:$F$11;macroroll}),randbetween(1,6),M171)</f>
        <v>2</v>
      </c>
      <c r="N171" s="5">
        <f t="array" ref="N171">if(or({attackroll;'Dice and Macros'!$F$4:$F$11;macroroll}),randbetween(1,8),N171)</f>
        <v>6</v>
      </c>
      <c r="O171" s="5">
        <f t="array" ref="O171">if(or({attackroll;'Dice and Macros'!$F$4:$F$11;macroroll}),randbetween(1,10),O171)</f>
        <v>8</v>
      </c>
      <c r="P171" s="5">
        <f t="array" ref="P171">if(or({attackroll;'Dice and Macros'!$F$4:$F$11;macroroll}),randbetween(1,12),P171)</f>
        <v>12</v>
      </c>
      <c r="Q171" s="5">
        <f t="array" ref="Q171">if(or({attackroll;'Dice and Macros'!$F$4:$F$11;macroroll}),randbetween(1,20),Q171)</f>
        <v>17</v>
      </c>
      <c r="R171" s="5">
        <f t="array" ref="R171">if(or({attackroll;'Dice and Macros'!$F$4:$F$11;macroroll}),randbetween(1,100),R171)</f>
        <v>90</v>
      </c>
      <c r="S171" s="5">
        <f t="array" ref="S171">if(or({attackroll;'Dice and Macros'!$F$4:$F$11;macroroll}),randbetween(1,'Dice and Macros'!$D$11),S171)</f>
        <v>0</v>
      </c>
    </row>
    <row r="172">
      <c r="B172" s="35" t="s">
        <v>217</v>
      </c>
      <c r="C172" s="10"/>
      <c r="D172" s="11"/>
      <c r="E172" s="42">
        <f>spellcasterlevel</f>
        <v>14</v>
      </c>
      <c r="F172" s="43" t="str">
        <f>if(macroroll,randbetween(1,4)*10&amp;" minutes",F172)</f>
        <v>20 minutes</v>
      </c>
      <c r="G172" s="11"/>
      <c r="K172" s="5"/>
      <c r="L172" s="5">
        <f t="array" ref="L172">if(or({attackroll;'Dice and Macros'!$F$4:$F$11;macroroll}),randbetween(1,4),L172)</f>
        <v>4</v>
      </c>
      <c r="M172" s="5">
        <f t="array" ref="M172">if(or({attackroll;'Dice and Macros'!$F$4:$F$11;macroroll}),randbetween(1,6),M172)</f>
        <v>3</v>
      </c>
      <c r="N172" s="5">
        <f t="array" ref="N172">if(or({attackroll;'Dice and Macros'!$F$4:$F$11;macroroll}),randbetween(1,8),N172)</f>
        <v>8</v>
      </c>
      <c r="O172" s="5">
        <f t="array" ref="O172">if(or({attackroll;'Dice and Macros'!$F$4:$F$11;macroroll}),randbetween(1,10),O172)</f>
        <v>9</v>
      </c>
      <c r="P172" s="5">
        <f t="array" ref="P172">if(or({attackroll;'Dice and Macros'!$F$4:$F$11;macroroll}),randbetween(1,12),P172)</f>
        <v>4</v>
      </c>
      <c r="Q172" s="5">
        <f t="array" ref="Q172">if(or({attackroll;'Dice and Macros'!$F$4:$F$11;macroroll}),randbetween(1,20),Q172)</f>
        <v>11</v>
      </c>
      <c r="R172" s="5">
        <f t="array" ref="R172">if(or({attackroll;'Dice and Macros'!$F$4:$F$11;macroroll}),randbetween(1,100),R172)</f>
        <v>100</v>
      </c>
      <c r="S172" s="5">
        <f t="array" ref="S172">if(or({attackroll;'Dice and Macros'!$F$4:$F$11;macroroll}),randbetween(1,'Dice and Macros'!$D$11),S172)</f>
        <v>0</v>
      </c>
    </row>
    <row r="173">
      <c r="B173" s="17" t="s">
        <v>218</v>
      </c>
      <c r="C173" s="3"/>
      <c r="D173" s="4"/>
      <c r="E173" s="38">
        <f>spellcasterlevel</f>
        <v>14</v>
      </c>
      <c r="F173" s="39">
        <f>if(macroroll,randbetween(1,6),F173)</f>
        <v>1</v>
      </c>
      <c r="G173" s="4"/>
      <c r="K173" s="5"/>
      <c r="L173" s="5">
        <f t="array" ref="L173">if(or({attackroll;'Dice and Macros'!$F$4:$F$11;macroroll}),randbetween(1,4),L173)</f>
        <v>4</v>
      </c>
      <c r="M173" s="5">
        <f t="array" ref="M173">if(or({attackroll;'Dice and Macros'!$F$4:$F$11;macroroll}),randbetween(1,6),M173)</f>
        <v>6</v>
      </c>
      <c r="N173" s="5">
        <f t="array" ref="N173">if(or({attackroll;'Dice and Macros'!$F$4:$F$11;macroroll}),randbetween(1,8),N173)</f>
        <v>5</v>
      </c>
      <c r="O173" s="5">
        <f t="array" ref="O173">if(or({attackroll;'Dice and Macros'!$F$4:$F$11;macroroll}),randbetween(1,10),O173)</f>
        <v>8</v>
      </c>
      <c r="P173" s="5">
        <f t="array" ref="P173">if(or({attackroll;'Dice and Macros'!$F$4:$F$11;macroroll}),randbetween(1,12),P173)</f>
        <v>11</v>
      </c>
      <c r="Q173" s="5">
        <f t="array" ref="Q173">if(or({attackroll;'Dice and Macros'!$F$4:$F$11;macroroll}),randbetween(1,20),Q173)</f>
        <v>14</v>
      </c>
      <c r="R173" s="5">
        <f t="array" ref="R173">if(or({attackroll;'Dice and Macros'!$F$4:$F$11;macroroll}),randbetween(1,100),R173)</f>
        <v>100</v>
      </c>
      <c r="S173" s="5">
        <f t="array" ref="S173">if(or({attackroll;'Dice and Macros'!$F$4:$F$11;macroroll}),randbetween(1,'Dice and Macros'!$D$11),S173)</f>
        <v>0</v>
      </c>
    </row>
    <row r="174">
      <c r="B174" s="35" t="s">
        <v>219</v>
      </c>
      <c r="C174" s="10"/>
      <c r="D174" s="11"/>
      <c r="E174" s="42">
        <f>spellcasterlevel</f>
        <v>14</v>
      </c>
      <c r="F174" s="43">
        <f>if(macroroll,sum(indirect("m"&amp;$K$2):indirect("m"&amp;$K$2+9)),F174)</f>
        <v>26</v>
      </c>
      <c r="G174" s="11"/>
      <c r="K174" s="5"/>
      <c r="L174" s="5">
        <f t="array" ref="L174">if(or({attackroll;'Dice and Macros'!$F$4:$F$11;macroroll}),randbetween(1,4),L174)</f>
        <v>2</v>
      </c>
      <c r="M174" s="5">
        <f t="array" ref="M174">if(or({attackroll;'Dice and Macros'!$F$4:$F$11;macroroll}),randbetween(1,6),M174)</f>
        <v>4</v>
      </c>
      <c r="N174" s="5">
        <f t="array" ref="N174">if(or({attackroll;'Dice and Macros'!$F$4:$F$11;macroroll}),randbetween(1,8),N174)</f>
        <v>8</v>
      </c>
      <c r="O174" s="5">
        <f t="array" ref="O174">if(or({attackroll;'Dice and Macros'!$F$4:$F$11;macroroll}),randbetween(1,10),O174)</f>
        <v>1</v>
      </c>
      <c r="P174" s="5">
        <f t="array" ref="P174">if(or({attackroll;'Dice and Macros'!$F$4:$F$11;macroroll}),randbetween(1,12),P174)</f>
        <v>5</v>
      </c>
      <c r="Q174" s="5">
        <f t="array" ref="Q174">if(or({attackroll;'Dice and Macros'!$F$4:$F$11;macroroll}),randbetween(1,20),Q174)</f>
        <v>1</v>
      </c>
      <c r="R174" s="5">
        <f t="array" ref="R174">if(or({attackroll;'Dice and Macros'!$F$4:$F$11;macroroll}),randbetween(1,100),R174)</f>
        <v>69</v>
      </c>
      <c r="S174" s="5">
        <f t="array" ref="S174">if(or({attackroll;'Dice and Macros'!$F$4:$F$11;macroroll}),randbetween(1,'Dice and Macros'!$D$11),S174)</f>
        <v>0</v>
      </c>
    </row>
    <row r="175">
      <c r="B175" s="17" t="s">
        <v>220</v>
      </c>
      <c r="C175" s="3"/>
      <c r="D175" s="4"/>
      <c r="E175" s="38">
        <f>spellcasterlevel</f>
        <v>14</v>
      </c>
      <c r="F175" s="39">
        <f>if(macroroll,sum(indirect("m"&amp;$K$3):indirect("m"&amp;$K$3+9)),F175)</f>
        <v>33</v>
      </c>
      <c r="G175" s="4"/>
      <c r="K175" s="5"/>
      <c r="L175" s="5">
        <f t="array" ref="L175">if(or({attackroll;'Dice and Macros'!$F$4:$F$11;macroroll}),randbetween(1,4),L175)</f>
        <v>1</v>
      </c>
      <c r="M175" s="5">
        <f t="array" ref="M175">if(or({attackroll;'Dice and Macros'!$F$4:$F$11;macroroll}),randbetween(1,6),M175)</f>
        <v>4</v>
      </c>
      <c r="N175" s="5">
        <f t="array" ref="N175">if(or({attackroll;'Dice and Macros'!$F$4:$F$11;macroroll}),randbetween(1,8),N175)</f>
        <v>8</v>
      </c>
      <c r="O175" s="5">
        <f t="array" ref="O175">if(or({attackroll;'Dice and Macros'!$F$4:$F$11;macroroll}),randbetween(1,10),O175)</f>
        <v>2</v>
      </c>
      <c r="P175" s="5">
        <f t="array" ref="P175">if(or({attackroll;'Dice and Macros'!$F$4:$F$11;macroroll}),randbetween(1,12),P175)</f>
        <v>3</v>
      </c>
      <c r="Q175" s="5">
        <f t="array" ref="Q175">if(or({attackroll;'Dice and Macros'!$F$4:$F$11;macroroll}),randbetween(1,20),Q175)</f>
        <v>18</v>
      </c>
      <c r="R175" s="5">
        <f t="array" ref="R175">if(or({attackroll;'Dice and Macros'!$F$4:$F$11;macroroll}),randbetween(1,100),R175)</f>
        <v>7</v>
      </c>
      <c r="S175" s="5">
        <f t="array" ref="S175">if(or({attackroll;'Dice and Macros'!$F$4:$F$11;macroroll}),randbetween(1,'Dice and Macros'!$D$11),S175)</f>
        <v>0</v>
      </c>
    </row>
    <row r="176">
      <c r="B176" s="35" t="s">
        <v>221</v>
      </c>
      <c r="C176" s="10"/>
      <c r="D176" s="11"/>
      <c r="E176" s="42">
        <f>spellcasterlevel</f>
        <v>14</v>
      </c>
      <c r="F176" s="43">
        <f>if(macroroll,sum(indirect("m"&amp;$K$4):indirect("m"&amp;$K$4+9)),F176)</f>
        <v>37</v>
      </c>
      <c r="G176" s="11"/>
      <c r="K176" s="5"/>
      <c r="L176" s="5">
        <f t="array" ref="L176">if(or({attackroll;'Dice and Macros'!$F$4:$F$11;macroroll}),randbetween(1,4),L176)</f>
        <v>3</v>
      </c>
      <c r="M176" s="5">
        <f t="array" ref="M176">if(or({attackroll;'Dice and Macros'!$F$4:$F$11;macroroll}),randbetween(1,6),M176)</f>
        <v>2</v>
      </c>
      <c r="N176" s="5">
        <f t="array" ref="N176">if(or({attackroll;'Dice and Macros'!$F$4:$F$11;macroroll}),randbetween(1,8),N176)</f>
        <v>3</v>
      </c>
      <c r="O176" s="5">
        <f t="array" ref="O176">if(or({attackroll;'Dice and Macros'!$F$4:$F$11;macroroll}),randbetween(1,10),O176)</f>
        <v>7</v>
      </c>
      <c r="P176" s="5">
        <f t="array" ref="P176">if(or({attackroll;'Dice and Macros'!$F$4:$F$11;macroroll}),randbetween(1,12),P176)</f>
        <v>12</v>
      </c>
      <c r="Q176" s="5">
        <f t="array" ref="Q176">if(or({attackroll;'Dice and Macros'!$F$4:$F$11;macroroll}),randbetween(1,20),Q176)</f>
        <v>12</v>
      </c>
      <c r="R176" s="5">
        <f t="array" ref="R176">if(or({attackroll;'Dice and Macros'!$F$4:$F$11;macroroll}),randbetween(1,100),R176)</f>
        <v>82</v>
      </c>
      <c r="S176" s="5">
        <f t="array" ref="S176">if(or({attackroll;'Dice and Macros'!$F$4:$F$11;macroroll}),randbetween(1,'Dice and Macros'!$D$11),S176)</f>
        <v>0</v>
      </c>
    </row>
    <row r="177">
      <c r="B177" s="17" t="s">
        <v>222</v>
      </c>
      <c r="C177" s="3"/>
      <c r="D177" s="4"/>
      <c r="E177" s="38">
        <f>spellcasterlevel</f>
        <v>14</v>
      </c>
      <c r="F177" s="39">
        <f>if(macroroll,sum(indirect("m"&amp;$K$5):indirect("m"&amp;$K$5+9)),F177)</f>
        <v>45</v>
      </c>
      <c r="G177" s="4"/>
      <c r="K177" s="5"/>
      <c r="L177" s="5">
        <f t="array" ref="L177">if(or({attackroll;'Dice and Macros'!$F$4:$F$11;macroroll}),randbetween(1,4),L177)</f>
        <v>1</v>
      </c>
      <c r="M177" s="5">
        <f t="array" ref="M177">if(or({attackroll;'Dice and Macros'!$F$4:$F$11;macroroll}),randbetween(1,6),M177)</f>
        <v>6</v>
      </c>
      <c r="N177" s="5">
        <f t="array" ref="N177">if(or({attackroll;'Dice and Macros'!$F$4:$F$11;macroroll}),randbetween(1,8),N177)</f>
        <v>4</v>
      </c>
      <c r="O177" s="5">
        <f t="array" ref="O177">if(or({attackroll;'Dice and Macros'!$F$4:$F$11;macroroll}),randbetween(1,10),O177)</f>
        <v>10</v>
      </c>
      <c r="P177" s="5">
        <f t="array" ref="P177">if(or({attackroll;'Dice and Macros'!$F$4:$F$11;macroroll}),randbetween(1,12),P177)</f>
        <v>8</v>
      </c>
      <c r="Q177" s="5">
        <f t="array" ref="Q177">if(or({attackroll;'Dice and Macros'!$F$4:$F$11;macroroll}),randbetween(1,20),Q177)</f>
        <v>1</v>
      </c>
      <c r="R177" s="5">
        <f t="array" ref="R177">if(or({attackroll;'Dice and Macros'!$F$4:$F$11;macroroll}),randbetween(1,100),R177)</f>
        <v>94</v>
      </c>
      <c r="S177" s="5">
        <f t="array" ref="S177">if(or({attackroll;'Dice and Macros'!$F$4:$F$11;macroroll}),randbetween(1,'Dice and Macros'!$D$11),S177)</f>
        <v>0</v>
      </c>
    </row>
    <row r="178">
      <c r="B178" s="35" t="s">
        <v>223</v>
      </c>
      <c r="C178" s="10"/>
      <c r="D178" s="11"/>
      <c r="E178" s="42">
        <f>spellcasterlevel</f>
        <v>14</v>
      </c>
      <c r="F178" s="43">
        <f>if(macroroll,sum(indirect("m"&amp;$K$6):indirect("m"&amp;$K$6+9)),F178)</f>
        <v>37</v>
      </c>
      <c r="G178" s="11"/>
      <c r="K178" s="5"/>
      <c r="L178" s="5">
        <f t="array" ref="L178">if(or({attackroll;'Dice and Macros'!$F$4:$F$11;macroroll}),randbetween(1,4),L178)</f>
        <v>3</v>
      </c>
      <c r="M178" s="5">
        <f t="array" ref="M178">if(or({attackroll;'Dice and Macros'!$F$4:$F$11;macroroll}),randbetween(1,6),M178)</f>
        <v>1</v>
      </c>
      <c r="N178" s="5">
        <f t="array" ref="N178">if(or({attackroll;'Dice and Macros'!$F$4:$F$11;macroroll}),randbetween(1,8),N178)</f>
        <v>8</v>
      </c>
      <c r="O178" s="5">
        <f t="array" ref="O178">if(or({attackroll;'Dice and Macros'!$F$4:$F$11;macroroll}),randbetween(1,10),O178)</f>
        <v>9</v>
      </c>
      <c r="P178" s="5">
        <f t="array" ref="P178">if(or({attackroll;'Dice and Macros'!$F$4:$F$11;macroroll}),randbetween(1,12),P178)</f>
        <v>1</v>
      </c>
      <c r="Q178" s="5">
        <f t="array" ref="Q178">if(or({attackroll;'Dice and Macros'!$F$4:$F$11;macroroll}),randbetween(1,20),Q178)</f>
        <v>4</v>
      </c>
      <c r="R178" s="5">
        <f t="array" ref="R178">if(or({attackroll;'Dice and Macros'!$F$4:$F$11;macroroll}),randbetween(1,100),R178)</f>
        <v>80</v>
      </c>
      <c r="S178" s="5">
        <f t="array" ref="S178">if(or({attackroll;'Dice and Macros'!$F$4:$F$11;macroroll}),randbetween(1,'Dice and Macros'!$D$11),S178)</f>
        <v>0</v>
      </c>
    </row>
    <row r="179">
      <c r="B179" s="17" t="s">
        <v>224</v>
      </c>
      <c r="C179" s="3"/>
      <c r="D179" s="4"/>
      <c r="E179" s="38">
        <f>spellcasterlevel</f>
        <v>14</v>
      </c>
      <c r="F179" s="39">
        <f>if(macroroll,sum(indirect("m"&amp;$K$7):indirect("m"&amp;$K$7+9)),F179)</f>
        <v>43</v>
      </c>
      <c r="G179" s="4"/>
      <c r="K179" s="5"/>
      <c r="L179" s="5">
        <f t="array" ref="L179">if(or({attackroll;'Dice and Macros'!$F$4:$F$11;macroroll}),randbetween(1,4),L179)</f>
        <v>4</v>
      </c>
      <c r="M179" s="5">
        <f t="array" ref="M179">if(or({attackroll;'Dice and Macros'!$F$4:$F$11;macroroll}),randbetween(1,6),M179)</f>
        <v>4</v>
      </c>
      <c r="N179" s="5">
        <f t="array" ref="N179">if(or({attackroll;'Dice and Macros'!$F$4:$F$11;macroroll}),randbetween(1,8),N179)</f>
        <v>3</v>
      </c>
      <c r="O179" s="5">
        <f t="array" ref="O179">if(or({attackroll;'Dice and Macros'!$F$4:$F$11;macroroll}),randbetween(1,10),O179)</f>
        <v>9</v>
      </c>
      <c r="P179" s="5">
        <f t="array" ref="P179">if(or({attackroll;'Dice and Macros'!$F$4:$F$11;macroroll}),randbetween(1,12),P179)</f>
        <v>2</v>
      </c>
      <c r="Q179" s="5">
        <f t="array" ref="Q179">if(or({attackroll;'Dice and Macros'!$F$4:$F$11;macroroll}),randbetween(1,20),Q179)</f>
        <v>6</v>
      </c>
      <c r="R179" s="5">
        <f t="array" ref="R179">if(or({attackroll;'Dice and Macros'!$F$4:$F$11;macroroll}),randbetween(1,100),R179)</f>
        <v>77</v>
      </c>
      <c r="S179" s="5">
        <f t="array" ref="S179">if(or({attackroll;'Dice and Macros'!$F$4:$F$11;macroroll}),randbetween(1,'Dice and Macros'!$D$11),S179)</f>
        <v>0</v>
      </c>
    </row>
    <row r="180">
      <c r="B180" s="35" t="s">
        <v>225</v>
      </c>
      <c r="C180" s="10"/>
      <c r="D180" s="11"/>
      <c r="E180" s="42">
        <f>spellcasterlevel</f>
        <v>14</v>
      </c>
      <c r="F180" s="43">
        <f>if(macroroll,sum(indirect("m"&amp;$K$7):indirect("m"&amp;$K$7+4)),F180)</f>
        <v>24</v>
      </c>
      <c r="G180" s="11"/>
      <c r="K180" s="5"/>
      <c r="L180" s="5">
        <f t="array" ref="L180">if(or({attackroll;'Dice and Macros'!$F$4:$F$11;macroroll}),randbetween(1,4),L180)</f>
        <v>1</v>
      </c>
      <c r="M180" s="5">
        <f t="array" ref="M180">if(or({attackroll;'Dice and Macros'!$F$4:$F$11;macroroll}),randbetween(1,6),M180)</f>
        <v>6</v>
      </c>
      <c r="N180" s="5">
        <f t="array" ref="N180">if(or({attackroll;'Dice and Macros'!$F$4:$F$11;macroroll}),randbetween(1,8),N180)</f>
        <v>3</v>
      </c>
      <c r="O180" s="5">
        <f t="array" ref="O180">if(or({attackroll;'Dice and Macros'!$F$4:$F$11;macroroll}),randbetween(1,10),O180)</f>
        <v>7</v>
      </c>
      <c r="P180" s="5">
        <f t="array" ref="P180">if(or({attackroll;'Dice and Macros'!$F$4:$F$11;macroroll}),randbetween(1,12),P180)</f>
        <v>1</v>
      </c>
      <c r="Q180" s="5">
        <f t="array" ref="Q180">if(or({attackroll;'Dice and Macros'!$F$4:$F$11;macroroll}),randbetween(1,20),Q180)</f>
        <v>13</v>
      </c>
      <c r="R180" s="5">
        <f t="array" ref="R180">if(or({attackroll;'Dice and Macros'!$F$4:$F$11;macroroll}),randbetween(1,100),R180)</f>
        <v>85</v>
      </c>
      <c r="S180" s="5">
        <f t="array" ref="S180">if(or({attackroll;'Dice and Macros'!$F$4:$F$11;macroroll}),randbetween(1,'Dice and Macros'!$D$11),S180)</f>
        <v>0</v>
      </c>
    </row>
    <row r="181">
      <c r="B181" s="17" t="s">
        <v>226</v>
      </c>
      <c r="C181" s="3"/>
      <c r="D181" s="4"/>
      <c r="E181" s="38">
        <f>spellcasterlevel</f>
        <v>14</v>
      </c>
      <c r="F181" s="39">
        <f>if(macroroll,randbetween(1,3),F181)</f>
        <v>1</v>
      </c>
      <c r="G181" s="4"/>
      <c r="K181" s="5"/>
      <c r="L181" s="5">
        <f t="array" ref="L181">if(or({attackroll;'Dice and Macros'!$F$4:$F$11;macroroll}),randbetween(1,4),L181)</f>
        <v>2</v>
      </c>
      <c r="M181" s="5">
        <f t="array" ref="M181">if(or({attackroll;'Dice and Macros'!$F$4:$F$11;macroroll}),randbetween(1,6),M181)</f>
        <v>5</v>
      </c>
      <c r="N181" s="5">
        <f t="array" ref="N181">if(or({attackroll;'Dice and Macros'!$F$4:$F$11;macroroll}),randbetween(1,8),N181)</f>
        <v>6</v>
      </c>
      <c r="O181" s="5">
        <f t="array" ref="O181">if(or({attackroll;'Dice and Macros'!$F$4:$F$11;macroroll}),randbetween(1,10),O181)</f>
        <v>10</v>
      </c>
      <c r="P181" s="5">
        <f t="array" ref="P181">if(or({attackroll;'Dice and Macros'!$F$4:$F$11;macroroll}),randbetween(1,12),P181)</f>
        <v>8</v>
      </c>
      <c r="Q181" s="5">
        <f t="array" ref="Q181">if(or({attackroll;'Dice and Macros'!$F$4:$F$11;macroroll}),randbetween(1,20),Q181)</f>
        <v>3</v>
      </c>
      <c r="R181" s="5">
        <f t="array" ref="R181">if(or({attackroll;'Dice and Macros'!$F$4:$F$11;macroroll}),randbetween(1,100),R181)</f>
        <v>69</v>
      </c>
      <c r="S181" s="5">
        <f t="array" ref="S181">if(or({attackroll;'Dice and Macros'!$F$4:$F$11;macroroll}),randbetween(1,'Dice and Macros'!$D$11),S181)</f>
        <v>0</v>
      </c>
    </row>
    <row r="182">
      <c r="B182" s="35" t="s">
        <v>227</v>
      </c>
      <c r="C182" s="10"/>
      <c r="D182" s="11"/>
      <c r="E182" s="42">
        <f>spellcasterlevel</f>
        <v>14</v>
      </c>
      <c r="F182" s="43">
        <f>if(macroroll,randbetween(1,4)+1,F182)</f>
        <v>2</v>
      </c>
      <c r="G182" s="11"/>
      <c r="K182" s="5"/>
      <c r="L182" s="5">
        <f t="array" ref="L182">if(or({Main!$W$41;'Dice and Macros'!$F$4:$F$11}),randbetween(1,4),L182)</f>
        <v>2</v>
      </c>
      <c r="M182" s="5">
        <f t="array" ref="M182">if(or({attackroll;'Dice and Macros'!$F$4:$F$11;macroroll}),randbetween(1,6),M182)</f>
        <v>1</v>
      </c>
      <c r="N182" s="5">
        <f t="array" ref="N182">if(or({attackroll;'Dice and Macros'!$F$4:$F$11;macroroll}),randbetween(1,8),N182)</f>
        <v>3</v>
      </c>
      <c r="O182" s="5">
        <f t="array" ref="O182">if(or({attackroll;'Dice and Macros'!$F$4:$F$11;macroroll}),randbetween(1,10),O182)</f>
        <v>2</v>
      </c>
      <c r="P182" s="5">
        <f t="array" ref="P182">if(or({attackroll;'Dice and Macros'!$F$4:$F$11;macroroll}),randbetween(1,12),P182)</f>
        <v>7</v>
      </c>
      <c r="Q182" s="5">
        <f t="array" ref="Q182">if(or({attackroll;'Dice and Macros'!$F$4:$F$11;macroroll}),randbetween(1,20),Q182)</f>
        <v>16</v>
      </c>
      <c r="R182" s="5">
        <f t="array" ref="R182">if(or({attackroll;'Dice and Macros'!$F$4:$F$11;macroroll}),randbetween(1,100),R182)</f>
        <v>53</v>
      </c>
      <c r="S182" s="5">
        <f t="array" ref="S182">if(or({attackroll;'Dice and Macros'!$F$4:$F$11;macroroll}),randbetween(1,'Dice and Macros'!$D$11),S182)</f>
        <v>0</v>
      </c>
    </row>
    <row r="183">
      <c r="B183" s="28" t="s">
        <v>228</v>
      </c>
      <c r="C183" s="3"/>
      <c r="D183" s="4"/>
      <c r="E183" s="14">
        <f>spellcasterlevel</f>
        <v>14</v>
      </c>
      <c r="F183" s="19">
        <f>if(macroroll,sum(indirect("m"&amp;$K$2):indirect("m"&amp;$K$2+3)),F183)</f>
        <v>11</v>
      </c>
      <c r="G183" s="4"/>
      <c r="K183" s="5"/>
      <c r="L183" s="5">
        <f t="array" ref="L183">if(or({attackroll;'Dice and Macros'!$F$4:$F$11;macroroll}),randbetween(1,4),L183)</f>
        <v>3</v>
      </c>
      <c r="M183" s="5">
        <f t="array" ref="M183">if(or({attackroll;'Dice and Macros'!$F$4:$F$11;macroroll}),randbetween(1,6),M183)</f>
        <v>2</v>
      </c>
      <c r="N183" s="5">
        <f t="array" ref="N183">if(or({attackroll;'Dice and Macros'!$F$4:$F$11;macroroll}),randbetween(1,8),N183)</f>
        <v>7</v>
      </c>
      <c r="O183" s="5">
        <f t="array" ref="O183">if(or({attackroll;'Dice and Macros'!$F$4:$F$11;macroroll}),randbetween(1,10),O183)</f>
        <v>6</v>
      </c>
      <c r="P183" s="5">
        <f t="array" ref="P183">if(or({attackroll;'Dice and Macros'!$F$4:$F$11;macroroll}),randbetween(1,12),P183)</f>
        <v>9</v>
      </c>
      <c r="Q183" s="5">
        <f t="array" ref="Q183">if(or({attackroll;'Dice and Macros'!$F$4:$F$11;macroroll}),randbetween(1,20),Q183)</f>
        <v>3</v>
      </c>
      <c r="R183" s="5">
        <f t="array" ref="R183">if(or({attackroll;'Dice and Macros'!$F$4:$F$11;macroroll}),randbetween(1,100),R183)</f>
        <v>11</v>
      </c>
      <c r="S183" s="5">
        <f t="array" ref="S183">if(or({attackroll;'Dice and Macros'!$F$4:$F$11;macroroll}),randbetween(1,'Dice and Macros'!$D$11),S183)</f>
        <v>0</v>
      </c>
    </row>
    <row r="184">
      <c r="B184" s="35" t="s">
        <v>229</v>
      </c>
      <c r="C184" s="10"/>
      <c r="D184" s="11"/>
      <c r="E184" s="24">
        <f>spellcasterlevel</f>
        <v>14</v>
      </c>
      <c r="F184" s="25">
        <f>F183*2</f>
        <v>22</v>
      </c>
      <c r="G184" s="11"/>
      <c r="K184" s="5"/>
      <c r="L184" s="5">
        <f t="array" ref="L184">if(or({attackroll;'Dice and Macros'!$F$4:$F$11;macroroll}),randbetween(1,4),L184)</f>
        <v>4</v>
      </c>
      <c r="M184" s="5">
        <f t="array" ref="M184">if(or({attackroll;'Dice and Macros'!$F$4:$F$11;macroroll}),randbetween(1,6),M184)</f>
        <v>1</v>
      </c>
      <c r="N184" s="5">
        <f t="array" ref="N184">if(or({attackroll;'Dice and Macros'!$F$4:$F$11;macroroll}),randbetween(1,8),N184)</f>
        <v>1</v>
      </c>
      <c r="O184" s="5">
        <f t="array" ref="O184">if(or({attackroll;'Dice and Macros'!$F$4:$F$11;macroroll}),randbetween(1,10),O184)</f>
        <v>1</v>
      </c>
      <c r="P184" s="5">
        <f t="array" ref="P184">if(or({attackroll;'Dice and Macros'!$F$4:$F$11;macroroll}),randbetween(1,12),P184)</f>
        <v>2</v>
      </c>
      <c r="Q184" s="5">
        <f t="array" ref="Q184">if(or({attackroll;'Dice and Macros'!$F$4:$F$11;macroroll}),randbetween(1,20),Q184)</f>
        <v>7</v>
      </c>
      <c r="R184" s="5">
        <f t="array" ref="R184">if(or({attackroll;'Dice and Macros'!$F$4:$F$11;macroroll}),randbetween(1,100),R184)</f>
        <v>29</v>
      </c>
      <c r="S184" s="5">
        <f t="array" ref="S184">if(or({attackroll;'Dice and Macros'!$F$4:$F$11;macroroll}),randbetween(1,'Dice and Macros'!$D$11),S184)</f>
        <v>0</v>
      </c>
    </row>
    <row r="185">
      <c r="B185" s="17" t="s">
        <v>230</v>
      </c>
      <c r="C185" s="3"/>
      <c r="D185" s="4"/>
      <c r="E185" s="18">
        <f>spellcasterlevel</f>
        <v>14</v>
      </c>
      <c r="F185" s="19">
        <f>if(macroroll,sum(indirect("m"&amp;$K$2):indirect("m"&amp;$K$2+min(19,E185-1))),F185)</f>
        <v>38</v>
      </c>
      <c r="G185" s="4"/>
      <c r="K185" s="5"/>
      <c r="L185" s="5">
        <f t="array" ref="L185">if(or({attackroll;'Dice and Macros'!$F$4:$F$11;macroroll}),randbetween(1,4),L185)</f>
        <v>4</v>
      </c>
      <c r="M185" s="5">
        <f t="array" ref="M185">if(or({attackroll;'Dice and Macros'!$F$4:$F$11;macroroll}),randbetween(1,6),M185)</f>
        <v>6</v>
      </c>
      <c r="N185" s="5">
        <f t="array" ref="N185">if(or({attackroll;'Dice and Macros'!$F$4:$F$11;macroroll}),randbetween(1,8),N185)</f>
        <v>2</v>
      </c>
      <c r="O185" s="5">
        <f t="array" ref="O185">if(or({attackroll;'Dice and Macros'!$F$4:$F$11;macroroll}),randbetween(1,10),O185)</f>
        <v>5</v>
      </c>
      <c r="P185" s="5">
        <f t="array" ref="P185">if(or({attackroll;'Dice and Macros'!$F$4:$F$11;macroroll}),randbetween(1,12),P185)</f>
        <v>9</v>
      </c>
      <c r="Q185" s="5">
        <f t="array" ref="Q185">if(or({attackroll;'Dice and Macros'!$F$4:$F$11;macroroll}),randbetween(1,20),Q185)</f>
        <v>9</v>
      </c>
      <c r="R185" s="5">
        <f t="array" ref="R185">if(or({attackroll;'Dice and Macros'!$F$4:$F$11;macroroll}),randbetween(1,100),R185)</f>
        <v>37</v>
      </c>
      <c r="S185" s="5">
        <f t="array" ref="S185">if(or({attackroll;'Dice and Macros'!$F$4:$F$11;macroroll}),randbetween(1,'Dice and Macros'!$D$11),S185)</f>
        <v>0</v>
      </c>
    </row>
    <row r="186">
      <c r="B186" s="30" t="s">
        <v>231</v>
      </c>
      <c r="C186" s="10"/>
      <c r="D186" s="11"/>
      <c r="E186" s="7">
        <f>spellcasterlevel</f>
        <v>14</v>
      </c>
      <c r="F186" s="25">
        <f>if(macroroll,sum(indirect("m"&amp;$K$2):indirect("m"&amp;$K$2+5)),F186)</f>
        <v>14</v>
      </c>
      <c r="G186" s="11"/>
      <c r="K186" s="5"/>
      <c r="L186" s="5">
        <f t="array" ref="L186">if(or({attackroll;'Dice and Macros'!$F$4:$F$11;macroroll}),randbetween(1,4),L186)</f>
        <v>1</v>
      </c>
      <c r="M186" s="5">
        <f t="array" ref="M186">if(or({attackroll;'Dice and Macros'!$F$4:$F$11;macroroll}),randbetween(1,6),M186)</f>
        <v>2</v>
      </c>
      <c r="N186" s="5">
        <f t="array" ref="N186">if(or({attackroll;'Dice and Macros'!$F$4:$F$11;macroroll}),randbetween(1,8),N186)</f>
        <v>3</v>
      </c>
      <c r="O186" s="5">
        <f t="array" ref="O186">if(or({attackroll;'Dice and Macros'!$F$4:$F$11;macroroll}),randbetween(1,10),O186)</f>
        <v>2</v>
      </c>
      <c r="P186" s="5">
        <f t="array" ref="P186">if(or({attackroll;'Dice and Macros'!$F$4:$F$11;macroroll}),randbetween(1,12),P186)</f>
        <v>12</v>
      </c>
      <c r="Q186" s="5">
        <f t="array" ref="Q186">if(or({attackroll;'Dice and Macros'!$F$4:$F$11;macroroll}),randbetween(1,20),Q186)</f>
        <v>4</v>
      </c>
      <c r="R186" s="5">
        <f t="array" ref="R186">if(or({attackroll;'Dice and Macros'!$F$4:$F$11;macroroll}),randbetween(1,100),R186)</f>
        <v>23</v>
      </c>
      <c r="S186" s="5">
        <f t="array" ref="S186">if(or({attackroll;'Dice and Macros'!$F$4:$F$11;macroroll}),randbetween(1,'Dice and Macros'!$D$11),S186)</f>
        <v>0</v>
      </c>
    </row>
    <row r="187">
      <c r="B187" s="17" t="s">
        <v>232</v>
      </c>
      <c r="C187" s="3"/>
      <c r="D187" s="4"/>
      <c r="E187" s="18">
        <f>spellcasterlevel</f>
        <v>14</v>
      </c>
      <c r="F187" s="19">
        <f>F186*2</f>
        <v>28</v>
      </c>
      <c r="G187" s="4"/>
      <c r="K187" s="5"/>
      <c r="L187" s="5">
        <f t="array" ref="L187">if(or({attackroll;'Dice and Macros'!$F$4:$F$11;macroroll}),randbetween(1,4),L187)</f>
        <v>4</v>
      </c>
      <c r="M187" s="5">
        <f t="array" ref="M187">if(or({attackroll;'Dice and Macros'!$F$4:$F$11;macroroll}),randbetween(1,6),M187)</f>
        <v>6</v>
      </c>
      <c r="N187" s="5">
        <f t="array" ref="N187">if(or({attackroll;'Dice and Macros'!$F$4:$F$11;macroroll}),randbetween(1,8),N187)</f>
        <v>3</v>
      </c>
      <c r="O187" s="5">
        <f t="array" ref="O187">if(or({attackroll;'Dice and Macros'!$F$4:$F$11;macroroll}),randbetween(1,10),O187)</f>
        <v>3</v>
      </c>
      <c r="P187" s="5">
        <f t="array" ref="P187">if(or({attackroll;'Dice and Macros'!$F$4:$F$11;macroroll}),randbetween(1,12),P187)</f>
        <v>6</v>
      </c>
      <c r="Q187" s="5">
        <f t="array" ref="Q187">if(or({attackroll;'Dice and Macros'!$F$4:$F$11;macroroll}),randbetween(1,20),Q187)</f>
        <v>10</v>
      </c>
      <c r="R187" s="5">
        <f t="array" ref="R187">if(or({attackroll;'Dice and Macros'!$F$4:$F$11;macroroll}),randbetween(1,100),R187)</f>
        <v>55</v>
      </c>
      <c r="S187" s="5">
        <f t="array" ref="S187">if(or({attackroll;'Dice and Macros'!$F$4:$F$11;macroroll}),randbetween(1,'Dice and Macros'!$D$11),S187)</f>
        <v>0</v>
      </c>
    </row>
    <row r="188">
      <c r="B188" s="35" t="s">
        <v>233</v>
      </c>
      <c r="C188" s="10"/>
      <c r="D188" s="11"/>
      <c r="E188" s="24">
        <f>spellcasterlevel</f>
        <v>14</v>
      </c>
      <c r="F188" s="25">
        <f>if(macroroll,sum(indirect("m"&amp;$K$2):indirect("m"&amp;$K$2+min(24,E188-1))),F188)</f>
        <v>38</v>
      </c>
      <c r="G188" s="11"/>
      <c r="K188" s="5"/>
      <c r="L188" s="5">
        <f t="array" ref="L188">if(or({attackroll;'Dice and Macros'!$F$4:$F$11;macroroll}),randbetween(1,4),L188)</f>
        <v>4</v>
      </c>
      <c r="M188" s="5">
        <f t="array" ref="M188">if(or({attackroll;'Dice and Macros'!$F$4:$F$11;macroroll}),randbetween(1,6),M188)</f>
        <v>6</v>
      </c>
      <c r="N188" s="5">
        <f t="array" ref="N188">if(or({attackroll;'Dice and Macros'!$F$4:$F$11;macroroll}),randbetween(1,8),N188)</f>
        <v>5</v>
      </c>
      <c r="O188" s="5">
        <f t="array" ref="O188">if(or({attackroll;'Dice and Macros'!$F$4:$F$11;macroroll}),randbetween(1,10),O188)</f>
        <v>5</v>
      </c>
      <c r="P188" s="5">
        <f t="array" ref="P188">if(or({attackroll;'Dice and Macros'!$F$4:$F$11;macroroll}),randbetween(1,12),P188)</f>
        <v>5</v>
      </c>
      <c r="Q188" s="5">
        <f t="array" ref="Q188">if(or({attackroll;'Dice and Macros'!$F$4:$F$11;macroroll}),randbetween(1,20),Q188)</f>
        <v>2</v>
      </c>
      <c r="R188" s="5">
        <f t="array" ref="R188">if(or({attackroll;'Dice and Macros'!$F$4:$F$11;macroroll}),randbetween(1,100),R188)</f>
        <v>49</v>
      </c>
      <c r="S188" s="5">
        <f t="array" ref="S188">if(or({attackroll;'Dice and Macros'!$F$4:$F$11;macroroll}),randbetween(1,'Dice and Macros'!$D$11),S188)</f>
        <v>0</v>
      </c>
    </row>
    <row r="189">
      <c r="B189" s="17" t="s">
        <v>234</v>
      </c>
      <c r="C189" s="3"/>
      <c r="D189" s="4"/>
      <c r="E189" s="38">
        <f>spellcasterlevel</f>
        <v>14</v>
      </c>
      <c r="F189" s="39" t="str">
        <f>if(macroroll,(randbetween(1,6)+randbetween(1,6)+randbetween(1,6))*10&amp;" minutes",F189)</f>
        <v>120 minutes</v>
      </c>
      <c r="G189" s="4"/>
      <c r="K189" s="5"/>
      <c r="L189" s="5">
        <f t="array" ref="L189">if(or({attackroll;'Dice and Macros'!$F$4:$F$11;macroroll}),randbetween(1,4),L189)</f>
        <v>2</v>
      </c>
      <c r="M189" s="5">
        <f t="array" ref="M189">if(or({attackroll;'Dice and Macros'!$F$4:$F$11;macroroll}),randbetween(1,6),M189)</f>
        <v>3</v>
      </c>
      <c r="N189" s="5">
        <f t="array" ref="N189">if(or({attackroll;'Dice and Macros'!$F$4:$F$11;macroroll}),randbetween(1,8),N189)</f>
        <v>5</v>
      </c>
      <c r="O189" s="5">
        <f t="array" ref="O189">if(or({attackroll;'Dice and Macros'!$F$4:$F$11;macroroll}),randbetween(1,10),O189)</f>
        <v>5</v>
      </c>
      <c r="P189" s="5">
        <f t="array" ref="P189">if(or({attackroll;'Dice and Macros'!$F$4:$F$11;macroroll}),randbetween(1,12),P189)</f>
        <v>11</v>
      </c>
      <c r="Q189" s="5">
        <f t="array" ref="Q189">if(or({attackroll;'Dice and Macros'!$F$4:$F$11;macroroll}),randbetween(1,20),Q189)</f>
        <v>4</v>
      </c>
      <c r="R189" s="5">
        <f t="array" ref="R189">if(or({attackroll;'Dice and Macros'!$F$4:$F$11;macroroll}),randbetween(1,100),R189)</f>
        <v>95</v>
      </c>
      <c r="S189" s="5">
        <f t="array" ref="S189">if(or({attackroll;'Dice and Macros'!$F$4:$F$11;macroroll}),randbetween(1,'Dice and Macros'!$D$11),S189)</f>
        <v>0</v>
      </c>
    </row>
    <row r="190">
      <c r="B190" s="35" t="s">
        <v>235</v>
      </c>
      <c r="C190" s="10"/>
      <c r="D190" s="11"/>
      <c r="E190" s="42">
        <f>spellcasterlevel</f>
        <v>14</v>
      </c>
      <c r="F190" s="43" t="str">
        <f>if(macroroll,randbetween(1,6)&amp;" rounds",F190)</f>
        <v>5 rounds</v>
      </c>
      <c r="G190" s="11"/>
      <c r="K190" s="5"/>
      <c r="L190" s="5">
        <f t="array" ref="L190">if(or({attackroll;'Dice and Macros'!$F$4:$F$11;macroroll}),randbetween(1,4),L190)</f>
        <v>1</v>
      </c>
      <c r="M190" s="5">
        <f t="array" ref="M190">if(or({attackroll;'Dice and Macros'!$F$4:$F$11;macroroll}),randbetween(1,6),M190)</f>
        <v>5</v>
      </c>
      <c r="N190" s="5">
        <f t="array" ref="N190">if(or({attackroll;'Dice and Macros'!$F$4:$F$11;macroroll}),randbetween(1,8),N190)</f>
        <v>4</v>
      </c>
      <c r="O190" s="5">
        <f t="array" ref="O190">if(or({attackroll;'Dice and Macros'!$F$4:$F$11;macroroll}),randbetween(1,10),O190)</f>
        <v>6</v>
      </c>
      <c r="P190" s="5">
        <f t="array" ref="P190">if(or({attackroll;'Dice and Macros'!$F$4:$F$11;macroroll}),randbetween(1,12),P190)</f>
        <v>3</v>
      </c>
      <c r="Q190" s="5">
        <f t="array" ref="Q190">if(or({attackroll;'Dice and Macros'!$F$4:$F$11;macroroll}),randbetween(1,20),Q190)</f>
        <v>6</v>
      </c>
      <c r="R190" s="5">
        <f t="array" ref="R190">if(or({attackroll;'Dice and Macros'!$F$4:$F$11;macroroll}),randbetween(1,100),R190)</f>
        <v>50</v>
      </c>
      <c r="S190" s="5">
        <f t="array" ref="S190">if(or({attackroll;'Dice and Macros'!$F$4:$F$11;macroroll}),randbetween(1,'Dice and Macros'!$D$11),S190)</f>
        <v>0</v>
      </c>
    </row>
    <row r="191">
      <c r="B191" s="17" t="s">
        <v>236</v>
      </c>
      <c r="C191" s="3"/>
      <c r="D191" s="4"/>
      <c r="E191" s="38">
        <f>spellcasterlevel</f>
        <v>14</v>
      </c>
      <c r="F191" s="39">
        <f>if(macroroll,randbetween(1,6)+randbetween(1,6)+randbetween(1,6),F191)</f>
        <v>8</v>
      </c>
      <c r="G191" s="4"/>
      <c r="K191" s="5"/>
      <c r="L191" s="5">
        <f t="array" ref="L191">if(or({attackroll;'Dice and Macros'!$F$4:$F$11;macroroll}),randbetween(1,4),L191)</f>
        <v>3</v>
      </c>
      <c r="M191" s="5">
        <f t="array" ref="M191">if(or({attackroll;'Dice and Macros'!$F$4:$F$11;macroroll}),randbetween(1,6),M191)</f>
        <v>2</v>
      </c>
      <c r="N191" s="5">
        <f t="array" ref="N191">if(or({attackroll;'Dice and Macros'!$F$4:$F$11;macroroll}),randbetween(1,8),N191)</f>
        <v>4</v>
      </c>
      <c r="O191" s="5">
        <f t="array" ref="O191">if(or({attackroll;'Dice and Macros'!$F$4:$F$11;macroroll}),randbetween(1,10),O191)</f>
        <v>7</v>
      </c>
      <c r="P191" s="5">
        <f t="array" ref="P191">if(or({attackroll;'Dice and Macros'!$F$4:$F$11;macroroll}),randbetween(1,12),P191)</f>
        <v>3</v>
      </c>
      <c r="Q191" s="5">
        <f t="array" ref="Q191">if(or({attackroll;'Dice and Macros'!$F$4:$F$11;macroroll}),randbetween(1,20),Q191)</f>
        <v>9</v>
      </c>
      <c r="R191" s="5">
        <f t="array" ref="R191">if(or({attackroll;'Dice and Macros'!$F$4:$F$11;macroroll}),randbetween(1,100),R191)</f>
        <v>87</v>
      </c>
      <c r="S191" s="5">
        <f t="array" ref="S191">if(or({attackroll;'Dice and Macros'!$F$4:$F$11;macroroll}),randbetween(1,'Dice and Macros'!$D$11),S191)</f>
        <v>0</v>
      </c>
    </row>
    <row r="192">
      <c r="B192" s="35" t="s">
        <v>237</v>
      </c>
      <c r="C192" s="10"/>
      <c r="D192" s="11"/>
      <c r="E192" s="42">
        <f>spellcasterlevel</f>
        <v>14</v>
      </c>
      <c r="F192" s="43">
        <f>if(macroroll,randbetween(1,10)+randbetween(1,10),F192)</f>
        <v>12</v>
      </c>
      <c r="G192" s="11"/>
      <c r="K192" s="5"/>
      <c r="L192" s="5">
        <f t="array" ref="L192">if(or({attackroll;'Dice and Macros'!$F$4:$F$11;macroroll}),randbetween(1,4),L192)</f>
        <v>1</v>
      </c>
      <c r="M192" s="5">
        <f t="array" ref="M192">if(or({attackroll;'Dice and Macros'!$F$4:$F$11;macroroll}),randbetween(1,6),M192)</f>
        <v>4</v>
      </c>
      <c r="N192" s="5">
        <f t="array" ref="N192">if(or({attackroll;'Dice and Macros'!$F$4:$F$11;macroroll}),randbetween(1,8),N192)</f>
        <v>7</v>
      </c>
      <c r="O192" s="5">
        <f t="array" ref="O192">if(or({attackroll;'Dice and Macros'!$F$4:$F$11;macroroll}),randbetween(1,10),O192)</f>
        <v>8</v>
      </c>
      <c r="P192" s="5">
        <f t="array" ref="P192">if(or({attackroll;'Dice and Macros'!$F$4:$F$11;macroroll}),randbetween(1,12),P192)</f>
        <v>11</v>
      </c>
      <c r="Q192" s="5">
        <f t="array" ref="Q192">if(or({attackroll;'Dice and Macros'!$F$4:$F$11;macroroll}),randbetween(1,20),Q192)</f>
        <v>1</v>
      </c>
      <c r="R192" s="5">
        <f t="array" ref="R192">if(or({attackroll;'Dice and Macros'!$F$4:$F$11;macroroll}),randbetween(1,100),R192)</f>
        <v>95</v>
      </c>
      <c r="S192" s="5">
        <f t="array" ref="S192">if(or({attackroll;'Dice and Macros'!$F$4:$F$11;macroroll}),randbetween(1,'Dice and Macros'!$D$11),S192)</f>
        <v>0</v>
      </c>
    </row>
    <row r="193">
      <c r="B193" s="17" t="s">
        <v>238</v>
      </c>
      <c r="C193" s="3"/>
      <c r="D193" s="4"/>
      <c r="E193" s="38">
        <f>spellcasterlevel</f>
        <v>14</v>
      </c>
      <c r="F193" s="39" t="str">
        <f>if(macroroll,randbetween(1,6)*10&amp;" minutes",F193)</f>
        <v>40 minutes</v>
      </c>
      <c r="G193" s="4"/>
      <c r="K193" s="5"/>
      <c r="L193" s="5">
        <f t="array" ref="L193">if(or({attackroll;'Dice and Macros'!$F$4:$F$11;macroroll}),randbetween(1,4),L193)</f>
        <v>1</v>
      </c>
      <c r="M193" s="5">
        <f t="array" ref="M193">if(or({attackroll;'Dice and Macros'!$F$4:$F$11;macroroll}),randbetween(1,6),M193)</f>
        <v>5</v>
      </c>
      <c r="N193" s="5">
        <f t="array" ref="N193">if(or({attackroll;'Dice and Macros'!$F$4:$F$11;macroroll}),randbetween(1,8),N193)</f>
        <v>1</v>
      </c>
      <c r="O193" s="5">
        <f t="array" ref="O193">if(or({attackroll;'Dice and Macros'!$F$4:$F$11;macroroll}),randbetween(1,10),O193)</f>
        <v>7</v>
      </c>
      <c r="P193" s="5">
        <f t="array" ref="P193">if(or({attackroll;'Dice and Macros'!$F$4:$F$11;macroroll}),randbetween(1,12),P193)</f>
        <v>12</v>
      </c>
      <c r="Q193" s="5">
        <f t="array" ref="Q193">if(or({attackroll;'Dice and Macros'!$F$4:$F$11;macroroll}),randbetween(1,20),Q193)</f>
        <v>12</v>
      </c>
      <c r="R193" s="5">
        <f t="array" ref="R193">if(or({attackroll;'Dice and Macros'!$F$4:$F$11;macroroll}),randbetween(1,100),R193)</f>
        <v>22</v>
      </c>
      <c r="S193" s="5">
        <f t="array" ref="S193">if(or({attackroll;'Dice and Macros'!$F$4:$F$11;macroroll}),randbetween(1,'Dice and Macros'!$D$11),S193)</f>
        <v>0</v>
      </c>
    </row>
    <row r="194">
      <c r="B194" s="35" t="s">
        <v>239</v>
      </c>
      <c r="C194" s="10"/>
      <c r="D194" s="11"/>
      <c r="E194" s="42">
        <f>spellcasterlevel</f>
        <v>14</v>
      </c>
      <c r="F194" s="43" t="str">
        <f t="array" ref="F194">if(macroroll,dget( Sheet4!$AE$17:$AL$117,Sheet4!$AH$17,{"Number";randbetween(1,100)}),F194)</f>
        <v>On Target</v>
      </c>
      <c r="G194" s="11"/>
      <c r="K194" s="5"/>
      <c r="L194" s="5">
        <f t="array" ref="L194">if(or({attackroll;'Dice and Macros'!$F$4:$F$11;macroroll}),randbetween(1,4),L194)</f>
        <v>4</v>
      </c>
      <c r="M194" s="5">
        <f t="array" ref="M194">if(or({attackroll;'Dice and Macros'!$F$4:$F$11;macroroll}),randbetween(1,6),M194)</f>
        <v>5</v>
      </c>
      <c r="N194" s="5">
        <f t="array" ref="N194">if(or({attackroll;'Dice and Macros'!$F$4:$F$11;macroroll}),randbetween(1,8),N194)</f>
        <v>5</v>
      </c>
      <c r="O194" s="5">
        <f t="array" ref="O194">if(or({attackroll;'Dice and Macros'!$F$4:$F$11;macroroll}),randbetween(1,10),O194)</f>
        <v>5</v>
      </c>
      <c r="P194" s="5">
        <f t="array" ref="P194">if(or({attackroll;'Dice and Macros'!$F$4:$F$11;macroroll}),randbetween(1,12),P194)</f>
        <v>10</v>
      </c>
      <c r="Q194" s="5">
        <f t="array" ref="Q194">if(or({attackroll;'Dice and Macros'!$F$4:$F$11;macroroll}),randbetween(1,20),Q194)</f>
        <v>4</v>
      </c>
      <c r="R194" s="5">
        <f t="array" ref="R194">if(or({attackroll;'Dice and Macros'!$F$4:$F$11;macroroll}),randbetween(1,100),R194)</f>
        <v>12</v>
      </c>
      <c r="S194" s="5">
        <f t="array" ref="S194">if(or({attackroll;'Dice and Macros'!$F$4:$F$11;macroroll}),randbetween(1,'Dice and Macros'!$D$11),S194)</f>
        <v>0</v>
      </c>
    </row>
    <row r="195">
      <c r="B195" s="17" t="s">
        <v>240</v>
      </c>
      <c r="C195" s="3"/>
      <c r="D195" s="4"/>
      <c r="E195" s="38">
        <f>spellcasterlevel</f>
        <v>14</v>
      </c>
      <c r="F195" s="39" t="str">
        <f t="array" ref="F195">if(macroroll,dget( Sheet4!$AE$17:$AL$117,Sheet4!$AI$17,{"Number";randbetween(1,100)}),F195)</f>
        <v>On Target</v>
      </c>
      <c r="G195" s="4"/>
      <c r="K195" s="5"/>
      <c r="L195" s="5">
        <f t="array" ref="L195">if(or({attackroll;'Dice and Macros'!$F$4:$F$11;macroroll}),randbetween(1,4),L195)</f>
        <v>3</v>
      </c>
      <c r="M195" s="5">
        <f t="array" ref="M195">if(or({attackroll;'Dice and Macros'!$F$4:$F$11;macroroll}),randbetween(1,6),M195)</f>
        <v>1</v>
      </c>
      <c r="N195" s="5">
        <f t="array" ref="N195">if(or({attackroll;'Dice and Macros'!$F$4:$F$11;macroroll}),randbetween(1,8),N195)</f>
        <v>4</v>
      </c>
      <c r="O195" s="5">
        <f t="array" ref="O195">if(or({attackroll;'Dice and Macros'!$F$4:$F$11;macroroll}),randbetween(1,10),O195)</f>
        <v>2</v>
      </c>
      <c r="P195" s="5">
        <f t="array" ref="P195">if(or({attackroll;'Dice and Macros'!$F$4:$F$11;macroroll}),randbetween(1,12),P195)</f>
        <v>7</v>
      </c>
      <c r="Q195" s="5">
        <f t="array" ref="Q195">if(or({attackroll;'Dice and Macros'!$F$4:$F$11;macroroll}),randbetween(1,20),Q195)</f>
        <v>14</v>
      </c>
      <c r="R195" s="5">
        <f t="array" ref="R195">if(or({attackroll;'Dice and Macros'!$F$4:$F$11;macroroll}),randbetween(1,100),R195)</f>
        <v>4</v>
      </c>
      <c r="S195" s="5">
        <f t="array" ref="S195">if(or({attackroll;'Dice and Macros'!$F$4:$F$11;macroroll}),randbetween(1,'Dice and Macros'!$D$11),S195)</f>
        <v>0</v>
      </c>
    </row>
    <row r="196">
      <c r="B196" s="35" t="s">
        <v>241</v>
      </c>
      <c r="C196" s="10"/>
      <c r="D196" s="11"/>
      <c r="E196" s="42">
        <f>spellcasterlevel</f>
        <v>14</v>
      </c>
      <c r="F196" s="43" t="str">
        <f t="array" ref="F196">if(macroroll,dget( Sheet4!$AE$17:$AL$117,Sheet4!$AJ$17,{"Number";randbetween(1,100)}),F196)</f>
        <v>On Target</v>
      </c>
      <c r="G196" s="11"/>
      <c r="K196" s="5"/>
      <c r="L196" s="5">
        <f t="array" ref="L196">if(or({attackroll;'Dice and Macros'!$F$4:$F$11;macroroll}),randbetween(1,4),L196)</f>
        <v>4</v>
      </c>
      <c r="M196" s="5">
        <f t="array" ref="M196">if(or({attackroll;'Dice and Macros'!$F$4:$F$11;macroroll}),randbetween(1,6),M196)</f>
        <v>2</v>
      </c>
      <c r="N196" s="5">
        <f t="array" ref="N196">if(or({attackroll;'Dice and Macros'!$F$4:$F$11;macroroll}),randbetween(1,8),N196)</f>
        <v>3</v>
      </c>
      <c r="O196" s="5">
        <f t="array" ref="O196">if(or({attackroll;'Dice and Macros'!$F$4:$F$11;macroroll}),randbetween(1,10),O196)</f>
        <v>8</v>
      </c>
      <c r="P196" s="5">
        <f t="array" ref="P196">if(or({attackroll;'Dice and Macros'!$F$4:$F$11;macroroll}),randbetween(1,12),P196)</f>
        <v>12</v>
      </c>
      <c r="Q196" s="5">
        <f t="array" ref="Q196">if(or({attackroll;'Dice and Macros'!$F$4:$F$11;macroroll}),randbetween(1,20),Q196)</f>
        <v>3</v>
      </c>
      <c r="R196" s="5">
        <f t="array" ref="R196">if(or({attackroll;'Dice and Macros'!$F$4:$F$11;macroroll}),randbetween(1,100),R196)</f>
        <v>54</v>
      </c>
      <c r="S196" s="5">
        <f t="array" ref="S196">if(or({attackroll;'Dice and Macros'!$F$4:$F$11;macroroll}),randbetween(1,'Dice and Macros'!$D$11),S196)</f>
        <v>0</v>
      </c>
    </row>
    <row r="197">
      <c r="B197" s="17" t="s">
        <v>242</v>
      </c>
      <c r="C197" s="3"/>
      <c r="D197" s="4"/>
      <c r="E197" s="38">
        <f>spellcasterlevel</f>
        <v>14</v>
      </c>
      <c r="F197" s="39" t="str">
        <f t="array" ref="F197">if(macroroll,dget( Sheet4!$AE$17:$AL$117,Sheet4!$AK$17,{"Number";randbetween(1,100)}),F197)</f>
        <v>On Target</v>
      </c>
      <c r="G197" s="4"/>
      <c r="K197" s="5"/>
      <c r="L197" s="5">
        <f t="array" ref="L197">if(or({attackroll;'Dice and Macros'!$F$4:$F$11;macroroll}),randbetween(1,4),L197)</f>
        <v>1</v>
      </c>
      <c r="M197" s="5">
        <f t="array" ref="M197">if(or({attackroll;'Dice and Macros'!$F$4:$F$11;macroroll}),randbetween(1,6),M197)</f>
        <v>6</v>
      </c>
      <c r="N197" s="5">
        <f t="array" ref="N197">if(or({attackroll;'Dice and Macros'!$F$4:$F$11;macroroll}),randbetween(1,8),N197)</f>
        <v>7</v>
      </c>
      <c r="O197" s="5">
        <f t="array" ref="O197">if(or({attackroll;'Dice and Macros'!$F$4:$F$11;macroroll}),randbetween(1,10),O197)</f>
        <v>10</v>
      </c>
      <c r="P197" s="5">
        <f t="array" ref="P197">if(or({attackroll;'Dice and Macros'!$F$4:$F$11;macroroll}),randbetween(1,12),P197)</f>
        <v>2</v>
      </c>
      <c r="Q197" s="5">
        <f t="array" ref="Q197">if(or({attackroll;'Dice and Macros'!$F$4:$F$11;macroroll}),randbetween(1,20),Q197)</f>
        <v>10</v>
      </c>
      <c r="R197" s="5">
        <f t="array" ref="R197">if(or({attackroll;'Dice and Macros'!$F$4:$F$11;macroroll}),randbetween(1,100),R197)</f>
        <v>84</v>
      </c>
      <c r="S197" s="5">
        <f t="array" ref="S197">if(or({attackroll;'Dice and Macros'!$F$4:$F$11;macroroll}),randbetween(1,'Dice and Macros'!$D$11),S197)</f>
        <v>0</v>
      </c>
    </row>
    <row r="198">
      <c r="B198" s="35" t="s">
        <v>243</v>
      </c>
      <c r="C198" s="10"/>
      <c r="D198" s="11"/>
      <c r="E198" s="42">
        <f>spellcasterlevel</f>
        <v>14</v>
      </c>
      <c r="F198" s="43" t="str">
        <f t="array" ref="F198">if(macroroll,dget( Sheet4!$AE$17:$AL$117,Sheet4!$AL$17,{"Number";randbetween(1,20)+80}),F198)</f>
        <v>Mishap</v>
      </c>
      <c r="G198" s="11"/>
      <c r="K198" s="5"/>
      <c r="L198" s="5">
        <f t="array" ref="L198">if(or({attackroll;'Dice and Macros'!$F$4:$F$11;macroroll}),randbetween(1,4),L198)</f>
        <v>2</v>
      </c>
      <c r="M198" s="5">
        <f t="array" ref="M198">if(or({attackroll;'Dice and Macros'!$F$4:$F$11;macroroll}),randbetween(1,6),M198)</f>
        <v>1</v>
      </c>
      <c r="N198" s="5">
        <f t="array" ref="N198">if(or({attackroll;'Dice and Macros'!$F$4:$F$11;macroroll}),randbetween(1,8),N198)</f>
        <v>2</v>
      </c>
      <c r="O198" s="5">
        <f t="array" ref="O198">if(or({attackroll;'Dice and Macros'!$F$4:$F$11;macroroll}),randbetween(1,10),O198)</f>
        <v>1</v>
      </c>
      <c r="P198" s="5">
        <f t="array" ref="P198">if(or({attackroll;'Dice and Macros'!$F$4:$F$11;macroroll}),randbetween(1,12),P198)</f>
        <v>3</v>
      </c>
      <c r="Q198" s="5">
        <f t="array" ref="Q198">if(or({attackroll;'Dice and Macros'!$F$4:$F$11;macroroll}),randbetween(1,20),Q198)</f>
        <v>13</v>
      </c>
      <c r="R198" s="5">
        <f t="array" ref="R198">if(or({attackroll;'Dice and Macros'!$F$4:$F$11;macroroll}),randbetween(1,100),R198)</f>
        <v>16</v>
      </c>
      <c r="S198" s="5">
        <f t="array" ref="S198">if(or({attackroll;'Dice and Macros'!$F$4:$F$11;macroroll}),randbetween(1,'Dice and Macros'!$D$11),S198)</f>
        <v>0</v>
      </c>
    </row>
    <row r="199">
      <c r="B199" s="17" t="s">
        <v>244</v>
      </c>
      <c r="C199" s="3"/>
      <c r="D199" s="4"/>
      <c r="E199" s="38">
        <f>spellcasterlevel</f>
        <v>14</v>
      </c>
      <c r="F199" s="47">
        <f>if(macroroll,(randbetween(1,10)*randbetween(1,10))/100,F199)</f>
        <v>0.12</v>
      </c>
      <c r="G199" s="4"/>
      <c r="K199" s="5"/>
      <c r="L199" s="5">
        <f t="array" ref="L199">if(or({attackroll;'Dice and Macros'!$F$4:$F$11;macroroll}),randbetween(1,4),L199)</f>
        <v>2</v>
      </c>
      <c r="M199" s="5">
        <f t="array" ref="M199">if(or({attackroll;'Dice and Macros'!$F$4:$F$11;macroroll}),randbetween(1,6),M199)</f>
        <v>5</v>
      </c>
      <c r="N199" s="5">
        <f t="array" ref="N199">if(or({attackroll;'Dice and Macros'!$F$4:$F$11;macroroll}),randbetween(1,8),N199)</f>
        <v>7</v>
      </c>
      <c r="O199" s="5">
        <f t="array" ref="O199">if(or({attackroll;'Dice and Macros'!$F$4:$F$11;macroroll}),randbetween(1,10),O199)</f>
        <v>2</v>
      </c>
      <c r="P199" s="5">
        <f t="array" ref="P199">if(or({attackroll;'Dice and Macros'!$F$4:$F$11;macroroll}),randbetween(1,12),P199)</f>
        <v>6</v>
      </c>
      <c r="Q199" s="5">
        <f t="array" ref="Q199">if(or({attackroll;'Dice and Macros'!$F$4:$F$11;macroroll}),randbetween(1,20),Q199)</f>
        <v>11</v>
      </c>
      <c r="R199" s="5">
        <f t="array" ref="R199">if(or({attackroll;'Dice and Macros'!$F$4:$F$11;macroroll}),randbetween(1,100),R199)</f>
        <v>49</v>
      </c>
      <c r="S199" s="5">
        <f t="array" ref="S199">if(or({attackroll;'Dice and Macros'!$F$4:$F$11;macroroll}),randbetween(1,'Dice and Macros'!$D$11),S199)</f>
        <v>0</v>
      </c>
    </row>
    <row r="200">
      <c r="B200" s="35" t="s">
        <v>245</v>
      </c>
      <c r="C200" s="10"/>
      <c r="D200" s="11"/>
      <c r="E200" s="42">
        <f>spellcasterlevel</f>
        <v>14</v>
      </c>
      <c r="F200" s="48">
        <f>if(macroroll,randbetween(1,10),F200)</f>
        <v>10</v>
      </c>
      <c r="G200" s="11"/>
      <c r="K200" s="5"/>
      <c r="L200" s="5">
        <f t="array" ref="L200">if(or({attackroll;'Dice and Macros'!$F$4:$F$11;macroroll}),randbetween(1,4),L200)</f>
        <v>1</v>
      </c>
      <c r="M200" s="5">
        <f t="array" ref="M200">if(or({attackroll;'Dice and Macros'!$F$4:$F$11;macroroll}),randbetween(1,6),M200)</f>
        <v>1</v>
      </c>
      <c r="N200" s="5">
        <f t="array" ref="N200">if(or({attackroll;'Dice and Macros'!$F$4:$F$11;macroroll}),randbetween(1,8),N200)</f>
        <v>8</v>
      </c>
      <c r="O200" s="5">
        <f t="array" ref="O200">if(or({attackroll;'Dice and Macros'!$F$4:$F$11;macroroll}),randbetween(1,10),O200)</f>
        <v>7</v>
      </c>
      <c r="P200" s="5">
        <f t="array" ref="P200">if(or({attackroll;'Dice and Macros'!$F$4:$F$11;macroroll}),randbetween(1,12),P200)</f>
        <v>5</v>
      </c>
      <c r="Q200" s="5">
        <f t="array" ref="Q200">if(or({attackroll;'Dice and Macros'!$F$4:$F$11;macroroll}),randbetween(1,20),Q200)</f>
        <v>19</v>
      </c>
      <c r="R200" s="5">
        <f t="array" ref="R200">if(or({attackroll;'Dice and Macros'!$F$4:$F$11;macroroll}),randbetween(1,100),R200)</f>
        <v>21</v>
      </c>
      <c r="S200" s="5">
        <f t="array" ref="S200">if(or({attackroll;'Dice and Macros'!$F$4:$F$11;macroroll}),randbetween(1,'Dice and Macros'!$D$11),S200)</f>
        <v>0</v>
      </c>
    </row>
    <row r="201">
      <c r="B201" s="17" t="s">
        <v>246</v>
      </c>
      <c r="C201" s="3"/>
      <c r="D201" s="4"/>
      <c r="E201" s="38">
        <f>spellcasterlevel</f>
        <v>14</v>
      </c>
      <c r="F201" s="49">
        <f>if(macroroll,randbetween(1,4)+1,F201)</f>
        <v>5</v>
      </c>
      <c r="G201" s="4"/>
      <c r="K201" s="5"/>
      <c r="L201" s="5">
        <f t="array" ref="L201">if(or({attackroll;'Dice and Macros'!$F$4:$F$11;macroroll}),randbetween(1,4),L201)</f>
        <v>2</v>
      </c>
      <c r="M201" s="5">
        <f t="array" ref="M201">if(or({attackroll;'Dice and Macros'!$F$4:$F$11;macroroll}),randbetween(1,6),M201)</f>
        <v>5</v>
      </c>
      <c r="N201" s="5">
        <f t="array" ref="N201">if(or({attackroll;'Dice and Macros'!$F$4:$F$11;macroroll}),randbetween(1,8),N201)</f>
        <v>8</v>
      </c>
      <c r="O201" s="5">
        <f t="array" ref="O201">if(or({attackroll;'Dice and Macros'!$F$4:$F$11;macroroll}),randbetween(1,10),O201)</f>
        <v>5</v>
      </c>
      <c r="P201" s="5">
        <f t="array" ref="P201">if(or({attackroll;'Dice and Macros'!$F$4:$F$11;macroroll}),randbetween(1,12),P201)</f>
        <v>2</v>
      </c>
      <c r="Q201" s="5">
        <f t="array" ref="Q201">if(or({attackroll;'Dice and Macros'!$F$4:$F$11;macroroll}),randbetween(1,20),Q201)</f>
        <v>15</v>
      </c>
      <c r="R201" s="5">
        <f t="array" ref="R201">if(or({attackroll;'Dice and Macros'!$F$4:$F$11;macroroll}),randbetween(1,100),R201)</f>
        <v>44</v>
      </c>
      <c r="S201" s="5">
        <f t="array" ref="S201">if(or({attackroll;'Dice and Macros'!$F$4:$F$11;macroroll}),randbetween(1,'Dice and Macros'!$D$11),S201)</f>
        <v>0</v>
      </c>
    </row>
    <row r="202">
      <c r="B202" s="35" t="s">
        <v>247</v>
      </c>
      <c r="C202" s="10"/>
      <c r="D202" s="11"/>
      <c r="E202" s="42">
        <f>spellcasterlevel</f>
        <v>14</v>
      </c>
      <c r="F202" s="48">
        <f>if(macroroll,randbetween(1,6),F202)</f>
        <v>5</v>
      </c>
      <c r="G202" s="11"/>
      <c r="K202" s="5"/>
      <c r="L202" s="5">
        <f t="array" ref="L202">if(or({attackroll;'Dice and Macros'!$F$4:$F$11;macroroll}),randbetween(1,4),L202)</f>
        <v>4</v>
      </c>
      <c r="M202" s="5">
        <f t="array" ref="M202">if(or({attackroll;'Dice and Macros'!$F$4:$F$11;macroroll}),randbetween(1,6),M202)</f>
        <v>4</v>
      </c>
      <c r="N202" s="5">
        <f t="array" ref="N202">if(or({attackroll;'Dice and Macros'!$F$4:$F$11;macroroll}),randbetween(1,8),N202)</f>
        <v>8</v>
      </c>
      <c r="O202" s="5">
        <f t="array" ref="O202">if(or({attackroll;'Dice and Macros'!$F$4:$F$11;macroroll}),randbetween(1,10),O202)</f>
        <v>9</v>
      </c>
      <c r="P202" s="5">
        <f t="array" ref="P202">if(or({attackroll;'Dice and Macros'!$F$4:$F$11;macroroll}),randbetween(1,12),P202)</f>
        <v>4</v>
      </c>
      <c r="Q202" s="5">
        <f t="array" ref="Q202">if(or({attackroll;'Dice and Macros'!$F$4:$F$11;macroroll}),randbetween(1,20),Q202)</f>
        <v>16</v>
      </c>
      <c r="R202" s="5">
        <f t="array" ref="R202">if(or({attackroll;'Dice and Macros'!$F$4:$F$11;macroroll}),randbetween(1,100),R202)</f>
        <v>63</v>
      </c>
      <c r="S202" s="5">
        <f t="array" ref="S202">if(or({attackroll;'Dice and Macros'!$F$4:$F$11;macroroll}),randbetween(1,'Dice and Macros'!$D$11),S202)</f>
        <v>0</v>
      </c>
    </row>
    <row r="203">
      <c r="B203" s="17" t="s">
        <v>248</v>
      </c>
      <c r="C203" s="3"/>
      <c r="D203" s="4"/>
      <c r="E203" s="38">
        <f>spellcasterlevel</f>
        <v>14</v>
      </c>
      <c r="F203" s="49">
        <f>if(macroroll,sum(indirect("m"&amp;$K$2):indirect("m"&amp;$K$2+7)),F203)</f>
        <v>23</v>
      </c>
      <c r="G203" s="4"/>
      <c r="K203" s="5"/>
      <c r="L203" s="5">
        <f t="array" ref="L203">if(or({attackroll;'Dice and Macros'!$F$4:$F$11;macroroll}),randbetween(1,4),L203)</f>
        <v>2</v>
      </c>
      <c r="M203" s="5">
        <f t="array" ref="M203">if(or({attackroll;'Dice and Macros'!$F$4:$F$11;macroroll}),randbetween(1,6),M203)</f>
        <v>6</v>
      </c>
      <c r="N203" s="5">
        <f t="array" ref="N203">if(or({attackroll;'Dice and Macros'!$F$4:$F$11;macroroll}),randbetween(1,8),N203)</f>
        <v>1</v>
      </c>
      <c r="O203" s="5">
        <f t="array" ref="O203">if(or({attackroll;'Dice and Macros'!$F$4:$F$11;macroroll}),randbetween(1,10),O203)</f>
        <v>8</v>
      </c>
      <c r="P203" s="5">
        <f t="array" ref="P203">if(or({attackroll;'Dice and Macros'!$F$4:$F$11;macroroll}),randbetween(1,12),P203)</f>
        <v>1</v>
      </c>
      <c r="Q203" s="5">
        <f t="array" ref="Q203">if(or({attackroll;'Dice and Macros'!$F$4:$F$11;macroroll}),randbetween(1,20),Q203)</f>
        <v>2</v>
      </c>
      <c r="R203" s="5">
        <f t="array" ref="R203">if(or({attackroll;'Dice and Macros'!$F$4:$F$11;macroroll}),randbetween(1,100),R203)</f>
        <v>38</v>
      </c>
      <c r="S203" s="5">
        <f t="array" ref="S203">if(or({attackroll;'Dice and Macros'!$F$4:$F$11;macroroll}),randbetween(1,'Dice and Macros'!$D$11),S203)</f>
        <v>0</v>
      </c>
    </row>
    <row r="204">
      <c r="B204" s="35" t="s">
        <v>249</v>
      </c>
      <c r="C204" s="10"/>
      <c r="D204" s="11"/>
      <c r="E204" s="24">
        <f>spellcasterlevel</f>
        <v>14</v>
      </c>
      <c r="F204" s="25" t="str">
        <f>if(macroroll,sum(indirect("n"&amp;$K$2):indirect("n"&amp;$K$2+min(4,floor(E204/2,1)-1)))&amp;" + "&amp;randbetween(1,6)&amp;" rounds",F204)</f>
        <v>24 + 1 rounds</v>
      </c>
      <c r="G204" s="11"/>
      <c r="K204" s="5"/>
      <c r="L204" s="5">
        <f t="array" ref="L204">if(or({attackroll;'Dice and Macros'!$F$4:$F$11;macroroll}),randbetween(1,4),L204)</f>
        <v>4</v>
      </c>
      <c r="M204" s="5">
        <f t="array" ref="M204">if(or({attackroll;'Dice and Macros'!$F$4:$F$11;macroroll}),randbetween(1,6),M204)</f>
        <v>3</v>
      </c>
      <c r="N204" s="5">
        <f t="array" ref="N204">if(or({attackroll;'Dice and Macros'!$F$4:$F$11;macroroll}),randbetween(1,8),N204)</f>
        <v>3</v>
      </c>
      <c r="O204" s="5">
        <f t="array" ref="O204">if(or({attackroll;'Dice and Macros'!$F$4:$F$11;macroroll}),randbetween(1,10),O204)</f>
        <v>10</v>
      </c>
      <c r="P204" s="5">
        <f t="array" ref="P204">if(or({attackroll;'Dice and Macros'!$F$4:$F$11;macroroll}),randbetween(1,12),P204)</f>
        <v>6</v>
      </c>
      <c r="Q204" s="5">
        <f t="array" ref="Q204">if(or({attackroll;'Dice and Macros'!$F$4:$F$11;macroroll}),randbetween(1,20),Q204)</f>
        <v>5</v>
      </c>
      <c r="R204" s="5">
        <f t="array" ref="R204">if(or({attackroll;'Dice and Macros'!$F$4:$F$11;macroroll}),randbetween(1,100),R204)</f>
        <v>27</v>
      </c>
      <c r="S204" s="5">
        <f t="array" ref="S204">if(or({attackroll;'Dice and Macros'!$F$4:$F$11;macroroll}),randbetween(1,'Dice and Macros'!$D$11),S204)</f>
        <v>0</v>
      </c>
    </row>
    <row r="205">
      <c r="B205" s="44" t="s">
        <v>250</v>
      </c>
      <c r="C205" s="3"/>
      <c r="D205" s="4"/>
      <c r="E205" s="14">
        <f>spellcasterlevel</f>
        <v>14</v>
      </c>
      <c r="F205" s="19" t="str">
        <f>if(macroroll,sum(indirect("m"&amp;$K$2):indirect("m"&amp;$K$2+min(9,E205-1)))&amp;" + "&amp;randbetween(1,6)&amp;" rounds",F205)</f>
        <v>26 + 4 rounds</v>
      </c>
      <c r="G205" s="4"/>
      <c r="K205" s="5"/>
      <c r="L205" s="5">
        <f t="array" ref="L205">if(or({attackroll;'Dice and Macros'!$F$4:$F$11;macroroll}),randbetween(1,4),L205)</f>
        <v>1</v>
      </c>
      <c r="M205" s="5">
        <f t="array" ref="M205">if(or({attackroll;'Dice and Macros'!$F$4:$F$11;macroroll}),randbetween(1,6),M205)</f>
        <v>3</v>
      </c>
      <c r="N205" s="5">
        <f t="array" ref="N205">if(or({attackroll;'Dice and Macros'!$F$4:$F$11;macroroll}),randbetween(1,8),N205)</f>
        <v>8</v>
      </c>
      <c r="O205" s="5">
        <f t="array" ref="O205">if(or({attackroll;'Dice and Macros'!$F$4:$F$11;macroroll}),randbetween(1,10),O205)</f>
        <v>8</v>
      </c>
      <c r="P205" s="5">
        <f t="array" ref="P205">if(or({attackroll;'Dice and Macros'!$F$4:$F$11;macroroll}),randbetween(1,12),P205)</f>
        <v>2</v>
      </c>
      <c r="Q205" s="5">
        <f t="array" ref="Q205">if(or({attackroll;'Dice and Macros'!$F$4:$F$11;macroroll}),randbetween(1,20),Q205)</f>
        <v>1</v>
      </c>
      <c r="R205" s="5">
        <f t="array" ref="R205">if(or({attackroll;'Dice and Macros'!$F$4:$F$11;macroroll}),randbetween(1,100),R205)</f>
        <v>6</v>
      </c>
      <c r="S205" s="5">
        <f t="array" ref="S205">if(or({attackroll;'Dice and Macros'!$F$4:$F$11;macroroll}),randbetween(1,'Dice and Macros'!$D$11),S205)</f>
        <v>0</v>
      </c>
    </row>
    <row r="206">
      <c r="B206" s="35" t="s">
        <v>251</v>
      </c>
      <c r="C206" s="10"/>
      <c r="D206" s="11"/>
      <c r="E206" s="24">
        <f>spellcasterlevel</f>
        <v>14</v>
      </c>
      <c r="F206" s="25">
        <f>if(macroroll,sum(indirect("m"&amp;$K$2):indirect("m"&amp;$K$2+min(9,floor(E206/2,1)-1))),F206)</f>
        <v>17</v>
      </c>
      <c r="G206" s="11"/>
      <c r="K206" s="5"/>
      <c r="L206" s="5">
        <f t="array" ref="L206">if(or({attackroll;'Dice and Macros'!$F$4:$F$11;macroroll}),randbetween(1,4),L206)</f>
        <v>4</v>
      </c>
      <c r="M206" s="5">
        <f t="array" ref="M206">if(or({attackroll;'Dice and Macros'!$F$4:$F$11;macroroll}),randbetween(1,6),M206)</f>
        <v>6</v>
      </c>
      <c r="N206" s="5">
        <f t="array" ref="N206">if(or({attackroll;'Dice and Macros'!$F$4:$F$11;macroroll}),randbetween(1,8),N206)</f>
        <v>7</v>
      </c>
      <c r="O206" s="5">
        <f t="array" ref="O206">if(or({attackroll;'Dice and Macros'!$F$4:$F$11;macroroll}),randbetween(1,10),O206)</f>
        <v>3</v>
      </c>
      <c r="P206" s="5">
        <f t="array" ref="P206">if(or({attackroll;'Dice and Macros'!$F$4:$F$11;macroroll}),randbetween(1,12),P206)</f>
        <v>7</v>
      </c>
      <c r="Q206" s="5">
        <f t="array" ref="Q206">if(or({attackroll;'Dice and Macros'!$F$4:$F$11;macroroll}),randbetween(1,20),Q206)</f>
        <v>12</v>
      </c>
      <c r="R206" s="5">
        <f t="array" ref="R206">if(or({attackroll;'Dice and Macros'!$F$4:$F$11;macroroll}),randbetween(1,100),R206)</f>
        <v>78</v>
      </c>
      <c r="S206" s="5">
        <f t="array" ref="S206">if(or({attackroll;'Dice and Macros'!$F$4:$F$11;macroroll}),randbetween(1,'Dice and Macros'!$D$11),S206)</f>
        <v>0</v>
      </c>
    </row>
    <row r="207">
      <c r="B207" s="17" t="s">
        <v>252</v>
      </c>
      <c r="C207" s="3"/>
      <c r="D207" s="4"/>
      <c r="E207" s="18">
        <f>spellcasterlevel</f>
        <v>14</v>
      </c>
      <c r="F207" s="19">
        <f>if(macroroll,randbetween(1,4),F207)</f>
        <v>4</v>
      </c>
      <c r="G207" s="4"/>
      <c r="K207" s="5"/>
      <c r="L207" s="5">
        <f t="array" ref="L207">if(or({attackroll;'Dice and Macros'!$F$4:$F$11;macroroll}),randbetween(1,4),L207)</f>
        <v>3</v>
      </c>
      <c r="M207" s="5">
        <f t="array" ref="M207">if(or({attackroll;'Dice and Macros'!$F$4:$F$11;macroroll}),randbetween(1,6),M207)</f>
        <v>3</v>
      </c>
      <c r="N207" s="5">
        <f t="array" ref="N207">if(or({attackroll;'Dice and Macros'!$F$4:$F$11;macroroll}),randbetween(1,8),N207)</f>
        <v>3</v>
      </c>
      <c r="O207" s="5">
        <f t="array" ref="O207">if(or({attackroll;'Dice and Macros'!$F$4:$F$11;macroroll}),randbetween(1,10),O207)</f>
        <v>9</v>
      </c>
      <c r="P207" s="5">
        <f t="array" ref="P207">if(or({attackroll;'Dice and Macros'!$F$4:$F$11;macroroll}),randbetween(1,12),P207)</f>
        <v>4</v>
      </c>
      <c r="Q207" s="5">
        <f t="array" ref="Q207">if(or({attackroll;'Dice and Macros'!$F$4:$F$11;macroroll}),randbetween(1,20),Q207)</f>
        <v>4</v>
      </c>
      <c r="R207" s="5">
        <f t="array" ref="R207">if(or({attackroll;'Dice and Macros'!$F$4:$F$11;macroroll}),randbetween(1,100),R207)</f>
        <v>76</v>
      </c>
      <c r="S207" s="5">
        <f t="array" ref="S207">if(or({attackroll;'Dice and Macros'!$F$4:$F$11;macroroll}),randbetween(1,'Dice and Macros'!$D$11),S207)</f>
        <v>0</v>
      </c>
    </row>
    <row r="208">
      <c r="B208" s="35" t="s">
        <v>253</v>
      </c>
      <c r="C208" s="10"/>
      <c r="D208" s="11"/>
      <c r="E208" s="24">
        <f>spellcasterlevel</f>
        <v>14</v>
      </c>
      <c r="F208" s="25">
        <f>if(macroroll,randbetween(1,4)+randbetween(1,4),F208)</f>
        <v>6</v>
      </c>
      <c r="G208" s="11"/>
      <c r="K208" s="5"/>
      <c r="L208" s="5">
        <f t="array" ref="L208">if(or({attackroll;'Dice and Macros'!$F$4:$F$11;macroroll}),randbetween(1,4),L208)</f>
        <v>2</v>
      </c>
      <c r="M208" s="5">
        <f t="array" ref="M208">if(or({attackroll;'Dice and Macros'!$F$4:$F$11;macroroll}),randbetween(1,6),M208)</f>
        <v>1</v>
      </c>
      <c r="N208" s="5">
        <f t="array" ref="N208">if(or({attackroll;'Dice and Macros'!$F$4:$F$11;macroroll}),randbetween(1,8),N208)</f>
        <v>3</v>
      </c>
      <c r="O208" s="5">
        <f t="array" ref="O208">if(or({attackroll;'Dice and Macros'!$F$4:$F$11;macroroll}),randbetween(1,10),O208)</f>
        <v>1</v>
      </c>
      <c r="P208" s="5">
        <f t="array" ref="P208">if(or({attackroll;'Dice and Macros'!$F$4:$F$11;macroroll}),randbetween(1,12),P208)</f>
        <v>11</v>
      </c>
      <c r="Q208" s="5">
        <f t="array" ref="Q208">if(or({attackroll;'Dice and Macros'!$F$4:$F$11;macroroll}),randbetween(1,20),Q208)</f>
        <v>8</v>
      </c>
      <c r="R208" s="5">
        <f t="array" ref="R208">if(or({attackroll;'Dice and Macros'!$F$4:$F$11;macroroll}),randbetween(1,100),R208)</f>
        <v>31</v>
      </c>
      <c r="S208" s="5">
        <f t="array" ref="S208">if(or({attackroll;'Dice and Macros'!$F$4:$F$11;macroroll}),randbetween(1,'Dice and Macros'!$D$11),S208)</f>
        <v>0</v>
      </c>
    </row>
    <row r="209">
      <c r="B209" s="17" t="s">
        <v>254</v>
      </c>
      <c r="C209" s="3"/>
      <c r="D209" s="4"/>
      <c r="E209" s="18">
        <f>spellcasterlevel</f>
        <v>14</v>
      </c>
      <c r="F209" s="19">
        <f>if(macroroll,randbetween(1,6)+randbetween(1,6)+min(E209,20),F209)</f>
        <v>17</v>
      </c>
      <c r="G209" s="4"/>
      <c r="K209" s="5"/>
      <c r="L209" s="5">
        <f t="array" ref="L209">if(or({attackroll;'Dice and Macros'!$F$4:$F$11;macroroll}),randbetween(1,4),L209)</f>
        <v>3</v>
      </c>
      <c r="M209" s="5">
        <f t="array" ref="M209">if(or({attackroll;'Dice and Macros'!$F$4:$F$11;macroroll}),randbetween(1,6),M209)</f>
        <v>5</v>
      </c>
      <c r="N209" s="5">
        <f t="array" ref="N209">if(or({attackroll;'Dice and Macros'!$F$4:$F$11;macroroll}),randbetween(1,8),N209)</f>
        <v>5</v>
      </c>
      <c r="O209" s="5">
        <f t="array" ref="O209">if(or({attackroll;'Dice and Macros'!$F$4:$F$11;macroroll}),randbetween(1,10),O209)</f>
        <v>4</v>
      </c>
      <c r="P209" s="5">
        <f t="array" ref="P209">if(or({attackroll;'Dice and Macros'!$F$4:$F$11;macroroll}),randbetween(1,12),P209)</f>
        <v>4</v>
      </c>
      <c r="Q209" s="5">
        <f t="array" ref="Q209">if(or({attackroll;'Dice and Macros'!$F$4:$F$11;macroroll}),randbetween(1,20),Q209)</f>
        <v>1</v>
      </c>
      <c r="R209" s="5">
        <f t="array" ref="R209">if(or({attackroll;'Dice and Macros'!$F$4:$F$11;macroroll}),randbetween(1,100),R209)</f>
        <v>31</v>
      </c>
      <c r="S209" s="5">
        <f t="array" ref="S209">if(or({attackroll;'Dice and Macros'!$F$4:$F$11;macroroll}),randbetween(1,'Dice and Macros'!$D$11),S209)</f>
        <v>0</v>
      </c>
    </row>
    <row r="210">
      <c r="B210" s="35" t="s">
        <v>255</v>
      </c>
      <c r="C210" s="10"/>
      <c r="D210" s="11"/>
      <c r="E210" s="24">
        <f>spellcasterlevel</f>
        <v>14</v>
      </c>
      <c r="F210" s="25">
        <f>if(macroroll,randbetween(1,6)+E210,F210)</f>
        <v>20</v>
      </c>
      <c r="G210" s="11"/>
      <c r="K210" s="5"/>
      <c r="L210" s="5">
        <f t="array" ref="L210">if(or({attackroll;'Dice and Macros'!$F$4:$F$11;macroroll}),randbetween(1,4),L210)</f>
        <v>2</v>
      </c>
      <c r="M210" s="5">
        <f t="array" ref="M210">if(or({attackroll;'Dice and Macros'!$F$4:$F$11;macroroll}),randbetween(1,6),M210)</f>
        <v>4</v>
      </c>
      <c r="N210" s="5">
        <f t="array" ref="N210">if(or({attackroll;'Dice and Macros'!$F$4:$F$11;macroroll}),randbetween(1,8),N210)</f>
        <v>1</v>
      </c>
      <c r="O210" s="5">
        <f t="array" ref="O210">if(or({attackroll;'Dice and Macros'!$F$4:$F$11;macroroll}),randbetween(1,10),O210)</f>
        <v>1</v>
      </c>
      <c r="P210" s="5">
        <f t="array" ref="P210">if(or({attackroll;'Dice and Macros'!$F$4:$F$11;macroroll}),randbetween(1,12),P210)</f>
        <v>1</v>
      </c>
      <c r="Q210" s="5">
        <f t="array" ref="Q210">if(or({attackroll;'Dice and Macros'!$F$4:$F$11;macroroll}),randbetween(1,20),Q210)</f>
        <v>19</v>
      </c>
      <c r="R210" s="5">
        <f t="array" ref="R210">if(or({attackroll;'Dice and Macros'!$F$4:$F$11;macroroll}),randbetween(1,100),R210)</f>
        <v>65</v>
      </c>
      <c r="S210" s="5">
        <f t="array" ref="S210">if(or({attackroll;'Dice and Macros'!$F$4:$F$11;macroroll}),randbetween(1,'Dice and Macros'!$D$11),S210)</f>
        <v>0</v>
      </c>
    </row>
    <row r="211">
      <c r="B211" s="17" t="s">
        <v>256</v>
      </c>
      <c r="C211" s="3"/>
      <c r="D211" s="4"/>
      <c r="E211" s="18">
        <f>spellcasterlevel</f>
        <v>14</v>
      </c>
      <c r="F211" s="19">
        <f>if(macroroll,sum(indirect("m"&amp;$K$2):indirect("m"&amp;$K$2+9)),F211)</f>
        <v>26</v>
      </c>
      <c r="G211" s="4"/>
      <c r="K211" s="5"/>
      <c r="L211" s="5">
        <f t="array" ref="L211">if(or({attackroll;'Dice and Macros'!$F$4:$F$11;macroroll}),randbetween(1,4),L211)</f>
        <v>3</v>
      </c>
      <c r="M211" s="5">
        <f t="array" ref="M211">if(or({attackroll;'Dice and Macros'!$F$4:$F$11;macroroll}),randbetween(1,6),M211)</f>
        <v>1</v>
      </c>
      <c r="N211" s="5">
        <f t="array" ref="N211">if(or({attackroll;'Dice and Macros'!$F$4:$F$11;macroroll}),randbetween(1,8),N211)</f>
        <v>2</v>
      </c>
      <c r="O211" s="5">
        <f t="array" ref="O211">if(or({attackroll;'Dice and Macros'!$F$4:$F$11;macroroll}),randbetween(1,10),O211)</f>
        <v>6</v>
      </c>
      <c r="P211" s="5">
        <f t="array" ref="P211">if(or({attackroll;'Dice and Macros'!$F$4:$F$11;macroroll}),randbetween(1,12),P211)</f>
        <v>12</v>
      </c>
      <c r="Q211" s="5">
        <f t="array" ref="Q211">if(or({attackroll;'Dice and Macros'!$F$4:$F$11;macroroll}),randbetween(1,20),Q211)</f>
        <v>10</v>
      </c>
      <c r="R211" s="5">
        <f t="array" ref="R211">if(or({attackroll;'Dice and Macros'!$F$4:$F$11;macroroll}),randbetween(1,100),R211)</f>
        <v>92</v>
      </c>
      <c r="S211" s="5">
        <f t="array" ref="S211">if(or({attackroll;'Dice and Macros'!$F$4:$F$11;macroroll}),randbetween(1,'Dice and Macros'!$D$11),S211)</f>
        <v>0</v>
      </c>
    </row>
    <row r="212">
      <c r="B212" s="35" t="s">
        <v>257</v>
      </c>
      <c r="C212" s="10"/>
      <c r="D212" s="11"/>
      <c r="E212" s="24">
        <f>spellcasterlevel</f>
        <v>14</v>
      </c>
      <c r="F212" s="25">
        <f>if(macroroll,randbetween(1,4)+randbetween(1,4),F212)</f>
        <v>5</v>
      </c>
      <c r="G212" s="11"/>
      <c r="K212" s="5"/>
      <c r="L212" s="5">
        <f t="array" ref="L212">if(or({attackroll;'Dice and Macros'!$F$4:$F$11;macroroll}),randbetween(1,4),L212)</f>
        <v>4</v>
      </c>
      <c r="M212" s="5">
        <f t="array" ref="M212">if(or({attackroll;'Dice and Macros'!$F$4:$F$11;macroroll}),randbetween(1,6),M212)</f>
        <v>6</v>
      </c>
      <c r="N212" s="5">
        <f t="array" ref="N212">if(or({attackroll;'Dice and Macros'!$F$4:$F$11;macroroll}),randbetween(1,8),N212)</f>
        <v>8</v>
      </c>
      <c r="O212" s="5">
        <f t="array" ref="O212">if(or({attackroll;'Dice and Macros'!$F$4:$F$11;macroroll}),randbetween(1,10),O212)</f>
        <v>9</v>
      </c>
      <c r="P212" s="5">
        <f t="array" ref="P212">if(or({attackroll;'Dice and Macros'!$F$4:$F$11;macroroll}),randbetween(1,12),P212)</f>
        <v>9</v>
      </c>
      <c r="Q212" s="5">
        <f t="array" ref="Q212">if(or({attackroll;'Dice and Macros'!$F$4:$F$11;macroroll}),randbetween(1,20),Q212)</f>
        <v>13</v>
      </c>
      <c r="R212" s="5">
        <f t="array" ref="R212">if(or({attackroll;'Dice and Macros'!$F$4:$F$11;macroroll}),randbetween(1,100),R212)</f>
        <v>1</v>
      </c>
      <c r="S212" s="5">
        <f t="array" ref="S212">if(or({attackroll;'Dice and Macros'!$F$4:$F$11;macroroll}),randbetween(1,'Dice and Macros'!$D$11),S212)</f>
        <v>0</v>
      </c>
    </row>
    <row r="213">
      <c r="B213" s="17" t="s">
        <v>258</v>
      </c>
      <c r="C213" s="3"/>
      <c r="D213" s="4"/>
      <c r="E213" s="18">
        <f>spellcasterlevel</f>
        <v>14</v>
      </c>
      <c r="F213" s="19" t="str">
        <f>if(macroroll,randbetween(1,6)+randbetween(1,6)+randbetween(1,6)&amp;", 1 S, "&amp;randbetween(1,4)&amp;" STR",F213)</f>
        <v>7, 1 S, 3 STR</v>
      </c>
      <c r="G213" s="4"/>
      <c r="K213" s="5"/>
      <c r="L213" s="5">
        <f t="array" ref="L213">if(or({attackroll;'Dice and Macros'!$F$4:$F$11;macroroll}),randbetween(1,4),L213)</f>
        <v>3</v>
      </c>
      <c r="M213" s="5">
        <f t="array" ref="M213">if(or({attackroll;'Dice and Macros'!$F$4:$F$11;macroroll}),randbetween(1,6),M213)</f>
        <v>2</v>
      </c>
      <c r="N213" s="5">
        <f t="array" ref="N213">if(or({attackroll;'Dice and Macros'!$F$4:$F$11;macroroll}),randbetween(1,8),N213)</f>
        <v>2</v>
      </c>
      <c r="O213" s="5">
        <f t="array" ref="O213">if(or({attackroll;'Dice and Macros'!$F$4:$F$11;macroroll}),randbetween(1,10),O213)</f>
        <v>10</v>
      </c>
      <c r="P213" s="5">
        <f t="array" ref="P213">if(or({attackroll;'Dice and Macros'!$F$4:$F$11;macroroll}),randbetween(1,12),P213)</f>
        <v>1</v>
      </c>
      <c r="Q213" s="5">
        <f t="array" ref="Q213">if(or({attackroll;'Dice and Macros'!$F$4:$F$11;macroroll}),randbetween(1,20),Q213)</f>
        <v>14</v>
      </c>
      <c r="R213" s="5">
        <f t="array" ref="R213">if(or({attackroll;'Dice and Macros'!$F$4:$F$11;macroroll}),randbetween(1,100),R213)</f>
        <v>28</v>
      </c>
      <c r="S213" s="5">
        <f t="array" ref="S213">if(or({attackroll;'Dice and Macros'!$F$4:$F$11;macroroll}),randbetween(1,'Dice and Macros'!$D$11),S213)</f>
        <v>0</v>
      </c>
    </row>
    <row r="214">
      <c r="B214" s="35" t="s">
        <v>259</v>
      </c>
      <c r="C214" s="10"/>
      <c r="D214" s="11"/>
      <c r="E214" s="24">
        <f>spellcasterlevel</f>
        <v>14</v>
      </c>
      <c r="F214" s="25">
        <f>if(macroroll,randbetween(1,3),F214)</f>
        <v>2</v>
      </c>
      <c r="G214" s="11"/>
      <c r="K214" s="5"/>
      <c r="L214" s="5">
        <f t="array" ref="L214">if(or({attackroll;'Dice and Macros'!$F$4:$F$11;macroroll}),randbetween(1,4),L214)</f>
        <v>4</v>
      </c>
      <c r="M214" s="5">
        <f t="array" ref="M214">if(or({attackroll;'Dice and Macros'!$F$4:$F$11;macroroll}),randbetween(1,6),M214)</f>
        <v>3</v>
      </c>
      <c r="N214" s="5">
        <f t="array" ref="N214">if(or({attackroll;'Dice and Macros'!$F$4:$F$11;macroroll}),randbetween(1,8),N214)</f>
        <v>7</v>
      </c>
      <c r="O214" s="5">
        <f t="array" ref="O214">if(or({attackroll;'Dice and Macros'!$F$4:$F$11;macroroll}),randbetween(1,10),O214)</f>
        <v>7</v>
      </c>
      <c r="P214" s="5">
        <f t="array" ref="P214">if(or({attackroll;'Dice and Macros'!$F$4:$F$11;macroroll}),randbetween(1,12),P214)</f>
        <v>6</v>
      </c>
      <c r="Q214" s="5">
        <f t="array" ref="Q214">if(or({attackroll;'Dice and Macros'!$F$4:$F$11;macroroll}),randbetween(1,20),Q214)</f>
        <v>13</v>
      </c>
      <c r="R214" s="5">
        <f t="array" ref="R214">if(or({attackroll;'Dice and Macros'!$F$4:$F$11;macroroll}),randbetween(1,100),R214)</f>
        <v>43</v>
      </c>
      <c r="S214" s="5">
        <f t="array" ref="S214">if(or({attackroll;'Dice and Macros'!$F$4:$F$11;macroroll}),randbetween(1,'Dice and Macros'!$D$11),S214)</f>
        <v>0</v>
      </c>
    </row>
    <row r="215">
      <c r="B215" s="17" t="s">
        <v>260</v>
      </c>
      <c r="C215" s="3"/>
      <c r="D215" s="4"/>
      <c r="E215" s="18">
        <f>spellcasterlevel</f>
        <v>14</v>
      </c>
      <c r="F215" s="19">
        <f>if(macroroll,randbetween(1,6)+randbetween(1,6)+randbetween(1,6),F215)</f>
        <v>12</v>
      </c>
      <c r="G215" s="4"/>
      <c r="K215" s="5"/>
      <c r="L215" s="5">
        <f t="array" ref="L215">if(or({attackroll;'Dice and Macros'!$F$4:$F$11;macroroll}),randbetween(1,4),L215)</f>
        <v>1</v>
      </c>
      <c r="M215" s="5">
        <f t="array" ref="M215">if(or({attackroll;'Dice and Macros'!$F$4:$F$11;macroroll}),randbetween(1,6),M215)</f>
        <v>2</v>
      </c>
      <c r="N215" s="5">
        <f t="array" ref="N215">if(or({attackroll;'Dice and Macros'!$F$4:$F$11;macroroll}),randbetween(1,8),N215)</f>
        <v>2</v>
      </c>
      <c r="O215" s="5">
        <f t="array" ref="O215">if(or({attackroll;'Dice and Macros'!$F$4:$F$11;macroroll}),randbetween(1,10),O215)</f>
        <v>10</v>
      </c>
      <c r="P215" s="5">
        <f t="array" ref="P215">if(or({attackroll;'Dice and Macros'!$F$4:$F$11;macroroll}),randbetween(1,12),P215)</f>
        <v>11</v>
      </c>
      <c r="Q215" s="5">
        <f t="array" ref="Q215">if(or({attackroll;'Dice and Macros'!$F$4:$F$11;macroroll}),randbetween(1,20),Q215)</f>
        <v>14</v>
      </c>
      <c r="R215" s="5">
        <f t="array" ref="R215">if(or({attackroll;'Dice and Macros'!$F$4:$F$11;macroroll}),randbetween(1,100),R215)</f>
        <v>72</v>
      </c>
      <c r="S215" s="5">
        <f t="array" ref="S215">if(or({attackroll;'Dice and Macros'!$F$4:$F$11;macroroll}),randbetween(1,'Dice and Macros'!$D$11),S215)</f>
        <v>0</v>
      </c>
    </row>
    <row r="216">
      <c r="B216" s="35" t="s">
        <v>261</v>
      </c>
      <c r="C216" s="10"/>
      <c r="D216" s="11"/>
      <c r="E216" s="24">
        <f>spellcasterlevel</f>
        <v>14</v>
      </c>
      <c r="F216" s="25">
        <f>if(macroroll,randbetween(1,8),F216)</f>
        <v>3</v>
      </c>
      <c r="G216" s="11"/>
      <c r="K216" s="5"/>
      <c r="L216" s="5">
        <f t="array" ref="L216">if(or({attackroll;'Dice and Macros'!$F$4:$F$11;macroroll}),randbetween(1,4),L216)</f>
        <v>2</v>
      </c>
      <c r="M216" s="5">
        <f t="array" ref="M216">if(or({attackroll;'Dice and Macros'!$F$4:$F$11;macroroll}),randbetween(1,6),M216)</f>
        <v>6</v>
      </c>
      <c r="N216" s="5">
        <f t="array" ref="N216">if(or({attackroll;'Dice and Macros'!$F$4:$F$11;macroroll}),randbetween(1,8),N216)</f>
        <v>6</v>
      </c>
      <c r="O216" s="5">
        <f t="array" ref="O216">if(or({attackroll;'Dice and Macros'!$F$4:$F$11;macroroll}),randbetween(1,10),O216)</f>
        <v>3</v>
      </c>
      <c r="P216" s="5">
        <f t="array" ref="P216">if(or({attackroll;'Dice and Macros'!$F$4:$F$11;macroroll}),randbetween(1,12),P216)</f>
        <v>7</v>
      </c>
      <c r="Q216" s="5">
        <f t="array" ref="Q216">if(or({attackroll;'Dice and Macros'!$F$4:$F$11;macroroll}),randbetween(1,20),Q216)</f>
        <v>10</v>
      </c>
      <c r="R216" s="5">
        <f t="array" ref="R216">if(or({attackroll;'Dice and Macros'!$F$4:$F$11;macroroll}),randbetween(1,100),R216)</f>
        <v>27</v>
      </c>
      <c r="S216" s="5">
        <f t="array" ref="S216">if(or({attackroll;'Dice and Macros'!$F$4:$F$11;macroroll}),randbetween(1,'Dice and Macros'!$D$11),S216)</f>
        <v>0</v>
      </c>
    </row>
    <row r="217">
      <c r="B217" s="17" t="s">
        <v>262</v>
      </c>
      <c r="C217" s="3"/>
      <c r="D217" s="4"/>
      <c r="E217" s="18">
        <f>spellcasterlevel</f>
        <v>14</v>
      </c>
      <c r="F217" s="19" t="str">
        <f>if(macroroll,randbetween(1,4)&amp;" D, 1 S, "&amp;randbetween(1,10)&amp;" P",F217)</f>
        <v>1 D, 1 S, 3 P</v>
      </c>
      <c r="G217" s="4"/>
      <c r="K217" s="5"/>
      <c r="L217" s="5">
        <f t="array" ref="L217">if(or({attackroll;'Dice and Macros'!$F$4:$F$11;macroroll}),randbetween(1,4),L217)</f>
        <v>3</v>
      </c>
      <c r="M217" s="5">
        <f t="array" ref="M217">if(or({attackroll;'Dice and Macros'!$F$4:$F$11;macroroll}),randbetween(1,6),M217)</f>
        <v>4</v>
      </c>
      <c r="N217" s="5">
        <f t="array" ref="N217">if(or({attackroll;'Dice and Macros'!$F$4:$F$11;macroroll}),randbetween(1,8),N217)</f>
        <v>4</v>
      </c>
      <c r="O217" s="5">
        <f t="array" ref="O217">if(or({attackroll;'Dice and Macros'!$F$4:$F$11;macroroll}),randbetween(1,10),O217)</f>
        <v>1</v>
      </c>
      <c r="P217" s="5">
        <f t="array" ref="P217">if(or({attackroll;'Dice and Macros'!$F$4:$F$11;macroroll}),randbetween(1,12),P217)</f>
        <v>4</v>
      </c>
      <c r="Q217" s="5">
        <f t="array" ref="Q217">if(or({attackroll;'Dice and Macros'!$F$4:$F$11;macroroll}),randbetween(1,20),Q217)</f>
        <v>19</v>
      </c>
      <c r="R217" s="5">
        <f t="array" ref="R217">if(or({attackroll;'Dice and Macros'!$F$4:$F$11;macroroll}),randbetween(1,100),R217)</f>
        <v>95</v>
      </c>
      <c r="S217" s="5">
        <f t="array" ref="S217">if(or({attackroll;'Dice and Macros'!$F$4:$F$11;macroroll}),randbetween(1,'Dice and Macros'!$D$11),S217)</f>
        <v>0</v>
      </c>
    </row>
  </sheetData>
  <mergeCells count="605">
    <mergeCell ref="B2:G2"/>
    <mergeCell ref="U2:Z2"/>
    <mergeCell ref="U3:W3"/>
    <mergeCell ref="Y3:Z3"/>
    <mergeCell ref="U4:W4"/>
    <mergeCell ref="Y4:Z4"/>
    <mergeCell ref="Y5:Z5"/>
    <mergeCell ref="Y8:Z8"/>
    <mergeCell ref="Y9:Z9"/>
    <mergeCell ref="U10:W10"/>
    <mergeCell ref="Y10:Z10"/>
    <mergeCell ref="U11:W11"/>
    <mergeCell ref="Y11:Z11"/>
    <mergeCell ref="U12:W12"/>
    <mergeCell ref="B13:G13"/>
    <mergeCell ref="U13:W13"/>
    <mergeCell ref="B14:D14"/>
    <mergeCell ref="F14:G14"/>
    <mergeCell ref="B15:D15"/>
    <mergeCell ref="F15:G15"/>
    <mergeCell ref="B16:D16"/>
    <mergeCell ref="F16:G16"/>
    <mergeCell ref="F17:G17"/>
    <mergeCell ref="U5:W5"/>
    <mergeCell ref="U6:W6"/>
    <mergeCell ref="Y6:Z6"/>
    <mergeCell ref="U7:W7"/>
    <mergeCell ref="Y7:Z7"/>
    <mergeCell ref="U8:W8"/>
    <mergeCell ref="U9:W9"/>
    <mergeCell ref="F29:G29"/>
    <mergeCell ref="F30:G30"/>
    <mergeCell ref="F18:G18"/>
    <mergeCell ref="F19:G19"/>
    <mergeCell ref="F20:G20"/>
    <mergeCell ref="F21:G21"/>
    <mergeCell ref="F22:G22"/>
    <mergeCell ref="F23:G23"/>
    <mergeCell ref="F24:G24"/>
    <mergeCell ref="F25:G25"/>
    <mergeCell ref="F26:G26"/>
    <mergeCell ref="F27:G27"/>
    <mergeCell ref="F28:G28"/>
    <mergeCell ref="Y28:Z28"/>
    <mergeCell ref="Y29:Z29"/>
    <mergeCell ref="Y31:Z31"/>
    <mergeCell ref="U29:W29"/>
    <mergeCell ref="U30:W30"/>
    <mergeCell ref="Y30:Z30"/>
    <mergeCell ref="Y32:Z32"/>
    <mergeCell ref="Y33:Z33"/>
    <mergeCell ref="Y34:Z34"/>
    <mergeCell ref="Y35:Z35"/>
    <mergeCell ref="F31:G31"/>
    <mergeCell ref="F32:G32"/>
    <mergeCell ref="F33:G33"/>
    <mergeCell ref="F34:G34"/>
    <mergeCell ref="F35:G35"/>
    <mergeCell ref="F36:G36"/>
    <mergeCell ref="F37:G37"/>
    <mergeCell ref="F45:G45"/>
    <mergeCell ref="F46:G46"/>
    <mergeCell ref="F47:G47"/>
    <mergeCell ref="F48:G48"/>
    <mergeCell ref="F49:G49"/>
    <mergeCell ref="F50:G50"/>
    <mergeCell ref="F38:G38"/>
    <mergeCell ref="F39:G39"/>
    <mergeCell ref="F40:G40"/>
    <mergeCell ref="F41:G41"/>
    <mergeCell ref="F42:G42"/>
    <mergeCell ref="F43:G43"/>
    <mergeCell ref="F44:G44"/>
    <mergeCell ref="U49:W49"/>
    <mergeCell ref="U50:W50"/>
    <mergeCell ref="U28:W28"/>
    <mergeCell ref="U31:W31"/>
    <mergeCell ref="U32:W32"/>
    <mergeCell ref="U33:W33"/>
    <mergeCell ref="U34:W34"/>
    <mergeCell ref="U35:W35"/>
    <mergeCell ref="U36:W36"/>
    <mergeCell ref="Y72:Z72"/>
    <mergeCell ref="Y73:Z73"/>
    <mergeCell ref="U68:W68"/>
    <mergeCell ref="U69:W69"/>
    <mergeCell ref="U70:W70"/>
    <mergeCell ref="U71:W71"/>
    <mergeCell ref="Y71:Z71"/>
    <mergeCell ref="U72:W72"/>
    <mergeCell ref="U73:W73"/>
    <mergeCell ref="U77:W77"/>
    <mergeCell ref="U78:W78"/>
    <mergeCell ref="U79:W79"/>
    <mergeCell ref="U74:W74"/>
    <mergeCell ref="Y74:Z74"/>
    <mergeCell ref="U75:W75"/>
    <mergeCell ref="Y75:Z75"/>
    <mergeCell ref="U76:W76"/>
    <mergeCell ref="Y76:Z76"/>
    <mergeCell ref="Y77:Z77"/>
    <mergeCell ref="U82:W82"/>
    <mergeCell ref="U83:W83"/>
    <mergeCell ref="U84:W84"/>
    <mergeCell ref="Y78:Z78"/>
    <mergeCell ref="Y79:Z79"/>
    <mergeCell ref="U80:W80"/>
    <mergeCell ref="Y80:Z80"/>
    <mergeCell ref="U81:W81"/>
    <mergeCell ref="Y81:Z81"/>
    <mergeCell ref="Y82:Z82"/>
    <mergeCell ref="U87:W87"/>
    <mergeCell ref="U88:W88"/>
    <mergeCell ref="U89:W89"/>
    <mergeCell ref="Y83:Z83"/>
    <mergeCell ref="Y84:Z84"/>
    <mergeCell ref="U85:W85"/>
    <mergeCell ref="Y85:Z85"/>
    <mergeCell ref="U86:W86"/>
    <mergeCell ref="Y86:Z86"/>
    <mergeCell ref="Y87:Z87"/>
    <mergeCell ref="U92:W92"/>
    <mergeCell ref="U93:W93"/>
    <mergeCell ref="U94:W94"/>
    <mergeCell ref="Y88:Z88"/>
    <mergeCell ref="Y89:Z89"/>
    <mergeCell ref="U90:W90"/>
    <mergeCell ref="Y90:Z90"/>
    <mergeCell ref="U91:W91"/>
    <mergeCell ref="Y91:Z91"/>
    <mergeCell ref="Y92:Z92"/>
    <mergeCell ref="U97:W97"/>
    <mergeCell ref="U98:W98"/>
    <mergeCell ref="U99:W99"/>
    <mergeCell ref="Y93:Z93"/>
    <mergeCell ref="Y94:Z94"/>
    <mergeCell ref="U95:W95"/>
    <mergeCell ref="Y95:Z95"/>
    <mergeCell ref="U96:W96"/>
    <mergeCell ref="Y96:Z96"/>
    <mergeCell ref="Y97:Z97"/>
    <mergeCell ref="Y47:Z47"/>
    <mergeCell ref="Y48:Z48"/>
    <mergeCell ref="Y43:Z43"/>
    <mergeCell ref="Y44:Z44"/>
    <mergeCell ref="Y45:Z45"/>
    <mergeCell ref="U46:W46"/>
    <mergeCell ref="Y46:Z46"/>
    <mergeCell ref="U47:W47"/>
    <mergeCell ref="U48:W48"/>
    <mergeCell ref="U51:W51"/>
    <mergeCell ref="Y51:Z51"/>
    <mergeCell ref="U52:W52"/>
    <mergeCell ref="Y52:Z52"/>
    <mergeCell ref="U53:W53"/>
    <mergeCell ref="Y53:Z53"/>
    <mergeCell ref="Y54:Z54"/>
    <mergeCell ref="U54:W54"/>
    <mergeCell ref="U55:W55"/>
    <mergeCell ref="U56:W56"/>
    <mergeCell ref="U57:W57"/>
    <mergeCell ref="U58:W58"/>
    <mergeCell ref="U59:W59"/>
    <mergeCell ref="U60:W60"/>
    <mergeCell ref="Y55:Z55"/>
    <mergeCell ref="Y56:Z56"/>
    <mergeCell ref="Y57:Z57"/>
    <mergeCell ref="Y58:Z58"/>
    <mergeCell ref="Y59:Z59"/>
    <mergeCell ref="Y60:Z60"/>
    <mergeCell ref="Y61:Z61"/>
    <mergeCell ref="U61:W61"/>
    <mergeCell ref="U62:W62"/>
    <mergeCell ref="U63:W63"/>
    <mergeCell ref="U64:W64"/>
    <mergeCell ref="U65:W65"/>
    <mergeCell ref="U66:W66"/>
    <mergeCell ref="U67:W67"/>
    <mergeCell ref="Y98:Z98"/>
    <mergeCell ref="Y99:Z99"/>
    <mergeCell ref="U16:W16"/>
    <mergeCell ref="U17:W17"/>
    <mergeCell ref="U18:W18"/>
    <mergeCell ref="Y12:Z12"/>
    <mergeCell ref="Y13:Z13"/>
    <mergeCell ref="U14:W14"/>
    <mergeCell ref="Y14:Z14"/>
    <mergeCell ref="U15:W15"/>
    <mergeCell ref="Y15:Z15"/>
    <mergeCell ref="Y16:Z16"/>
    <mergeCell ref="U21:W21"/>
    <mergeCell ref="U22:W22"/>
    <mergeCell ref="Y17:Z17"/>
    <mergeCell ref="Y18:Z18"/>
    <mergeCell ref="U19:W19"/>
    <mergeCell ref="Y19:Z19"/>
    <mergeCell ref="U20:W20"/>
    <mergeCell ref="Y20:Z20"/>
    <mergeCell ref="Y21:Z21"/>
    <mergeCell ref="Y22:Z22"/>
    <mergeCell ref="U26:W26"/>
    <mergeCell ref="U27:W27"/>
    <mergeCell ref="U23:W23"/>
    <mergeCell ref="Y23:Z23"/>
    <mergeCell ref="U24:W24"/>
    <mergeCell ref="Y24:Z24"/>
    <mergeCell ref="U25:W25"/>
    <mergeCell ref="Y25:Z25"/>
    <mergeCell ref="Y26:Z26"/>
    <mergeCell ref="Y27:Z27"/>
    <mergeCell ref="U44:W44"/>
    <mergeCell ref="U45:W45"/>
    <mergeCell ref="U37:W37"/>
    <mergeCell ref="U38:W38"/>
    <mergeCell ref="U39:W39"/>
    <mergeCell ref="U40:W40"/>
    <mergeCell ref="U41:W41"/>
    <mergeCell ref="U42:W42"/>
    <mergeCell ref="U43:W43"/>
    <mergeCell ref="Y49:Z49"/>
    <mergeCell ref="Y50:Z50"/>
    <mergeCell ref="Y36:Z36"/>
    <mergeCell ref="Y37:Z37"/>
    <mergeCell ref="Y38:Z38"/>
    <mergeCell ref="Y39:Z39"/>
    <mergeCell ref="Y40:Z40"/>
    <mergeCell ref="Y41:Z41"/>
    <mergeCell ref="Y42:Z42"/>
    <mergeCell ref="F59:G59"/>
    <mergeCell ref="F60:G60"/>
    <mergeCell ref="F52:G52"/>
    <mergeCell ref="F53:G53"/>
    <mergeCell ref="F54:G54"/>
    <mergeCell ref="F55:G55"/>
    <mergeCell ref="F56:G56"/>
    <mergeCell ref="F57:G57"/>
    <mergeCell ref="F58:G58"/>
    <mergeCell ref="Y69:Z69"/>
    <mergeCell ref="Y70:Z70"/>
    <mergeCell ref="Y62:Z62"/>
    <mergeCell ref="Y63:Z63"/>
    <mergeCell ref="Y64:Z64"/>
    <mergeCell ref="Y65:Z65"/>
    <mergeCell ref="Y66:Z66"/>
    <mergeCell ref="Y67:Z67"/>
    <mergeCell ref="Y68:Z68"/>
    <mergeCell ref="F62:G62"/>
    <mergeCell ref="F63:G63"/>
    <mergeCell ref="B58:D58"/>
    <mergeCell ref="B59:D59"/>
    <mergeCell ref="B60:D60"/>
    <mergeCell ref="B61:D61"/>
    <mergeCell ref="F61:G61"/>
    <mergeCell ref="B62:D62"/>
    <mergeCell ref="B63:D63"/>
    <mergeCell ref="B67:D67"/>
    <mergeCell ref="B68:D68"/>
    <mergeCell ref="B69:D69"/>
    <mergeCell ref="B64:D64"/>
    <mergeCell ref="F64:G64"/>
    <mergeCell ref="B65:D65"/>
    <mergeCell ref="F65:G65"/>
    <mergeCell ref="B66:D66"/>
    <mergeCell ref="F66:G66"/>
    <mergeCell ref="F67:G67"/>
    <mergeCell ref="B72:D72"/>
    <mergeCell ref="B73:D73"/>
    <mergeCell ref="B74:D74"/>
    <mergeCell ref="F68:G68"/>
    <mergeCell ref="F69:G69"/>
    <mergeCell ref="B70:D70"/>
    <mergeCell ref="F70:G70"/>
    <mergeCell ref="B71:D71"/>
    <mergeCell ref="F71:G71"/>
    <mergeCell ref="F72:G72"/>
    <mergeCell ref="B77:D77"/>
    <mergeCell ref="B78:D78"/>
    <mergeCell ref="B79:D79"/>
    <mergeCell ref="F73:G73"/>
    <mergeCell ref="F74:G74"/>
    <mergeCell ref="B75:D75"/>
    <mergeCell ref="F75:G75"/>
    <mergeCell ref="B76:D76"/>
    <mergeCell ref="F76:G76"/>
    <mergeCell ref="F77:G77"/>
    <mergeCell ref="B82:D82"/>
    <mergeCell ref="B83:D83"/>
    <mergeCell ref="B84:D84"/>
    <mergeCell ref="F78:G78"/>
    <mergeCell ref="F79:G79"/>
    <mergeCell ref="B80:D80"/>
    <mergeCell ref="F80:G80"/>
    <mergeCell ref="B81:D81"/>
    <mergeCell ref="F81:G81"/>
    <mergeCell ref="F82:G82"/>
    <mergeCell ref="B87:D87"/>
    <mergeCell ref="B88:D88"/>
    <mergeCell ref="B89:D89"/>
    <mergeCell ref="F83:G83"/>
    <mergeCell ref="F84:G84"/>
    <mergeCell ref="B85:D85"/>
    <mergeCell ref="F85:G85"/>
    <mergeCell ref="B86:D86"/>
    <mergeCell ref="F86:G86"/>
    <mergeCell ref="F87:G87"/>
    <mergeCell ref="B92:D92"/>
    <mergeCell ref="B93:D93"/>
    <mergeCell ref="B94:D94"/>
    <mergeCell ref="F88:G88"/>
    <mergeCell ref="F89:G89"/>
    <mergeCell ref="B90:D90"/>
    <mergeCell ref="F90:G90"/>
    <mergeCell ref="B91:D91"/>
    <mergeCell ref="F91:G91"/>
    <mergeCell ref="F92:G92"/>
    <mergeCell ref="B97:D97"/>
    <mergeCell ref="B98:D98"/>
    <mergeCell ref="B99:D99"/>
    <mergeCell ref="F93:G93"/>
    <mergeCell ref="F94:G94"/>
    <mergeCell ref="B95:D95"/>
    <mergeCell ref="F95:G95"/>
    <mergeCell ref="B96:D96"/>
    <mergeCell ref="F96:G96"/>
    <mergeCell ref="F97:G97"/>
    <mergeCell ref="B102:D102"/>
    <mergeCell ref="B103:D103"/>
    <mergeCell ref="B104:D104"/>
    <mergeCell ref="F98:G98"/>
    <mergeCell ref="F99:G99"/>
    <mergeCell ref="B100:D100"/>
    <mergeCell ref="F100:G100"/>
    <mergeCell ref="B101:D101"/>
    <mergeCell ref="F101:G101"/>
    <mergeCell ref="F102:G102"/>
    <mergeCell ref="B107:D107"/>
    <mergeCell ref="B108:D108"/>
    <mergeCell ref="B109:D109"/>
    <mergeCell ref="F103:G103"/>
    <mergeCell ref="F104:G104"/>
    <mergeCell ref="B105:D105"/>
    <mergeCell ref="F105:G105"/>
    <mergeCell ref="B106:D106"/>
    <mergeCell ref="F106:G106"/>
    <mergeCell ref="F107:G107"/>
    <mergeCell ref="B112:D112"/>
    <mergeCell ref="B113:D113"/>
    <mergeCell ref="B114:D114"/>
    <mergeCell ref="F108:G108"/>
    <mergeCell ref="F109:G109"/>
    <mergeCell ref="B110:D110"/>
    <mergeCell ref="F110:G110"/>
    <mergeCell ref="B111:D111"/>
    <mergeCell ref="F111:G111"/>
    <mergeCell ref="F112:G112"/>
    <mergeCell ref="B117:D117"/>
    <mergeCell ref="B118:D118"/>
    <mergeCell ref="B119:D119"/>
    <mergeCell ref="F113:G113"/>
    <mergeCell ref="F114:G114"/>
    <mergeCell ref="B115:D115"/>
    <mergeCell ref="F115:G115"/>
    <mergeCell ref="B116:D116"/>
    <mergeCell ref="F116:G116"/>
    <mergeCell ref="F117:G117"/>
    <mergeCell ref="B122:D122"/>
    <mergeCell ref="B123:D123"/>
    <mergeCell ref="B124:D124"/>
    <mergeCell ref="F118:G118"/>
    <mergeCell ref="F119:G119"/>
    <mergeCell ref="B120:D120"/>
    <mergeCell ref="F120:G120"/>
    <mergeCell ref="B121:D121"/>
    <mergeCell ref="F121:G121"/>
    <mergeCell ref="F122:G122"/>
    <mergeCell ref="B127:D127"/>
    <mergeCell ref="B128:D128"/>
    <mergeCell ref="B129:D129"/>
    <mergeCell ref="F123:G123"/>
    <mergeCell ref="F124:G124"/>
    <mergeCell ref="B125:D125"/>
    <mergeCell ref="F125:G125"/>
    <mergeCell ref="B126:D126"/>
    <mergeCell ref="F126:G126"/>
    <mergeCell ref="F127:G127"/>
    <mergeCell ref="B132:D132"/>
    <mergeCell ref="B133:D133"/>
    <mergeCell ref="B134:D134"/>
    <mergeCell ref="F128:G128"/>
    <mergeCell ref="F129:G129"/>
    <mergeCell ref="B130:D130"/>
    <mergeCell ref="F130:G130"/>
    <mergeCell ref="B131:D131"/>
    <mergeCell ref="F131:G131"/>
    <mergeCell ref="F132:G132"/>
    <mergeCell ref="B137:D137"/>
    <mergeCell ref="B138:D138"/>
    <mergeCell ref="B139:D139"/>
    <mergeCell ref="F133:G133"/>
    <mergeCell ref="F134:G134"/>
    <mergeCell ref="B135:D135"/>
    <mergeCell ref="F135:G135"/>
    <mergeCell ref="B136:D136"/>
    <mergeCell ref="F136:G136"/>
    <mergeCell ref="F137:G137"/>
    <mergeCell ref="B142:D142"/>
    <mergeCell ref="B143:D143"/>
    <mergeCell ref="B144:D144"/>
    <mergeCell ref="F138:G138"/>
    <mergeCell ref="F139:G139"/>
    <mergeCell ref="B140:D140"/>
    <mergeCell ref="F140:G140"/>
    <mergeCell ref="B141:D141"/>
    <mergeCell ref="F141:G141"/>
    <mergeCell ref="F142:G142"/>
    <mergeCell ref="B147:D147"/>
    <mergeCell ref="B148:D148"/>
    <mergeCell ref="B149:D149"/>
    <mergeCell ref="F143:G143"/>
    <mergeCell ref="F144:G144"/>
    <mergeCell ref="B145:D145"/>
    <mergeCell ref="F145:G145"/>
    <mergeCell ref="B146:D146"/>
    <mergeCell ref="F146:G146"/>
    <mergeCell ref="F147:G147"/>
    <mergeCell ref="B152:D152"/>
    <mergeCell ref="B153:D153"/>
    <mergeCell ref="B154:D154"/>
    <mergeCell ref="F148:G148"/>
    <mergeCell ref="F149:G149"/>
    <mergeCell ref="B150:D150"/>
    <mergeCell ref="F150:G150"/>
    <mergeCell ref="B151:D151"/>
    <mergeCell ref="F151:G151"/>
    <mergeCell ref="F152:G152"/>
    <mergeCell ref="B157:D157"/>
    <mergeCell ref="B158:D158"/>
    <mergeCell ref="B159:D159"/>
    <mergeCell ref="F153:G153"/>
    <mergeCell ref="F154:G154"/>
    <mergeCell ref="B155:D155"/>
    <mergeCell ref="F155:G155"/>
    <mergeCell ref="B156:D156"/>
    <mergeCell ref="F156:G156"/>
    <mergeCell ref="F157:G157"/>
    <mergeCell ref="B162:D162"/>
    <mergeCell ref="B163:D163"/>
    <mergeCell ref="B164:D164"/>
    <mergeCell ref="F158:G158"/>
    <mergeCell ref="F159:G159"/>
    <mergeCell ref="B160:D160"/>
    <mergeCell ref="F160:G160"/>
    <mergeCell ref="B161:D161"/>
    <mergeCell ref="F161:G161"/>
    <mergeCell ref="F162:G162"/>
    <mergeCell ref="B202:D202"/>
    <mergeCell ref="B203:D203"/>
    <mergeCell ref="B204:D204"/>
    <mergeCell ref="F198:G198"/>
    <mergeCell ref="F199:G199"/>
    <mergeCell ref="B200:D200"/>
    <mergeCell ref="F200:G200"/>
    <mergeCell ref="B201:D201"/>
    <mergeCell ref="F201:G201"/>
    <mergeCell ref="F202:G202"/>
    <mergeCell ref="B207:D207"/>
    <mergeCell ref="B208:D208"/>
    <mergeCell ref="B209:D209"/>
    <mergeCell ref="F203:G203"/>
    <mergeCell ref="F204:G204"/>
    <mergeCell ref="B205:D205"/>
    <mergeCell ref="F205:G205"/>
    <mergeCell ref="B206:D206"/>
    <mergeCell ref="F206:G206"/>
    <mergeCell ref="F207:G207"/>
    <mergeCell ref="B212:D212"/>
    <mergeCell ref="B213:D213"/>
    <mergeCell ref="B214:D214"/>
    <mergeCell ref="F208:G208"/>
    <mergeCell ref="F209:G209"/>
    <mergeCell ref="B210:D210"/>
    <mergeCell ref="F210:G210"/>
    <mergeCell ref="B211:D211"/>
    <mergeCell ref="F211:G211"/>
    <mergeCell ref="F212:G212"/>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F51:G51"/>
    <mergeCell ref="B51:D51"/>
    <mergeCell ref="B52:D52"/>
    <mergeCell ref="B53:D53"/>
    <mergeCell ref="B54:D54"/>
    <mergeCell ref="B55:D55"/>
    <mergeCell ref="B56:D56"/>
    <mergeCell ref="B57:D57"/>
    <mergeCell ref="F213:G213"/>
    <mergeCell ref="F214:G214"/>
    <mergeCell ref="B215:D215"/>
    <mergeCell ref="F215:G215"/>
    <mergeCell ref="B216:D216"/>
    <mergeCell ref="F216:G216"/>
    <mergeCell ref="B217:D217"/>
    <mergeCell ref="F217:G217"/>
    <mergeCell ref="B167:D167"/>
    <mergeCell ref="B168:D168"/>
    <mergeCell ref="B169:D169"/>
    <mergeCell ref="F163:G163"/>
    <mergeCell ref="F164:G164"/>
    <mergeCell ref="B165:D165"/>
    <mergeCell ref="F165:G165"/>
    <mergeCell ref="B166:D166"/>
    <mergeCell ref="F166:G166"/>
    <mergeCell ref="F167:G167"/>
    <mergeCell ref="B172:D172"/>
    <mergeCell ref="B173:D173"/>
    <mergeCell ref="B174:D174"/>
    <mergeCell ref="F168:G168"/>
    <mergeCell ref="F169:G169"/>
    <mergeCell ref="B170:D170"/>
    <mergeCell ref="F170:G170"/>
    <mergeCell ref="B171:D171"/>
    <mergeCell ref="F171:G171"/>
    <mergeCell ref="F172:G172"/>
    <mergeCell ref="B177:D177"/>
    <mergeCell ref="B178:D178"/>
    <mergeCell ref="B179:D179"/>
    <mergeCell ref="F173:G173"/>
    <mergeCell ref="F174:G174"/>
    <mergeCell ref="B175:D175"/>
    <mergeCell ref="F175:G175"/>
    <mergeCell ref="B176:D176"/>
    <mergeCell ref="F176:G176"/>
    <mergeCell ref="F177:G177"/>
    <mergeCell ref="B182:D182"/>
    <mergeCell ref="B183:D183"/>
    <mergeCell ref="B184:D184"/>
    <mergeCell ref="F178:G178"/>
    <mergeCell ref="F179:G179"/>
    <mergeCell ref="B180:D180"/>
    <mergeCell ref="F180:G180"/>
    <mergeCell ref="B181:D181"/>
    <mergeCell ref="F181:G181"/>
    <mergeCell ref="F182:G182"/>
    <mergeCell ref="B187:D187"/>
    <mergeCell ref="B188:D188"/>
    <mergeCell ref="B189:D189"/>
    <mergeCell ref="F183:G183"/>
    <mergeCell ref="F184:G184"/>
    <mergeCell ref="B185:D185"/>
    <mergeCell ref="F185:G185"/>
    <mergeCell ref="B186:D186"/>
    <mergeCell ref="F186:G186"/>
    <mergeCell ref="F187:G187"/>
    <mergeCell ref="B192:D192"/>
    <mergeCell ref="B193:D193"/>
    <mergeCell ref="B194:D194"/>
    <mergeCell ref="F188:G188"/>
    <mergeCell ref="F189:G189"/>
    <mergeCell ref="B190:D190"/>
    <mergeCell ref="F190:G190"/>
    <mergeCell ref="B191:D191"/>
    <mergeCell ref="F191:G191"/>
    <mergeCell ref="F192:G192"/>
    <mergeCell ref="B197:D197"/>
    <mergeCell ref="B198:D198"/>
    <mergeCell ref="B199:D199"/>
    <mergeCell ref="F193:G193"/>
    <mergeCell ref="F194:G194"/>
    <mergeCell ref="B195:D195"/>
    <mergeCell ref="F195:G195"/>
    <mergeCell ref="B196:D196"/>
    <mergeCell ref="F196:G196"/>
    <mergeCell ref="F197:G197"/>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29"/>
    <col customWidth="1" min="2" max="2" width="17.71"/>
    <col customWidth="1" min="3" max="3" width="11.14"/>
    <col customWidth="1" min="4" max="4" width="1.29"/>
    <col customWidth="1" min="5" max="5" width="16.29"/>
    <col customWidth="1" min="6" max="6" width="7.57"/>
    <col customWidth="1" min="7" max="7" width="14.86"/>
    <col customWidth="1" min="8" max="8" width="3.71"/>
    <col customWidth="1" min="9" max="9" width="2.29"/>
    <col customWidth="1" min="10" max="10" width="3.71"/>
    <col customWidth="1" min="11" max="11" width="1.29"/>
    <col customWidth="1" min="12" max="12" width="21.43"/>
    <col customWidth="1" min="13" max="13" width="7.0"/>
    <col customWidth="1" min="14" max="14" width="17.29"/>
    <col customWidth="1" min="15" max="15" width="3.71"/>
    <col customWidth="1" min="16" max="16" width="2.29"/>
    <col customWidth="1" min="17" max="17" width="3.71"/>
    <col customWidth="1" min="18" max="18" width="1.29"/>
    <col customWidth="1" min="19" max="19" width="14.71"/>
    <col customWidth="1" min="20" max="20" width="13.57"/>
    <col customWidth="1" min="21" max="21" width="1.29"/>
    <col customWidth="1" min="22" max="22" width="14.86"/>
    <col customWidth="1" min="23" max="23" width="12.0"/>
    <col customWidth="1" min="24" max="24" width="1.29"/>
    <col customWidth="1" min="25" max="25" width="13.14"/>
    <col customWidth="1" min="26" max="26" width="11.0"/>
    <col customWidth="1" min="27" max="27" width="1.29"/>
    <col customWidth="1" min="28" max="28" width="18.71"/>
    <col customWidth="1" min="29" max="29" width="13.0"/>
    <col customWidth="1" min="30" max="30" width="4.0"/>
    <col customWidth="1" min="31" max="31" width="1.29"/>
  </cols>
  <sheetData>
    <row r="1" ht="7.5" customHeight="1">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row>
    <row r="2">
      <c r="A2" s="50"/>
      <c r="B2" s="51" t="s">
        <v>263</v>
      </c>
      <c r="C2" s="4"/>
      <c r="D2" s="52"/>
      <c r="E2" s="51" t="s">
        <v>264</v>
      </c>
      <c r="F2" s="3"/>
      <c r="G2" s="3"/>
      <c r="H2" s="3"/>
      <c r="I2" s="3"/>
      <c r="J2" s="3"/>
      <c r="K2" s="3"/>
      <c r="L2" s="3"/>
      <c r="M2" s="3"/>
      <c r="N2" s="3"/>
      <c r="O2" s="3"/>
      <c r="P2" s="3"/>
      <c r="Q2" s="3"/>
      <c r="R2" s="3"/>
      <c r="S2" s="3"/>
      <c r="T2" s="3"/>
      <c r="U2" s="3"/>
      <c r="V2" s="3"/>
      <c r="W2" s="3"/>
      <c r="X2" s="3"/>
      <c r="Y2" s="3"/>
      <c r="Z2" s="4"/>
      <c r="AA2" s="53"/>
      <c r="AB2" s="51" t="s">
        <v>265</v>
      </c>
      <c r="AC2" s="3"/>
      <c r="AD2" s="4"/>
      <c r="AE2" s="54"/>
    </row>
    <row r="3">
      <c r="A3" s="50"/>
      <c r="B3" s="55" t="s">
        <v>266</v>
      </c>
      <c r="C3" s="55" t="s">
        <v>267</v>
      </c>
      <c r="D3" s="56"/>
      <c r="E3" s="55" t="s">
        <v>268</v>
      </c>
      <c r="F3" s="57" t="s">
        <v>269</v>
      </c>
      <c r="G3" s="55" t="s">
        <v>270</v>
      </c>
      <c r="H3" s="57" t="s">
        <v>271</v>
      </c>
      <c r="I3" s="10"/>
      <c r="J3" s="10"/>
      <c r="K3" s="11"/>
      <c r="L3" s="55" t="s">
        <v>272</v>
      </c>
      <c r="M3" s="55" t="s">
        <v>273</v>
      </c>
      <c r="N3" s="55" t="s">
        <v>274</v>
      </c>
      <c r="O3" s="57" t="s">
        <v>275</v>
      </c>
      <c r="P3" s="10"/>
      <c r="Q3" s="10"/>
      <c r="R3" s="11"/>
      <c r="S3" s="55" t="s">
        <v>276</v>
      </c>
      <c r="T3" s="58" t="s">
        <v>277</v>
      </c>
      <c r="U3" s="11"/>
      <c r="V3" s="55" t="s">
        <v>278</v>
      </c>
      <c r="W3" s="59" t="s">
        <v>279</v>
      </c>
      <c r="X3" s="57" t="s">
        <v>280</v>
      </c>
      <c r="Y3" s="11"/>
      <c r="Z3" s="55" t="s">
        <v>281</v>
      </c>
      <c r="AA3" s="60"/>
      <c r="AB3" s="61" t="s">
        <v>282</v>
      </c>
      <c r="AC3" s="11"/>
      <c r="AD3" s="55" t="b">
        <v>0</v>
      </c>
      <c r="AE3" s="62"/>
    </row>
    <row r="4">
      <c r="A4" s="50"/>
      <c r="B4" s="63" t="s">
        <v>283</v>
      </c>
      <c r="C4" s="63">
        <v>0.0</v>
      </c>
      <c r="D4" s="56"/>
      <c r="E4" s="63" t="s">
        <v>284</v>
      </c>
      <c r="F4" s="63">
        <v>10.0</v>
      </c>
      <c r="G4" s="64">
        <f>max(0,
if('Spell Switchboard'!D11,4,0),
if('Spell Switchboard'!D25,6,0),
if('Spell Switchboard'!I14,6,0),
if('Spell Switchboard'!N32,4,0))</f>
        <v>0</v>
      </c>
      <c r="H4" s="65"/>
      <c r="I4" s="3"/>
      <c r="J4" s="3"/>
      <c r="K4" s="4"/>
      <c r="L4" s="64"/>
      <c r="M4" s="64">
        <f>max(0,
if('Spell Switchboard'!N9,2,0))</f>
        <v>0</v>
      </c>
      <c r="N4" s="64"/>
      <c r="O4" s="65" t="str">
        <f>if(or(C8="Gnome",C8="Halfling"),-2,if(C8="Half-Orc",2,))</f>
        <v/>
      </c>
      <c r="P4" s="3"/>
      <c r="Q4" s="3"/>
      <c r="R4" s="4"/>
      <c r="S4" s="66"/>
      <c r="T4" s="67">
        <f>max(0,
if('Spell Switchboard'!D29,2,0),
if('Spell Switchboard'!N13,4,0))
+
if('Spell Switchboard'!N11,-2,0)</f>
        <v>0</v>
      </c>
      <c r="U4" s="4"/>
      <c r="V4" s="66"/>
      <c r="W4" s="68">
        <f t="array" ref="W4">if('Class Abilities'!P11,
if(iferror(dget(Main!$B$3:$C$6,Main!$C$3,{"Class";"Barbarian"}),0)&gt;=20,8,
if(iferror(dget(Main!$B$3:$C$6,Main!$C$3,{"Class";"Barbarian"}),0)&gt;=11,6,4)),0)
+
if(AD13,-2,0)
+
if('Class Abilities'!P19,iferror(dget(Main!$B$3:$C$6,Main!$C$3,{"Class";"Cleric"}),0),0)
+
if('Spell Switchboard'!D9="STR Drain",-6,0)
+
if('Spell Switchboard'!D18&gt;0,2,0)
+
-abs('Spell Switchboard'!N10)
+
-abs('Spell Switchboard'!N28)
+
if(AD11,-6,0)</f>
        <v>0</v>
      </c>
      <c r="X4" s="69">
        <f>if(AD18,0,SUM(F4:W4))</f>
        <v>10</v>
      </c>
      <c r="Y4" s="4"/>
      <c r="Z4" s="66">
        <f>_xlfn.FLOOR.MATH((X4-10)/2)</f>
        <v>0</v>
      </c>
      <c r="AA4" s="60"/>
      <c r="AB4" s="70" t="s">
        <v>285</v>
      </c>
      <c r="AC4" s="4"/>
      <c r="AD4" s="63" t="b">
        <v>0</v>
      </c>
      <c r="AE4" s="62"/>
    </row>
    <row r="5">
      <c r="A5" s="50"/>
      <c r="B5" s="71" t="s">
        <v>286</v>
      </c>
      <c r="C5" s="55">
        <v>0.0</v>
      </c>
      <c r="D5" s="72"/>
      <c r="E5" s="73" t="s">
        <v>287</v>
      </c>
      <c r="F5" s="55">
        <v>10.0</v>
      </c>
      <c r="G5" s="74">
        <f>max(0,
if('Spell Switchboard'!D14,4,0),
if('Spell Switchboard'!N32,4,0))</f>
        <v>0</v>
      </c>
      <c r="H5" s="75"/>
      <c r="I5" s="10"/>
      <c r="J5" s="10"/>
      <c r="K5" s="11"/>
      <c r="L5" s="76"/>
      <c r="M5" s="76"/>
      <c r="N5" s="76"/>
      <c r="O5" s="75" t="str">
        <f>if(or(C8="Elf",C8="Halfling"),2,)</f>
        <v/>
      </c>
      <c r="P5" s="10"/>
      <c r="Q5" s="10"/>
      <c r="R5" s="11"/>
      <c r="S5" s="77"/>
      <c r="T5" s="78">
        <f>if('Spell Switchboard'!D29,-2,0)
+
if('Spell Switchboard'!N11,2,0)</f>
        <v>0</v>
      </c>
      <c r="U5" s="11"/>
      <c r="V5" s="77"/>
      <c r="W5" s="79">
        <f>if(AD13,-2,0)
+
if('Spell Switchboard'!D9="DEX Drain",-6,0)
+
if('Spell Switchboard'!I14,-6,0)
+
if($AD$10,-4,0)
+
if(AD11,-6,0)</f>
        <v>0</v>
      </c>
      <c r="X5" s="80">
        <f>if(or('Spell Switchboard'!N37,and(AD16,AB16="Helpless"),AD18),0,SUM(F5:W5))</f>
        <v>10</v>
      </c>
      <c r="Y5" s="11"/>
      <c r="Z5" s="77">
        <f>FLOOR((X5-10)/2,1)</f>
        <v>0</v>
      </c>
      <c r="AA5" s="60"/>
      <c r="AB5" s="61" t="s">
        <v>288</v>
      </c>
      <c r="AC5" s="11"/>
      <c r="AD5" s="55" t="b">
        <v>0</v>
      </c>
      <c r="AE5" s="62"/>
    </row>
    <row r="6">
      <c r="A6" s="50"/>
      <c r="B6" s="63" t="s">
        <v>289</v>
      </c>
      <c r="C6" s="63">
        <v>0.0</v>
      </c>
      <c r="D6" s="56"/>
      <c r="E6" s="81" t="s">
        <v>290</v>
      </c>
      <c r="F6" s="63">
        <v>10.0</v>
      </c>
      <c r="G6" s="64">
        <f>max(0,
if('Spell Switchboard'!D8,4,0),
if('Spell Switchboard'!N32,4,0))</f>
        <v>0</v>
      </c>
      <c r="H6" s="82"/>
      <c r="I6" s="3"/>
      <c r="J6" s="3"/>
      <c r="K6" s="4"/>
      <c r="L6" s="83"/>
      <c r="M6" s="83">
        <f>max(0,
if('Spell Switchboard'!N9,2,0))</f>
        <v>0</v>
      </c>
      <c r="N6" s="83"/>
      <c r="O6" s="82" t="str">
        <f>if(or(C8="Dwarf",C8="Gnome"),2,if(C8="Elf",-2,))</f>
        <v/>
      </c>
      <c r="P6" s="3"/>
      <c r="Q6" s="3"/>
      <c r="R6" s="4"/>
      <c r="S6" s="84"/>
      <c r="T6" s="85">
        <f>max(0,
if('Spell Switchboard'!N13,2,0))</f>
        <v>0</v>
      </c>
      <c r="U6" s="4"/>
      <c r="V6" s="84"/>
      <c r="W6" s="86">
        <f t="array" ref="W6">if('Class Abilities'!P11,
if(iferror(dget(Main!$B$3:$C$6,Main!$C$3,{"Class";"Barbarian"}),0)&gt;=20,8,
if(iferror(dget(Main!$B$3:$C$6,Main!$C$3,{"Class";"Barbarian"}),0)&gt;=11,6,4)),0)
+
if('Spell Switchboard'!D9="CON Drain",-6,0)
+
if('Spell Switchboard'!I37,'Custom Dice Roller'!F121,0)
+
if('Spell Switchboard'!I38,'Custom Dice Roller'!F122,0)</f>
        <v>0</v>
      </c>
      <c r="X6" s="69">
        <f t="shared" ref="X6:X9" si="1">SUM(F6:W6)</f>
        <v>10</v>
      </c>
      <c r="Y6" s="4"/>
      <c r="Z6" s="84">
        <f t="shared" ref="Z6:Z9" si="2">_xlfn.FLOOR.MATH((X6-10)/2)</f>
        <v>0</v>
      </c>
      <c r="AA6" s="60"/>
      <c r="AB6" s="70" t="s">
        <v>291</v>
      </c>
      <c r="AC6" s="4"/>
      <c r="AD6" s="63" t="b">
        <v>0</v>
      </c>
      <c r="AE6" s="62"/>
    </row>
    <row r="7">
      <c r="A7" s="50"/>
      <c r="B7" s="55" t="s">
        <v>292</v>
      </c>
      <c r="C7" s="87">
        <f>Sum(C4:C6)
+
if($AD$9&gt;0,-abs($AD$9),0)</f>
        <v>0</v>
      </c>
      <c r="D7" s="56"/>
      <c r="E7" s="73" t="s">
        <v>293</v>
      </c>
      <c r="F7" s="55">
        <v>10.0</v>
      </c>
      <c r="G7" s="74">
        <f>max(0,
if('Spell Switchboard'!D35,4,0))</f>
        <v>0</v>
      </c>
      <c r="H7" s="75"/>
      <c r="I7" s="10"/>
      <c r="J7" s="10"/>
      <c r="K7" s="11"/>
      <c r="L7" s="76"/>
      <c r="M7" s="76"/>
      <c r="N7" s="76"/>
      <c r="O7" s="75" t="str">
        <f>if(C8="Half-Orc",-2,)</f>
        <v/>
      </c>
      <c r="P7" s="10"/>
      <c r="Q7" s="10"/>
      <c r="R7" s="11"/>
      <c r="S7" s="77"/>
      <c r="T7" s="78"/>
      <c r="U7" s="11"/>
      <c r="V7" s="77"/>
      <c r="W7" s="79">
        <f>if('Spell Switchboard'!D9="INT Drain",-6,0)
+
-abs('Spell Switchboard'!N31)</f>
        <v>0</v>
      </c>
      <c r="X7" s="80">
        <f t="shared" si="1"/>
        <v>10</v>
      </c>
      <c r="Y7" s="11"/>
      <c r="Z7" s="77">
        <f t="shared" si="2"/>
        <v>0</v>
      </c>
      <c r="AA7" s="60"/>
      <c r="AB7" s="61" t="s">
        <v>294</v>
      </c>
      <c r="AC7" s="11"/>
      <c r="AD7" s="55" t="b">
        <v>0</v>
      </c>
      <c r="AE7" s="62"/>
    </row>
    <row r="8">
      <c r="A8" s="50"/>
      <c r="B8" s="88" t="s">
        <v>295</v>
      </c>
      <c r="C8" s="88"/>
      <c r="D8" s="56"/>
      <c r="E8" s="81" t="s">
        <v>296</v>
      </c>
      <c r="F8" s="63">
        <v>10.0</v>
      </c>
      <c r="G8" s="64">
        <f>max(0,
if('Spell Switchboard'!I34,4,0))</f>
        <v>0</v>
      </c>
      <c r="H8" s="82"/>
      <c r="I8" s="3"/>
      <c r="J8" s="3"/>
      <c r="K8" s="4"/>
      <c r="L8" s="83"/>
      <c r="M8" s="83"/>
      <c r="N8" s="83"/>
      <c r="O8" s="82"/>
      <c r="P8" s="3"/>
      <c r="Q8" s="3"/>
      <c r="R8" s="4"/>
      <c r="S8" s="83"/>
      <c r="T8" s="89"/>
      <c r="U8" s="4"/>
      <c r="V8" s="84"/>
      <c r="W8" s="86">
        <f>if('Spell Switchboard'!D9="WIS Drain",-6,0)
+
-abs('Spell Switchboard'!N31)</f>
        <v>0</v>
      </c>
      <c r="X8" s="69">
        <f t="shared" si="1"/>
        <v>10</v>
      </c>
      <c r="Y8" s="4"/>
      <c r="Z8" s="84">
        <f t="shared" si="2"/>
        <v>0</v>
      </c>
      <c r="AA8" s="60"/>
      <c r="AB8" s="70" t="s">
        <v>297</v>
      </c>
      <c r="AC8" s="4"/>
      <c r="AD8" s="63" t="b">
        <v>0</v>
      </c>
      <c r="AE8" s="90"/>
    </row>
    <row r="9">
      <c r="A9" s="91"/>
      <c r="B9" s="55" t="s">
        <v>298</v>
      </c>
      <c r="C9" s="87"/>
      <c r="D9" s="92"/>
      <c r="E9" s="55" t="s">
        <v>299</v>
      </c>
      <c r="F9" s="55">
        <v>10.0</v>
      </c>
      <c r="G9" s="74">
        <f>max(0,
if('Spell Switchboard'!D28,4,0))</f>
        <v>0</v>
      </c>
      <c r="H9" s="93"/>
      <c r="I9" s="10"/>
      <c r="J9" s="10"/>
      <c r="K9" s="11"/>
      <c r="L9" s="74"/>
      <c r="M9" s="74"/>
      <c r="N9" s="74"/>
      <c r="O9" s="93" t="str">
        <f>if(or(C8="Dwarf",C8="Half-Orc"),-2,)</f>
        <v/>
      </c>
      <c r="P9" s="10"/>
      <c r="Q9" s="10"/>
      <c r="R9" s="11"/>
      <c r="S9" s="74"/>
      <c r="T9" s="94"/>
      <c r="U9" s="11"/>
      <c r="V9" s="95"/>
      <c r="W9" s="96">
        <f>if('Spell Switchboard'!D9="CHA Drain",-6,0)
+
-abs('Spell Switchboard'!N31)</f>
        <v>0</v>
      </c>
      <c r="X9" s="80">
        <f t="shared" si="1"/>
        <v>10</v>
      </c>
      <c r="Y9" s="11"/>
      <c r="Z9" s="95">
        <f t="shared" si="2"/>
        <v>0</v>
      </c>
      <c r="AA9" s="97"/>
      <c r="AB9" s="61" t="s">
        <v>300</v>
      </c>
      <c r="AC9" s="11"/>
      <c r="AD9" s="55">
        <v>0.0</v>
      </c>
      <c r="AE9" s="90"/>
    </row>
    <row r="10">
      <c r="A10" s="50"/>
      <c r="B10" s="63" t="s">
        <v>301</v>
      </c>
      <c r="C10" s="63"/>
      <c r="D10" s="98"/>
      <c r="AA10" s="98"/>
      <c r="AB10" s="70" t="s">
        <v>302</v>
      </c>
      <c r="AC10" s="4"/>
      <c r="AD10" s="63" t="b">
        <v>0</v>
      </c>
      <c r="AE10" s="62"/>
    </row>
    <row r="11">
      <c r="A11" s="50"/>
      <c r="B11" s="55" t="s">
        <v>303</v>
      </c>
      <c r="C11" s="55"/>
      <c r="D11" s="98"/>
      <c r="E11" s="99" t="s">
        <v>304</v>
      </c>
      <c r="F11" s="3"/>
      <c r="G11" s="38" t="s">
        <v>305</v>
      </c>
      <c r="H11" s="100">
        <v>1.0</v>
      </c>
      <c r="I11" s="101" t="s">
        <v>306</v>
      </c>
      <c r="J11" s="102">
        <v>6.0</v>
      </c>
      <c r="K11" s="103"/>
      <c r="L11" s="99" t="s">
        <v>307</v>
      </c>
      <c r="M11" s="3"/>
      <c r="N11" s="38" t="s">
        <v>305</v>
      </c>
      <c r="O11" s="100">
        <v>1.0</v>
      </c>
      <c r="P11" s="38" t="s">
        <v>306</v>
      </c>
      <c r="Q11" s="102">
        <v>6.0</v>
      </c>
      <c r="R11" s="103"/>
      <c r="S11" s="104" t="s">
        <v>308</v>
      </c>
      <c r="T11" s="4"/>
      <c r="U11" s="105"/>
      <c r="V11" s="99" t="s">
        <v>309</v>
      </c>
      <c r="W11" s="3"/>
      <c r="X11" s="3"/>
      <c r="Y11" s="3"/>
      <c r="Z11" s="4"/>
      <c r="AA11" s="98"/>
      <c r="AB11" s="61" t="s">
        <v>310</v>
      </c>
      <c r="AC11" s="11"/>
      <c r="AD11" s="55" t="b">
        <v>0</v>
      </c>
      <c r="AE11" s="62"/>
    </row>
    <row r="12">
      <c r="A12" s="50"/>
      <c r="B12" s="63" t="s">
        <v>311</v>
      </c>
      <c r="C12" s="106"/>
      <c r="D12" s="98"/>
      <c r="E12" s="107" t="s">
        <v>312</v>
      </c>
      <c r="F12" s="10"/>
      <c r="G12" s="107" t="s">
        <v>313</v>
      </c>
      <c r="H12" s="10"/>
      <c r="I12" s="10"/>
      <c r="J12" s="11"/>
      <c r="K12" s="103"/>
      <c r="L12" s="107" t="s">
        <v>314</v>
      </c>
      <c r="M12" s="10"/>
      <c r="N12" s="108" t="s">
        <v>315</v>
      </c>
      <c r="O12" s="10"/>
      <c r="P12" s="10"/>
      <c r="Q12" s="11"/>
      <c r="R12" s="103"/>
      <c r="S12" s="24" t="s">
        <v>316</v>
      </c>
      <c r="T12" s="24" t="s">
        <v>317</v>
      </c>
      <c r="U12" s="109"/>
      <c r="V12" s="110" t="s">
        <v>318</v>
      </c>
      <c r="W12" s="111" t="s">
        <v>319</v>
      </c>
      <c r="X12" s="11"/>
      <c r="Y12" s="42" t="s">
        <v>320</v>
      </c>
      <c r="Z12" s="42" t="s">
        <v>321</v>
      </c>
      <c r="AA12" s="98"/>
      <c r="AB12" s="70" t="s">
        <v>322</v>
      </c>
      <c r="AC12" s="4"/>
      <c r="AD12" s="63" t="b">
        <v>0</v>
      </c>
      <c r="AE12" s="112"/>
    </row>
    <row r="13">
      <c r="A13" s="50"/>
      <c r="B13" s="113" t="s">
        <v>323</v>
      </c>
      <c r="C13" s="55"/>
      <c r="D13" s="98"/>
      <c r="E13" s="114" t="s">
        <v>324</v>
      </c>
      <c r="F13" s="3"/>
      <c r="G13" s="115">
        <v>2.0</v>
      </c>
      <c r="H13" s="3"/>
      <c r="I13" s="3"/>
      <c r="J13" s="4"/>
      <c r="K13" s="116"/>
      <c r="L13" s="114" t="s">
        <v>325</v>
      </c>
      <c r="M13" s="3"/>
      <c r="N13" s="117" t="s">
        <v>326</v>
      </c>
      <c r="O13" s="3"/>
      <c r="P13" s="3"/>
      <c r="Q13" s="4"/>
      <c r="R13" s="116"/>
      <c r="S13" s="18" t="s">
        <v>327</v>
      </c>
      <c r="T13" s="18"/>
      <c r="U13" s="118"/>
      <c r="V13" s="63" t="s">
        <v>269</v>
      </c>
      <c r="W13" s="119" t="str">
        <f>IF(iserr(Fortitude),"Enter Class", Fortitude)</f>
        <v>Enter Class</v>
      </c>
      <c r="X13" s="4"/>
      <c r="Y13" s="120" t="str">
        <f>IF(iserr(Reflex),"Enter Class", Reflex)</f>
        <v>Enter Class</v>
      </c>
      <c r="Z13" s="120" t="str">
        <f>IF(iserr(Will),"Enter Class", Will)</f>
        <v>Enter Class</v>
      </c>
      <c r="AA13" s="98"/>
      <c r="AB13" s="57" t="s">
        <v>328</v>
      </c>
      <c r="AC13" s="11"/>
      <c r="AD13" s="55" t="b">
        <v>0</v>
      </c>
      <c r="AE13" s="62"/>
    </row>
    <row r="14">
      <c r="A14" s="50"/>
      <c r="B14" s="63" t="s">
        <v>277</v>
      </c>
      <c r="C14" s="121" t="s">
        <v>329</v>
      </c>
      <c r="D14" s="98"/>
      <c r="E14" s="107" t="s">
        <v>330</v>
      </c>
      <c r="F14" s="11"/>
      <c r="G14" s="122">
        <v>20.0</v>
      </c>
      <c r="H14" s="10"/>
      <c r="I14" s="10"/>
      <c r="J14" s="11"/>
      <c r="K14" s="123"/>
      <c r="L14" s="107" t="s">
        <v>331</v>
      </c>
      <c r="M14" s="10"/>
      <c r="N14" s="108">
        <v>0.0</v>
      </c>
      <c r="O14" s="10"/>
      <c r="P14" s="10"/>
      <c r="Q14" s="11"/>
      <c r="R14" s="123"/>
      <c r="S14" s="24" t="str">
        <f>"ASF"&amp;if('Spell Switchboard'!I14,": 50%","")</f>
        <v>ASF</v>
      </c>
      <c r="T14" s="124"/>
      <c r="U14" s="125"/>
      <c r="V14" s="55" t="s">
        <v>268</v>
      </c>
      <c r="W14" s="126">
        <f>Z6</f>
        <v>0</v>
      </c>
      <c r="X14" s="11"/>
      <c r="Y14" s="127">
        <f>Z5</f>
        <v>0</v>
      </c>
      <c r="Z14" s="127">
        <f>Z8</f>
        <v>0</v>
      </c>
      <c r="AA14" s="98"/>
      <c r="AB14" s="70" t="s">
        <v>332</v>
      </c>
      <c r="AC14" s="4"/>
      <c r="AD14" s="128" t="b">
        <v>0</v>
      </c>
      <c r="AE14" s="62"/>
    </row>
    <row r="15">
      <c r="A15" s="50"/>
      <c r="B15" s="55" t="s">
        <v>333</v>
      </c>
      <c r="C15" s="129" t="s">
        <v>334</v>
      </c>
      <c r="D15" s="98"/>
      <c r="E15" s="114" t="s">
        <v>335</v>
      </c>
      <c r="F15" s="4"/>
      <c r="G15" s="114" t="s">
        <v>336</v>
      </c>
      <c r="H15" s="3"/>
      <c r="I15" s="3"/>
      <c r="J15" s="4"/>
      <c r="K15" s="123"/>
      <c r="L15" s="114" t="s">
        <v>324</v>
      </c>
      <c r="M15" s="3"/>
      <c r="N15" s="115">
        <v>2.0</v>
      </c>
      <c r="O15" s="3"/>
      <c r="P15" s="3"/>
      <c r="Q15" s="4"/>
      <c r="R15" s="123"/>
      <c r="S15" s="18" t="s">
        <v>337</v>
      </c>
      <c r="T15" s="130"/>
      <c r="U15" s="125"/>
      <c r="V15" s="63" t="s">
        <v>278</v>
      </c>
      <c r="W15" s="119"/>
      <c r="X15" s="4"/>
      <c r="Y15" s="120"/>
      <c r="Z15" s="120"/>
      <c r="AA15" s="98"/>
      <c r="AB15" s="61" t="s">
        <v>338</v>
      </c>
      <c r="AC15" s="11"/>
      <c r="AD15" s="131" t="b">
        <v>0</v>
      </c>
      <c r="AE15" s="62"/>
    </row>
    <row r="16">
      <c r="A16" s="50"/>
      <c r="B16" s="63" t="s">
        <v>339</v>
      </c>
      <c r="C16" s="132"/>
      <c r="D16" s="98"/>
      <c r="E16" s="133" t="s">
        <v>340</v>
      </c>
      <c r="F16" s="74" t="str">
        <f>if('Spell Switchboard'!$D$25,$C$7,IF(ISErr(BAB),"NA",if('Spell Switchboard'!$N$32,$C$7,BAB)))</f>
        <v>NA</v>
      </c>
      <c r="G16" s="133" t="s">
        <v>284</v>
      </c>
      <c r="H16" s="134">
        <f t="array" ref="H16">Floor($Z$4*dget(Sheet4!$W$30:$AA$31,G12,{E12;"Multiplier"}),1)</f>
        <v>0</v>
      </c>
      <c r="I16" s="10"/>
      <c r="J16" s="11"/>
      <c r="K16" s="123"/>
      <c r="L16" s="107" t="s">
        <v>330</v>
      </c>
      <c r="M16" s="11"/>
      <c r="N16" s="122">
        <v>20.0</v>
      </c>
      <c r="O16" s="10"/>
      <c r="P16" s="10"/>
      <c r="Q16" s="11"/>
      <c r="R16" s="123"/>
      <c r="S16" s="110" t="s">
        <v>318</v>
      </c>
      <c r="T16" s="110" t="s">
        <v>341</v>
      </c>
      <c r="U16" s="118"/>
      <c r="V16" s="55" t="s">
        <v>342</v>
      </c>
      <c r="W16" s="126">
        <f>max(0,
if('Class Abilities'!P16,1,0),
if('Spell Switchboard'!N32,5,0))</f>
        <v>0</v>
      </c>
      <c r="X16" s="11"/>
      <c r="Y16" s="127"/>
      <c r="Z16" s="127">
        <f>max(0,
)
+if('Spell Switchboard'!I30,-10,0)</f>
        <v>0</v>
      </c>
      <c r="AA16" s="98"/>
      <c r="AB16" s="70" t="s">
        <v>343</v>
      </c>
      <c r="AC16" s="4"/>
      <c r="AD16" s="135" t="b">
        <v>0</v>
      </c>
      <c r="AE16" s="90"/>
    </row>
    <row r="17">
      <c r="A17" s="50"/>
      <c r="B17" s="55" t="s">
        <v>344</v>
      </c>
      <c r="C17" s="136"/>
      <c r="D17" s="98"/>
      <c r="E17" s="63" t="s">
        <v>284</v>
      </c>
      <c r="F17" s="66">
        <f>if(E17="Strength",$Z$4,$Z$5)</f>
        <v>0</v>
      </c>
      <c r="G17" s="137" t="s">
        <v>278</v>
      </c>
      <c r="H17" s="138"/>
      <c r="I17" s="3"/>
      <c r="J17" s="4"/>
      <c r="K17" s="123"/>
      <c r="L17" s="114" t="s">
        <v>335</v>
      </c>
      <c r="M17" s="4"/>
      <c r="N17" s="19" t="s">
        <v>336</v>
      </c>
      <c r="O17" s="3"/>
      <c r="P17" s="3"/>
      <c r="Q17" s="4"/>
      <c r="R17" s="123"/>
      <c r="S17" s="137" t="s">
        <v>345</v>
      </c>
      <c r="T17" s="64">
        <f>max(0,
if('Spell Switchboard'!I26,4,0))
+
if('Spell Switchboard'!$N$34,-2,0)
+
-abs('Spell Switchboard'!N35)</f>
        <v>0</v>
      </c>
      <c r="U17" s="118"/>
      <c r="V17" s="63" t="s">
        <v>346</v>
      </c>
      <c r="W17" s="139"/>
      <c r="X17" s="4"/>
      <c r="Y17" s="120">
        <f>max(0,
if('Spell Switchboard'!I3,1,0))</f>
        <v>0</v>
      </c>
      <c r="Z17" s="140"/>
      <c r="AA17" s="98"/>
      <c r="AB17" s="61" t="s">
        <v>347</v>
      </c>
      <c r="AC17" s="11"/>
      <c r="AD17" s="131" t="b">
        <v>0</v>
      </c>
      <c r="AE17" s="62"/>
    </row>
    <row r="18">
      <c r="A18" s="50"/>
      <c r="B18" s="63" t="s">
        <v>348</v>
      </c>
      <c r="C18" s="141"/>
      <c r="D18" s="98"/>
      <c r="E18" s="133" t="s">
        <v>278</v>
      </c>
      <c r="F18" s="95"/>
      <c r="G18" s="133" t="s">
        <v>270</v>
      </c>
      <c r="H18" s="93">
        <f>max(0,
if('Spell Switchboard'!$I$8,5,0),
if('Spell Switchboard'!$I$27,1,0),
if('Spell Switchboard'!$I$28,max(1,floor('Spell Switchboard'!$J$28/4,1))),
if('Spell Switchboard'!$N$20,1,0))</f>
        <v>0</v>
      </c>
      <c r="I18" s="10"/>
      <c r="J18" s="11"/>
      <c r="K18" s="123"/>
      <c r="L18" s="133" t="s">
        <v>340</v>
      </c>
      <c r="M18" s="74" t="str">
        <f>if('Spell Switchboard'!$D$25,$C$7,IF(ISErr(BAB),"NA",if('Spell Switchboard'!$N$32,$C$7,BAB)))</f>
        <v>NA</v>
      </c>
      <c r="N18" s="133" t="s">
        <v>284</v>
      </c>
      <c r="O18" s="93">
        <f>if(N12="Thrown",$Z$4,if(N13="Yes", min(N14,$Z$4),0))</f>
        <v>0</v>
      </c>
      <c r="P18" s="10"/>
      <c r="Q18" s="11"/>
      <c r="R18" s="123"/>
      <c r="S18" s="133" t="s">
        <v>287</v>
      </c>
      <c r="T18" s="74">
        <f>if(or(AD15,AD22),0,if(OR(AD5,AD6),min(Z5,0),min(if(C34=6, min(1,Z5),if(C34=3,min(3,Z5),Z5)),T15)))</f>
        <v>0</v>
      </c>
      <c r="U18" s="125"/>
      <c r="V18" s="55" t="s">
        <v>271</v>
      </c>
      <c r="W18" s="126">
        <f>max(0,
if('Spell Switchboard'!$I$31,'Spell Switchboard'!$J$31,0))</f>
        <v>0</v>
      </c>
      <c r="X18" s="11"/>
      <c r="Y18" s="127">
        <f>max(0,
if('Spell Switchboard'!$I$31,'Spell Switchboard'!$J$31,0))</f>
        <v>0</v>
      </c>
      <c r="Z18" s="127">
        <f>max(0,
if('Spell Switchboard'!$I$31,'Spell Switchboard'!$J$31,0))</f>
        <v>0</v>
      </c>
      <c r="AA18" s="98"/>
      <c r="AB18" s="70" t="s">
        <v>349</v>
      </c>
      <c r="AC18" s="4"/>
      <c r="AD18" s="135" t="b">
        <v>0</v>
      </c>
      <c r="AE18" s="62"/>
    </row>
    <row r="19">
      <c r="A19" s="50"/>
      <c r="B19" s="55" t="s">
        <v>350</v>
      </c>
      <c r="C19" s="142"/>
      <c r="D19" s="98"/>
      <c r="E19" s="137" t="s">
        <v>342</v>
      </c>
      <c r="F19" s="66">
        <f>max(0,
if('Class Abilities'!$P$16&gt;0,2,0),
if('Spell Switchboard'!$D$40,1,0))</f>
        <v>0</v>
      </c>
      <c r="G19" s="137" t="s">
        <v>271</v>
      </c>
      <c r="H19" s="138"/>
      <c r="I19" s="3"/>
      <c r="J19" s="4"/>
      <c r="K19" s="123"/>
      <c r="L19" s="63" t="s">
        <v>287</v>
      </c>
      <c r="M19" s="66">
        <f>if(L19="Strength",$Z$4,$Z$5)</f>
        <v>0</v>
      </c>
      <c r="N19" s="137" t="s">
        <v>278</v>
      </c>
      <c r="O19" s="138"/>
      <c r="P19" s="3"/>
      <c r="Q19" s="4"/>
      <c r="R19" s="123"/>
      <c r="S19" s="137" t="s">
        <v>278</v>
      </c>
      <c r="T19" s="66"/>
      <c r="U19" s="125"/>
      <c r="V19" s="63" t="s">
        <v>272</v>
      </c>
      <c r="W19" s="119">
        <f>max(0,
if('Spell Switchboard'!$I$39,1,0))
-
if('Spell Switchboard'!$I$40,1,0)</f>
        <v>0</v>
      </c>
      <c r="X19" s="4"/>
      <c r="Y19" s="120">
        <f>max(0,
if('Spell Switchboard'!$I$39,1,0))
-
if('Spell Switchboard'!$I$40,1,0)</f>
        <v>0</v>
      </c>
      <c r="Z19" s="120">
        <f>max(0,
if('Spell Switchboard'!$I$39,1,0))
-
if('Spell Switchboard'!$I$40,1,0)</f>
        <v>0</v>
      </c>
      <c r="AA19" s="98"/>
      <c r="AB19" s="61" t="s">
        <v>351</v>
      </c>
      <c r="AC19" s="11"/>
      <c r="AD19" s="143" t="b">
        <v>0</v>
      </c>
      <c r="AE19" s="62"/>
    </row>
    <row r="20">
      <c r="A20" s="50"/>
      <c r="B20" s="63" t="s">
        <v>352</v>
      </c>
      <c r="C20" s="144">
        <f>Copper*0.01+Silver*0.1+Gold+Platinum*10</f>
        <v>0</v>
      </c>
      <c r="D20" s="98"/>
      <c r="E20" s="133" t="s">
        <v>270</v>
      </c>
      <c r="F20" s="74">
        <f>max(0,
if('Spell Switchboard'!$I$8,5,0),
if('Spell Switchboard'!$I$27,1,0),
if('Spell Switchboard'!$I$28,max(1,floor('Spell Switchboard'!$J$28/4,1))),
if('Spell Switchboard'!$N$20,1,0))</f>
        <v>0</v>
      </c>
      <c r="G20" s="133" t="s">
        <v>272</v>
      </c>
      <c r="H20" s="93">
        <f>max(0,
if('Spell Switchboard'!$D$24,min(max(floor('Spell Switchboard'!$E$24/3,1),1),3),0),
if('Spell Switchboard'!$I$39,1,0))
-
if('Spell Switchboard'!$I$40,1,0)</f>
        <v>0</v>
      </c>
      <c r="I20" s="10"/>
      <c r="J20" s="11"/>
      <c r="K20" s="123"/>
      <c r="L20" s="133" t="s">
        <v>278</v>
      </c>
      <c r="M20" s="95"/>
      <c r="N20" s="133" t="s">
        <v>270</v>
      </c>
      <c r="O20" s="93">
        <f>max(0,
if('Spell Switchboard'!$I$27,1,0),
if('Spell Switchboard'!$I$28,max(1,floor('Spell Switchboard'!$J$28/4,1))))</f>
        <v>0</v>
      </c>
      <c r="P20" s="10"/>
      <c r="Q20" s="11"/>
      <c r="R20" s="123"/>
      <c r="S20" s="133" t="s">
        <v>270</v>
      </c>
      <c r="T20" s="74">
        <f>max(0,
if('Spell Switchboard'!$I$29,max(1,floor('Spell Switchboard'!$J$29/4,1))))</f>
        <v>0</v>
      </c>
      <c r="U20" s="125"/>
      <c r="V20" s="55" t="s">
        <v>273</v>
      </c>
      <c r="W20" s="145">
        <f>max(0,
if('Class Abilities'!P15,if('Class Abilities'!O14&lt;8,1,floor(('Class Abilities'!O14-2)/6,1)+1),0),
if('Class Abilities'!P17,4,0),
if('Spell Switchboard'!D39,2,0),
if('Spell Switchboard'!$I$5,2,0),
if('Spell Switchboard'!$I$6,4,0))</f>
        <v>0</v>
      </c>
      <c r="X20" s="11"/>
      <c r="Y20" s="146">
        <f>max(0,
if('Class Abilities'!P15,if('Class Abilities'!O14&lt;8,1,floor(('Class Abilities'!O14-2)/6,1)+1),0),
if('Class Abilities'!P17,4,0),
if('Spell Switchboard'!D39,2,0),
if('Spell Switchboard'!$I$5,2,0),
if('Spell Switchboard'!$I$6,4,0))</f>
        <v>0</v>
      </c>
      <c r="Z20" s="146">
        <f t="array" ref="Z20">max(0,
if('Class Abilities'!P11,
if(iferror(dget(Main!$B$3:$C$6,Main!$C$3,{"Class";"Barbarian"}),0)&gt;=20,4,
if(iferror(dget(Main!$B$3:$C$6,Main!$C$3,{"Class";"Barbarian"}),0)&gt;=11,3,2)),0),
if('Class Abilities'!P15,if('Class Abilities'!O14&lt;8,1,floor(('Class Abilities'!O14-2)/6,1)+1),0),
if('Class Abilities'!P17,4,0),
if('Class Abilities'!P25,4,0),
if('Spell Switchboard'!D39,2,0),
if('Spell Switchboard'!$I$4,1,0),
if('Spell Switchboard'!$I$5,2,0),
if('Spell Switchboard'!$I$6,4,0),
if('Spell Switchboard'!N9,1,0))</f>
        <v>0</v>
      </c>
      <c r="AA20" s="98"/>
      <c r="AB20" s="70" t="s">
        <v>353</v>
      </c>
      <c r="AC20" s="4"/>
      <c r="AD20" s="128" t="b">
        <v>0</v>
      </c>
      <c r="AE20" s="62"/>
    </row>
    <row r="21">
      <c r="A21" s="50"/>
      <c r="B21" s="60"/>
      <c r="C21" s="60"/>
      <c r="D21" s="98"/>
      <c r="E21" s="63" t="s">
        <v>271</v>
      </c>
      <c r="F21" s="66">
        <f>max(0,
if('Spell Switchboard'!$I$31,'Spell Switchboard'!$J$31,0),
if('Spell Switchboard'!$N$38,20,0))</f>
        <v>0</v>
      </c>
      <c r="G21" s="137" t="s">
        <v>273</v>
      </c>
      <c r="H21" s="138">
        <f>max(0,
if('Class Abilities'!$P$14,if('Class Abilities'!$O$14&lt;8,1,floor(('Class Abilities'!$O$14-2)/6,1)+1),0),
if('Spell Switchboard'!$D$39,2,0))</f>
        <v>0</v>
      </c>
      <c r="I21" s="3"/>
      <c r="J21" s="4"/>
      <c r="K21" s="123"/>
      <c r="L21" s="137" t="s">
        <v>342</v>
      </c>
      <c r="M21" s="64">
        <f>max(0,
if('Class Abilities'!$P$16&gt;0,2,0),
if('Spell Switchboard'!$D$40,1,0))</f>
        <v>0</v>
      </c>
      <c r="N21" s="137" t="s">
        <v>271</v>
      </c>
      <c r="O21" s="138"/>
      <c r="P21" s="3"/>
      <c r="Q21" s="4"/>
      <c r="R21" s="123"/>
      <c r="S21" s="137" t="s">
        <v>354</v>
      </c>
      <c r="T21" s="64">
        <f>max(0,
if('Spell Switchboard'!D15,4,0),
if(or('Spell Switchboard'!D20,'Spell Switchboard'!D21,'Spell Switchboard'!D22,'Spell Switchboard'!D23),4,0),
if('Spell Switchboard'!I7,4,0),
if(or('Spell Switchboard'!I41,'Spell Switchboard'!N3,'Spell Switchboard'!N4,'Spell Switchboard'!N5),2,0),
if('Spell Switchboard'!N17,min(2+floor('Spell Switchboard'!O17/6,1),5),0),
if('Spell Switchboard'!N18,4,0),
if('Spell Switchboard'!N19,1,0),
if('Spell Switchboard'!N41,4,0))</f>
        <v>0</v>
      </c>
      <c r="U21" s="125"/>
      <c r="V21" s="63" t="s">
        <v>274</v>
      </c>
      <c r="W21" s="147"/>
      <c r="X21" s="4"/>
      <c r="Y21" s="148"/>
      <c r="Z21" s="148"/>
      <c r="AA21" s="98"/>
      <c r="AB21" s="61" t="s">
        <v>355</v>
      </c>
      <c r="AC21" s="11"/>
      <c r="AD21" s="143" t="b">
        <v>0</v>
      </c>
      <c r="AE21" s="62"/>
    </row>
    <row r="22">
      <c r="A22" s="50"/>
      <c r="B22" s="149" t="s">
        <v>356</v>
      </c>
      <c r="C22" s="4"/>
      <c r="D22" s="98"/>
      <c r="E22" s="133" t="s">
        <v>272</v>
      </c>
      <c r="F22" s="74">
        <f>max(0,
if('Spell Switchboard'!$D$24,min(max(floor('Spell Switchboard'!$E$24/3,1),1),3),0),
if('Spell Switchboard'!$I$39,1,0))
-
if('Spell Switchboard'!$I$40,1,0)</f>
        <v>0</v>
      </c>
      <c r="G22" s="133" t="s">
        <v>275</v>
      </c>
      <c r="H22" s="134"/>
      <c r="I22" s="10"/>
      <c r="J22" s="11"/>
      <c r="K22" s="123"/>
      <c r="L22" s="133" t="s">
        <v>270</v>
      </c>
      <c r="M22" s="74">
        <f>max(0,
if('Spell Switchboard'!$I$27,1,0),
if('Spell Switchboard'!$I$28,max(1,floor('Spell Switchboard'!$J$28/4,1))))</f>
        <v>0</v>
      </c>
      <c r="N22" s="133" t="s">
        <v>272</v>
      </c>
      <c r="O22" s="93">
        <f>max(0,
if('Spell Switchboard'!$D$24,min(max(floor('Spell Switchboard'!$E$24/3,1),1),3),0),
if('Spell Switchboard'!$I$39,1,0))
-
if('Spell Switchboard'!$I$40,1,0)</f>
        <v>0</v>
      </c>
      <c r="P22" s="10"/>
      <c r="Q22" s="11"/>
      <c r="R22" s="123"/>
      <c r="S22" s="133" t="s">
        <v>346</v>
      </c>
      <c r="T22" s="74">
        <f t="array" ref="T22">if($AD$26,2,0)+if('Spell Switchboard'!I3,1,0)+if('Class Abilities'!P12,
floor(IFERROR(dget(Main!$B$3:$C$6,Main!$C$3,{"Class";"Barbarian"}),0)/3,1)
+
floor(IFERROR(dget(Main!$B$3:$C$6,Main!$C$3,{"Class";"Rogue"}),0)/3,1),0)
+
+if('Class Abilities'!P17,4,0)
+
if(Feats!P5,1,0)
+
if(Feats!P8,4,0)
+
abs(Feats!P4)</f>
        <v>0</v>
      </c>
      <c r="U22" s="125"/>
      <c r="V22" s="55" t="s">
        <v>276</v>
      </c>
      <c r="W22" s="145"/>
      <c r="X22" s="11"/>
      <c r="Y22" s="146"/>
      <c r="Z22" s="146"/>
      <c r="AA22" s="98"/>
      <c r="AB22" s="70" t="s">
        <v>357</v>
      </c>
      <c r="AC22" s="4"/>
      <c r="AD22" s="128" t="b">
        <v>0</v>
      </c>
      <c r="AE22" s="62"/>
    </row>
    <row r="23">
      <c r="A23" s="50"/>
      <c r="B23" s="55" t="s">
        <v>358</v>
      </c>
      <c r="C23" s="55"/>
      <c r="D23" s="98"/>
      <c r="E23" s="137" t="s">
        <v>273</v>
      </c>
      <c r="F23" s="64">
        <f>max(0,
if('Class Abilities'!$P$14,if('Class Abilities'!$O$14&lt;8,1,floor(('Class Abilities'!$O$14-2)/6,1)+1),0),
if('Spell Switchboard'!$D$3&gt;0,1,0),
if('Spell Switchboard'!$D$39,2,0),
if('Spell Switchboard'!$I$4,1,0),
if('Spell Switchboard'!$I$5,2,0),
if('Spell Switchboard'!$I$6,4,0))</f>
        <v>0</v>
      </c>
      <c r="G23" s="137" t="s">
        <v>274</v>
      </c>
      <c r="H23" s="65"/>
      <c r="I23" s="3"/>
      <c r="J23" s="4"/>
      <c r="K23" s="123"/>
      <c r="L23" s="137" t="s">
        <v>271</v>
      </c>
      <c r="M23" s="66">
        <f>max(0,
if('Spell Switchboard'!$I$31,'Spell Switchboard'!$J$31,0),
if('Spell Switchboard'!$N$38,20,0))</f>
        <v>0</v>
      </c>
      <c r="N23" s="137" t="s">
        <v>273</v>
      </c>
      <c r="O23" s="138">
        <f>max(0,
if('Class Abilities'!$P$14,if('Class Abilities'!$O$14&lt;8,1,floor(('Class Abilities'!$O$14-2)/6,1)+1),0),
if('Spell Switchboard'!$D$39,2,0))</f>
        <v>0</v>
      </c>
      <c r="P23" s="3"/>
      <c r="Q23" s="4"/>
      <c r="R23" s="123"/>
      <c r="S23" s="137" t="s">
        <v>271</v>
      </c>
      <c r="T23" s="64">
        <f>max(0,
if('Spell Switchboard'!$I$31,'Spell Switchboard'!$J$31,0))</f>
        <v>0</v>
      </c>
      <c r="U23" s="125"/>
      <c r="V23" s="63" t="s">
        <v>359</v>
      </c>
      <c r="W23" s="147">
        <f>max(0,
if('Spell Switchboard'!D15,4,0),
if('Spell Switchboard'!I7,4,0),
if(or('Spell Switchboard'!I41,'Spell Switchboard'!N3,'Spell Switchboard'!N4,'Spell Switchboard'!N5),2,0),
if('Spell Switchboard'!N6,8,0),
if('Spell Switchboard'!N12,1,0),
if('Spell Switchboard'!N18,4,0),
if('Spell Switchboard'!N19,1,0),
if('Spell Switchboard'!N41,4,0))</f>
        <v>0</v>
      </c>
      <c r="X23" s="4"/>
      <c r="Y23" s="148">
        <f>max(0,
if('Spell Switchboard'!D15,4,0),
if('Spell Switchboard'!I7,4,0),
if(or('Spell Switchboard'!I41,'Spell Switchboard'!N3,'Spell Switchboard'!N4,'Spell Switchboard'!N5),2,0),
if('Spell Switchboard'!N6,8,0),
if('Spell Switchboard'!N12,1,0),
if('Spell Switchboard'!N18,4,0),
if('Spell Switchboard'!N19,1,0),
if('Spell Switchboard'!N41,4,0))</f>
        <v>0</v>
      </c>
      <c r="Z23" s="148">
        <f>max(0,
if('Spell Switchboard'!D15,4,0),
if('Spell Switchboard'!I7,4,0),
if(or('Spell Switchboard'!I41,'Spell Switchboard'!N3,'Spell Switchboard'!N4,'Spell Switchboard'!N5),2,0),
if('Spell Switchboard'!N6,8,0),
if('Spell Switchboard'!N12,1,0),
if('Spell Switchboard'!N18,4,0),
if('Spell Switchboard'!N19,1,0),
if('Spell Switchboard'!N41,4,0))</f>
        <v>0</v>
      </c>
      <c r="AA23" s="98"/>
      <c r="AB23" s="57" t="s">
        <v>360</v>
      </c>
      <c r="AC23" s="11"/>
      <c r="AD23" s="55" t="b">
        <v>0</v>
      </c>
      <c r="AE23" s="62"/>
    </row>
    <row r="24">
      <c r="A24" s="50"/>
      <c r="B24" s="63" t="s">
        <v>361</v>
      </c>
      <c r="C24" s="63">
        <f>(Z6*C7)+C23
+
if('Class Abilities'!P16&gt;0,'Class Abilities'!P16+(Z6*2),0)
+
if('Spell Switchboard'!D3&gt;0,'Spell Switchboard'!D3,0)
+
if('Spell Switchboard'!D18&gt;0,'Spell Switchboard'!D18,0)
+
if('Spell Switchboard'!D25,'Spell Switchboard'!E25,0)
+
if('Spell Switchboard'!I4&gt;0,'Spell Switchboard'!I4,0)
+
if('Spell Switchboard'!I6,min('Spell Switchboard'!J6,20),0)
+
if('Spell Switchboard'!S3&gt;0,'Spell Switchboard'!S3,0)
+
if('Spell Switchboard'!S5,1,0)
+
if($AD$9&gt;0,(-abs($AD$9))*5,0)</f>
        <v>0</v>
      </c>
      <c r="D24" s="98"/>
      <c r="E24" s="133" t="s">
        <v>275</v>
      </c>
      <c r="F24" s="74"/>
      <c r="G24" s="133" t="s">
        <v>276</v>
      </c>
      <c r="H24" s="134"/>
      <c r="I24" s="10"/>
      <c r="J24" s="11"/>
      <c r="K24" s="123"/>
      <c r="L24" s="133" t="s">
        <v>272</v>
      </c>
      <c r="M24" s="74">
        <f>max(0,
if('Spell Switchboard'!$D$24,min(max(floor('Spell Switchboard'!$E$24/3,1),1),3),0),
if('Spell Switchboard'!$I$39,1,0))
-
if('Spell Switchboard'!$I$40,1,0)</f>
        <v>0</v>
      </c>
      <c r="N24" s="133" t="s">
        <v>275</v>
      </c>
      <c r="O24" s="134"/>
      <c r="P24" s="10"/>
      <c r="Q24" s="11"/>
      <c r="R24" s="123"/>
      <c r="S24" s="133" t="s">
        <v>272</v>
      </c>
      <c r="T24" s="95"/>
      <c r="U24" s="125"/>
      <c r="V24" s="55" t="s">
        <v>362</v>
      </c>
      <c r="W24" s="145">
        <v>0.0</v>
      </c>
      <c r="X24" s="11"/>
      <c r="Y24" s="146">
        <v>0.0</v>
      </c>
      <c r="Z24" s="146">
        <v>0.0</v>
      </c>
      <c r="AA24" s="98"/>
      <c r="AB24" s="149" t="s">
        <v>363</v>
      </c>
      <c r="AC24" s="4"/>
      <c r="AD24" s="63" t="b">
        <v>0</v>
      </c>
      <c r="AE24" s="62"/>
    </row>
    <row r="25">
      <c r="A25" s="50"/>
      <c r="B25" s="55" t="s">
        <v>364</v>
      </c>
      <c r="C25" s="55"/>
      <c r="D25" s="123"/>
      <c r="E25" s="137" t="s">
        <v>274</v>
      </c>
      <c r="F25" s="64"/>
      <c r="G25" s="63" t="s">
        <v>365</v>
      </c>
      <c r="H25" s="65">
        <f t="array" ref="H25">if('Class Abilities'!$P$18,iferror(dget(Main!$B$3:$C$6,Main!$C$3,{"Class";"Cleric"}),0),0)</f>
        <v>0</v>
      </c>
      <c r="I25" s="3"/>
      <c r="J25" s="4"/>
      <c r="K25" s="123"/>
      <c r="L25" s="137" t="s">
        <v>273</v>
      </c>
      <c r="M25" s="64">
        <f>max(0,
if('Class Abilities'!$P$14,if('Class Abilities'!$O$14&lt;8,1,floor(('Class Abilities'!$O$14-2)/6,1)+1),0),
if('Spell Switchboard'!$D$3&gt;0,1,0),
if('Spell Switchboard'!$D$39,2,0),
if('Spell Switchboard'!$I$4,1,0),
if('Spell Switchboard'!$I$5,2,0),
if('Spell Switchboard'!$I$6,4,0))</f>
        <v>0</v>
      </c>
      <c r="N25" s="137" t="s">
        <v>274</v>
      </c>
      <c r="O25" s="65"/>
      <c r="P25" s="3"/>
      <c r="Q25" s="4"/>
      <c r="R25" s="123"/>
      <c r="S25" s="137" t="s">
        <v>366</v>
      </c>
      <c r="T25" s="64">
        <f>max(0,
if('Spell Switchboard'!D7,2+min(floor(max('Spell Switchboard'!E7,3)-3,1)/3,5),0),
if('Spell Switchboard'!N13,2,0),
if('Spell Switchboard'!N32,5,0),
if('Spell Switchboard'!N37,10,0))</f>
        <v>0</v>
      </c>
      <c r="U25" s="125"/>
      <c r="V25" s="63" t="s">
        <v>367</v>
      </c>
      <c r="W25" s="150"/>
      <c r="X25" s="4"/>
      <c r="Y25" s="151">
        <f t="array" ref="Y25">if('Class Abilities'!P12,
floor(IFERROR(dget(Main!$B$3:$C$6,Main!$C$3,{"Class";"Barbarian"}),0)/3,1)
+
floor(IFERROR(dget(Main!$B$3:$C$6,Main!$C$3,{"Class";"Rogue"}),0)/3,1),0)</f>
        <v>0</v>
      </c>
      <c r="Z25" s="152"/>
      <c r="AA25" s="123"/>
      <c r="AB25" s="57" t="s">
        <v>368</v>
      </c>
      <c r="AC25" s="11"/>
      <c r="AD25" s="55" t="b">
        <v>0</v>
      </c>
      <c r="AE25" s="62"/>
    </row>
    <row r="26">
      <c r="A26" s="50"/>
      <c r="B26" s="149" t="str">
        <f>IFERROR(__xludf.DUMMYFUNCTION("SPARKLINE(ceiling((C25/max(C24,1))*100,1),{""charttype"",""bar"";""max"",100;""min"",0;""color1"",if(ceiling((C25/max(C24,1))*100,1)&gt;50,""green"",if(ceiling((C25/max(C24,1))*100,1)&gt;10,""orange"",""red""))})"),"")</f>
        <v/>
      </c>
      <c r="C26" s="4"/>
      <c r="D26" s="98"/>
      <c r="E26" s="133" t="s">
        <v>276</v>
      </c>
      <c r="F26" s="95"/>
      <c r="G26" s="55" t="s">
        <v>369</v>
      </c>
      <c r="H26" s="93">
        <f t="array" ref="H26">if('Class Abilities'!$P$24,iferror(dget(Main!$B$3:$C$6,Main!$C$3,{"Class";"Paladin"}),0),0)</f>
        <v>0</v>
      </c>
      <c r="I26" s="10"/>
      <c r="J26" s="11"/>
      <c r="K26" s="123"/>
      <c r="L26" s="133" t="s">
        <v>275</v>
      </c>
      <c r="M26" s="95"/>
      <c r="N26" s="133" t="s">
        <v>276</v>
      </c>
      <c r="O26" s="134"/>
      <c r="P26" s="10"/>
      <c r="Q26" s="11"/>
      <c r="R26" s="123"/>
      <c r="S26" s="133" t="s">
        <v>273</v>
      </c>
      <c r="T26" s="95"/>
      <c r="U26" s="118"/>
      <c r="V26" s="55" t="s">
        <v>370</v>
      </c>
      <c r="W26" s="150"/>
      <c r="X26" s="11"/>
      <c r="Y26" s="152"/>
      <c r="Z26" s="146">
        <f>if('Class Abilities'!P13,4,0)</f>
        <v>0</v>
      </c>
      <c r="AA26" s="98"/>
      <c r="AB26" s="153" t="s">
        <v>371</v>
      </c>
      <c r="AC26" s="154"/>
      <c r="AD26" s="155" t="b">
        <v>0</v>
      </c>
      <c r="AE26" s="62"/>
    </row>
    <row r="27">
      <c r="A27" s="50"/>
      <c r="B27" s="60"/>
      <c r="C27" s="60"/>
      <c r="D27" s="50"/>
      <c r="E27" s="137" t="s">
        <v>277</v>
      </c>
      <c r="F27" s="64">
        <f>IF(ISERROR(a_and_ac),0,a_and_ac)</f>
        <v>0</v>
      </c>
      <c r="G27" s="156" t="s">
        <v>372</v>
      </c>
      <c r="H27" s="65">
        <f t="array" ref="H27">if(and('Class Abilities'!$P$26,iferror(dget(Main!$B$3:$C$6,Main!$C$3,{"Class";"Ranger"}),0)&gt;0),(floor(iferror(dget(Main!$B$3:$C$6,Main!$C$3,{"Class";"Ranger"}),0)/5,1)+1)*2,0)</f>
        <v>0</v>
      </c>
      <c r="I27" s="3"/>
      <c r="J27" s="4"/>
      <c r="K27" s="123"/>
      <c r="L27" s="63" t="s">
        <v>274</v>
      </c>
      <c r="M27" s="64"/>
      <c r="N27" s="63" t="s">
        <v>369</v>
      </c>
      <c r="O27" s="65">
        <f t="array" ref="O27">if('Class Abilities'!$P$24,iferror(dget(Main!$B$3:$C$6,Main!$C$3,{"Class";"Paladin"}),0),0)</f>
        <v>0</v>
      </c>
      <c r="P27" s="3"/>
      <c r="Q27" s="4"/>
      <c r="R27" s="123"/>
      <c r="S27" s="137" t="s">
        <v>275</v>
      </c>
      <c r="T27" s="66"/>
      <c r="U27" s="125"/>
      <c r="V27" s="63" t="s">
        <v>373</v>
      </c>
      <c r="W27" s="147">
        <f>if('Class Abilities'!P21,4,0)</f>
        <v>0</v>
      </c>
      <c r="X27" s="4"/>
      <c r="Y27" s="148">
        <f>if('Class Abilities'!P21,4,0)</f>
        <v>0</v>
      </c>
      <c r="Z27" s="148">
        <f>if('Class Abilities'!P21,4,0)</f>
        <v>0</v>
      </c>
      <c r="AA27" s="50"/>
      <c r="AB27" s="157"/>
      <c r="AC27" s="157"/>
      <c r="AD27" s="157"/>
      <c r="AE27" s="62"/>
    </row>
    <row r="28">
      <c r="A28" s="50"/>
      <c r="B28" s="149" t="s">
        <v>374</v>
      </c>
      <c r="C28" s="4"/>
      <c r="D28" s="50"/>
      <c r="E28" s="55" t="s">
        <v>282</v>
      </c>
      <c r="F28" s="74">
        <f>if(or($AD$3,Feats!P14),2,0)</f>
        <v>0</v>
      </c>
      <c r="G28" s="55" t="s">
        <v>375</v>
      </c>
      <c r="H28" s="93">
        <f>abs(Feats!$P$10)+if(G12="Two Hands",abs(Feats!$P$10),0)</f>
        <v>0</v>
      </c>
      <c r="I28" s="10"/>
      <c r="J28" s="11"/>
      <c r="K28" s="123"/>
      <c r="L28" s="133" t="s">
        <v>276</v>
      </c>
      <c r="M28" s="95"/>
      <c r="N28" s="55" t="s">
        <v>372</v>
      </c>
      <c r="O28" s="93">
        <f t="array" ref="O28">if(and('Class Abilities'!$P$26,iferror(dget(Main!$B$3:$C$6,Main!$C$3,{"Class";"Ranger"}),0)&gt;0),(floor(iferror(dget(Main!$B$3:$C$6,Main!$C$3,{"Class";"Ranger"}),0)/5,1)+1)*2,0)</f>
        <v>0</v>
      </c>
      <c r="P28" s="10"/>
      <c r="Q28" s="11"/>
      <c r="R28" s="123"/>
      <c r="S28" s="133" t="s">
        <v>274</v>
      </c>
      <c r="T28" s="95"/>
      <c r="U28" s="118"/>
      <c r="V28" s="55" t="s">
        <v>376</v>
      </c>
      <c r="W28" s="145">
        <f>if('Class Abilities'!P23,2,0)</f>
        <v>0</v>
      </c>
      <c r="X28" s="11"/>
      <c r="Y28" s="146">
        <f>if('Class Abilities'!P23,2,0)</f>
        <v>0</v>
      </c>
      <c r="Z28" s="146">
        <f>if('Class Abilities'!P23,2,0)</f>
        <v>0</v>
      </c>
      <c r="AA28" s="50"/>
      <c r="AE28" s="62"/>
    </row>
    <row r="29">
      <c r="A29" s="50"/>
      <c r="B29" s="55" t="s">
        <v>377</v>
      </c>
      <c r="C29" s="55">
        <v>30.0</v>
      </c>
      <c r="D29" s="50"/>
      <c r="E29" s="63" t="s">
        <v>285</v>
      </c>
      <c r="F29" s="64">
        <f>if($AD$4,2,0)</f>
        <v>0</v>
      </c>
      <c r="G29" s="63" t="s">
        <v>279</v>
      </c>
      <c r="H29" s="138">
        <f>
if('Spell Switchboard'!$N$33,-2,0)
+
if($AD$21,-2,0)</f>
        <v>0</v>
      </c>
      <c r="I29" s="3"/>
      <c r="J29" s="4"/>
      <c r="K29" s="123"/>
      <c r="L29" s="137" t="s">
        <v>277</v>
      </c>
      <c r="M29" s="64">
        <f>IF(ISERROR(a_and_ac),0,a_and_ac)</f>
        <v>0</v>
      </c>
      <c r="N29" s="156" t="s">
        <v>378</v>
      </c>
      <c r="O29" s="65">
        <f>if(Feats!$P$9,1,0)</f>
        <v>0</v>
      </c>
      <c r="P29" s="3"/>
      <c r="Q29" s="4"/>
      <c r="R29" s="123"/>
      <c r="S29" s="137" t="s">
        <v>276</v>
      </c>
      <c r="T29" s="66"/>
      <c r="U29" s="118"/>
      <c r="V29" s="63" t="s">
        <v>379</v>
      </c>
      <c r="W29" s="147">
        <f t="array" ref="W29">if(iferror(dget(Main!$B$3:$C$6,Main!$C$3,{"Class";"Paladin"}),0)&gt;=2,Z9,0)</f>
        <v>0</v>
      </c>
      <c r="X29" s="4"/>
      <c r="Y29" s="148">
        <f t="array" ref="Y29">if(iferror(dget(Main!$B$3:$C$6,Main!$C$3,{"Class";"Paladin"}),0)&gt;=2,Z9,0)</f>
        <v>0</v>
      </c>
      <c r="Z29" s="148">
        <f t="array" ref="Z29">if(iferror(dget(Main!$B$3:$C$6,Main!$C$3,{"Class";"Paladin"}),0)&gt;=2,Z9,0)</f>
        <v>0</v>
      </c>
      <c r="AA29" s="50"/>
      <c r="AE29" s="62"/>
    </row>
    <row r="30">
      <c r="A30" s="50"/>
      <c r="B30" s="63" t="s">
        <v>380</v>
      </c>
      <c r="C30" s="63">
        <f>if(or('Spell Switchboard'!N37,AD16,AD18),0,
if(or('Spell Switchboard'!N23,'Spell Switchboard'!N36),5,
value(if(C8="Dwarf",C29, min(Sheet4!M65,Sheet4!R66))+if('Spell Switchboard'!I3,if(min(Sheet4!M65,Sheet4!R66)&lt;30,min(Sheet4!M65,Sheet4!R66),30)))/if(AD5,2,1)
/if('Spell Switchboard'!I11,2,1)
/if('Spell Switchboard'!I14,2,1)
/if('Spell Switchboard'!$N$22,2,1)
/if('Spell Switchboard'!N26,2,1)))
/if(AD10,2,1)
/if(AD11,2,1)</f>
        <v>30</v>
      </c>
      <c r="D30" s="50"/>
      <c r="E30" s="55" t="s">
        <v>265</v>
      </c>
      <c r="F30" s="95">
        <f t="array" ref="F30">if($AD$7,-1,0)
+
if($AD$26,-4,0)
+
if(Feats!$P$16,dget(Sheet4!$L$80:$N$85,G12,{"Modes";"="&amp;Feats!$N$17}),0)
+
-abs(Feats!$P$4)</f>
        <v>0</v>
      </c>
      <c r="G30" s="55" t="s">
        <v>381</v>
      </c>
      <c r="H30" s="134"/>
      <c r="I30" s="10"/>
      <c r="J30" s="11"/>
      <c r="K30" s="123"/>
      <c r="L30" s="55" t="s">
        <v>382</v>
      </c>
      <c r="M30" s="74">
        <f>if(not(N14=0),if($Z$4&lt;N14,-2,0),0)</f>
        <v>0</v>
      </c>
      <c r="N30" s="55" t="s">
        <v>279</v>
      </c>
      <c r="O30" s="93">
        <f>if('Spell Switchboard'!$N$33,-2,0)
+
if($AD$21,-2,0)</f>
        <v>0</v>
      </c>
      <c r="P30" s="10"/>
      <c r="Q30" s="11"/>
      <c r="R30" s="123"/>
      <c r="S30" s="133" t="s">
        <v>383</v>
      </c>
      <c r="T30" s="74">
        <f>max(0,
if(Feats!P15,1,0),
if('Spell Switchboard'!N16,4,0))
+
IF('Spell Switchboard'!I15,-T30,0)</f>
        <v>0</v>
      </c>
      <c r="U30" s="158"/>
      <c r="V30" s="55" t="s">
        <v>384</v>
      </c>
      <c r="W30" s="145"/>
      <c r="X30" s="11"/>
      <c r="Y30" s="159"/>
      <c r="Z30" s="159"/>
      <c r="AA30" s="50"/>
      <c r="AE30" s="62"/>
    </row>
    <row r="31">
      <c r="A31" s="50"/>
      <c r="B31" s="60"/>
      <c r="C31" s="60"/>
      <c r="D31" s="50"/>
      <c r="E31" s="63" t="s">
        <v>365</v>
      </c>
      <c r="F31" s="64">
        <f>if('Class Abilities'!$P$18,4,0)</f>
        <v>0</v>
      </c>
      <c r="G31" s="137" t="s">
        <v>381</v>
      </c>
      <c r="H31" s="138"/>
      <c r="I31" s="3"/>
      <c r="J31" s="4"/>
      <c r="K31" s="123"/>
      <c r="L31" s="63" t="s">
        <v>265</v>
      </c>
      <c r="M31" s="64">
        <f>if($AD$7,-1,0)
+
if($AD$23,-4,if($AD$24,-8,0))/if(Feats!$P$7,2,1)
+
if($AD$25,-4,0)
+
if($AD$26,-4,0)
+
if(Feats!$P$11,-2,0)</f>
        <v>0</v>
      </c>
      <c r="N31" s="63" t="s">
        <v>381</v>
      </c>
      <c r="O31" s="138"/>
      <c r="P31" s="3"/>
      <c r="Q31" s="4"/>
      <c r="R31" s="123"/>
      <c r="S31" s="137" t="s">
        <v>277</v>
      </c>
      <c r="T31" s="64">
        <f>IF(ISERROR(a_and_ac),0,a_and_ac)</f>
        <v>0</v>
      </c>
      <c r="U31" s="158"/>
      <c r="V31" s="63" t="s">
        <v>385</v>
      </c>
      <c r="W31" s="160"/>
      <c r="X31" s="4"/>
      <c r="Y31" s="148"/>
      <c r="Z31" s="159"/>
      <c r="AA31" s="50"/>
      <c r="AE31" s="62"/>
    </row>
    <row r="32">
      <c r="A32" s="50"/>
      <c r="B32" s="149" t="s">
        <v>386</v>
      </c>
      <c r="C32" s="4"/>
      <c r="D32" s="50"/>
      <c r="E32" s="55" t="s">
        <v>387</v>
      </c>
      <c r="F32" s="161">
        <f>if('Class Abilities'!$P$20,1,0)</f>
        <v>0</v>
      </c>
      <c r="G32" s="133" t="s">
        <v>381</v>
      </c>
      <c r="H32" s="134"/>
      <c r="I32" s="10"/>
      <c r="J32" s="11"/>
      <c r="K32" s="123"/>
      <c r="L32" s="55" t="s">
        <v>388</v>
      </c>
      <c r="M32" s="74">
        <f>-if(and(VALUE(Feats!$P$6)&gt;1,floor((if(type(M18)=2,0,M18)-6)/5,1)+2&gt;=VALUE(Feats!$P$6)),Feats!$P$6*2,0)</f>
        <v>0</v>
      </c>
      <c r="N32" s="133" t="s">
        <v>381</v>
      </c>
      <c r="O32" s="134"/>
      <c r="P32" s="10"/>
      <c r="Q32" s="11"/>
      <c r="R32" s="123"/>
      <c r="S32" s="55" t="s">
        <v>282</v>
      </c>
      <c r="T32" s="74">
        <f>if($AD$3,-2,0)</f>
        <v>0</v>
      </c>
      <c r="U32" s="158"/>
      <c r="V32" s="55" t="s">
        <v>389</v>
      </c>
      <c r="W32" s="150"/>
      <c r="X32" s="11"/>
      <c r="Y32" s="152"/>
      <c r="Z32" s="146"/>
      <c r="AA32" s="50"/>
      <c r="AE32" s="62"/>
    </row>
    <row r="33">
      <c r="A33" s="50"/>
      <c r="B33" s="55" t="s">
        <v>345</v>
      </c>
      <c r="C33" s="55">
        <f>SUM(-abs(T13))
+
if('Spell Switchboard'!I14,-8,0)</f>
        <v>0</v>
      </c>
      <c r="D33" s="50"/>
      <c r="E33" s="63" t="s">
        <v>390</v>
      </c>
      <c r="F33" s="66">
        <f t="array" ref="F33">if('Class Abilities'!$P$22,if(iferror(dget(Main!$B$3:$C$6,Main!$C$3,{"Class";"Monk"}),0)&gt;8,0,if(iferror(dget(Main!$B$3:$C$6,Main!$C$3,{"Class";"Monk"}),0)&gt;4,-1,-2)),0)</f>
        <v>0</v>
      </c>
      <c r="G33" s="137" t="s">
        <v>381</v>
      </c>
      <c r="H33" s="138"/>
      <c r="I33" s="3"/>
      <c r="J33" s="4"/>
      <c r="L33" s="63" t="s">
        <v>279</v>
      </c>
      <c r="M33" s="64">
        <f>if('Spell Switchboard'!$I$3,1,0)
+
if('Spell Switchboard'!$D$6,-1,0)
+
if('Spell Switchboard'!$D$9="Check Drain",-4,0)
+
if('Spell Switchboard'!$D$10,1,0)
+
if('Spell Switchboard'!$I$13,2,0)
+
max(-'Spell Switchboard'!$I$21,-5)
+
if('Spell Switchboard'!$N$22,-1,0)
+
if('Spell Switchboard'!$N$27,-4,0)
+
if('Spell Switchboard'!$N$33,-2,0)
+
if('Spell Switchboard'!$N$36,-2,0)
+
if($AD$9&gt;0,-abs($AD$9),0)
+
if($AD$10,-2,0)
+
if($AD$14,-2,0)
+
if($AD$20,-2,0)
+
if($AD$21,-2,0)</f>
        <v>0</v>
      </c>
      <c r="N33" s="137" t="s">
        <v>381</v>
      </c>
      <c r="O33" s="138"/>
      <c r="P33" s="3"/>
      <c r="Q33" s="4"/>
      <c r="S33" s="63" t="s">
        <v>265</v>
      </c>
      <c r="T33" s="64">
        <f>if(AD5,-2,0)+if(AD6,-2,0)</f>
        <v>0</v>
      </c>
      <c r="V33" s="63" t="s">
        <v>279</v>
      </c>
      <c r="W33" s="147">
        <f>if(and('Spell Switchboard'!$D$6,'Spell Switchboard'!B6="Bane vs Fear"),-1,0)
+
if('Spell Switchboard'!$D$9="Check Drain",-4,0)
+
if(and('Spell Switchboard'!$D$10,'Spell Switchboard'!B10="Bless vs Fear"),1,0)
+
if('Spell Switchboard'!$D$40,1,0)
+
if(and('Spell Switchboard'!D3&gt;0,'Spell Switchboard'!B3="Aid vs Fear"),1,0)
+
if($AD$9&gt;0,-abs($AD$9),0)
+
if($AD$14,-2,0)
+
if($AD$17,-2,0)
+
if($AD$20,-2,0)
+
if($AD$21,-2,0)</f>
        <v>0</v>
      </c>
      <c r="X33" s="4"/>
      <c r="Y33" s="148">
        <f>if(and('Spell Switchboard'!$D$6,'Spell Switchboard'!B6="Bane vs Fear"),-1,0)
+
if('Spell Switchboard'!$D$9="Check Drain",-4,0)
+
if(and('Spell Switchboard'!$D$10,'Spell Switchboard'!B10="Bless vs Fear"),1,0)
+
if('Spell Switchboard'!$D$40,1,0)
+
IF('Spell Switchboard'!I15,-10,0)
+
if('Spell Switchboard'!$N$22,-1,0)
+
if(and('Spell Switchboard'!D3&gt;0,'Spell Switchboard'!B3="Aid vs Fear"),1,0)
+
if($AD$9&gt;0,-abs($AD$9),0)
+
if($AD$14,-2,0)
+
if($AD$17,-2,0)
+
if($AD$20,-2,0)
+
if($AD$21,-2,0)</f>
        <v>0</v>
      </c>
      <c r="Z33" s="148">
        <f>if(and('Spell Switchboard'!$D$6,'Spell Switchboard'!B6="Bane vs Fear"),-1,0)
+
if('Spell Switchboard'!$D$9="Check Drain",-4,0)
+
if(and('Spell Switchboard'!$D$10,'Spell Switchboard'!B10="Bless vs Fear"),1,0)
+
if('Spell Switchboard'!$D$40,1,0)
+
if(and('Spell Switchboard'!I23, 'Spell Switchboard'!G23="Lullaby vs Sleep"),-2,0)
+
if(and('Spell Switchboard'!D3&gt;0,'Spell Switchboard'!B3="Aid vs Fear"),1,0)
+
if($AD$9&gt;0,-abs($AD$9),0)
+
if($AD$14,-2,0)
+
if($AD$17,-2,0)
+
if($AD$20,-2,0)
+
if($AD$21,-2,0)</f>
        <v>0</v>
      </c>
      <c r="AA33" s="50"/>
      <c r="AE33" s="62"/>
    </row>
    <row r="34">
      <c r="A34" s="50"/>
      <c r="B34" s="63" t="s">
        <v>391</v>
      </c>
      <c r="C34" s="162">
        <f>-Sheet4!U66</f>
        <v>0</v>
      </c>
      <c r="D34" s="50"/>
      <c r="E34" s="55" t="s">
        <v>279</v>
      </c>
      <c r="F34" s="74">
        <f>if('Spell Switchboard'!$I$3,1,0)
+
if('Spell Switchboard'!$D$6,-1,0)
+
if('Spell Switchboard'!$D$9="Check Drain",-4,0)
+
if('Spell Switchboard'!$D$10,1,0)
+
if('Spell Switchboard'!$I$13,2,0)
+
max(-'Spell Switchboard'!$I$21,-5)
+
if('Spell Switchboard'!$N$21,3,0)
+
if('Spell Switchboard'!$N$22,-1,0)
+
if('Spell Switchboard'!$N$23,-2,0)
+
if('Spell Switchboard'!$N$27,-4,0)
+
if('Spell Switchboard'!$N$33,-2,0)
+
if('Spell Switchboard'!$N$36,-2,0)
+
if('Spell Switchboard'!$S$8,-4,0)
+
if($AD$9&gt;0,-abs($AD$9),0)
+
if($AD$10,-2,0)
+
if($AD$14,-2,0)
+
if(and($AD$16,$AB$16="vs Helpless Opponent"),4,0)
+
if($AD$19,-4,0)
+
if($AD$20,-2,0)
+
if($AD$21,-2,0)</f>
        <v>0</v>
      </c>
      <c r="G34" s="133" t="s">
        <v>381</v>
      </c>
      <c r="H34" s="134"/>
      <c r="I34" s="10"/>
      <c r="J34" s="11"/>
      <c r="K34" s="50"/>
      <c r="L34" s="55" t="s">
        <v>369</v>
      </c>
      <c r="M34" s="74">
        <f>if('Class Abilities'!$P$24,$Z$9,0)</f>
        <v>0</v>
      </c>
      <c r="N34" s="133" t="s">
        <v>381</v>
      </c>
      <c r="O34" s="134"/>
      <c r="P34" s="10"/>
      <c r="Q34" s="11"/>
      <c r="R34" s="50"/>
      <c r="S34" s="55" t="s">
        <v>392</v>
      </c>
      <c r="T34" s="74">
        <f t="array" ref="T34">if(iferror(dget(Main!$AB$2:$AD$50,Main!$AD$2,{"States";"Rage"}),False),-2,0)</f>
        <v>0</v>
      </c>
      <c r="U34" s="50"/>
      <c r="V34" s="55" t="s">
        <v>381</v>
      </c>
      <c r="W34" s="145"/>
      <c r="X34" s="11"/>
      <c r="Y34" s="146"/>
      <c r="Z34" s="146"/>
      <c r="AA34" s="50"/>
      <c r="AE34" s="62"/>
    </row>
    <row r="35">
      <c r="A35" s="50"/>
      <c r="B35" s="55" t="s">
        <v>16</v>
      </c>
      <c r="C35" s="55">
        <f>MIN(C33,C34)</f>
        <v>0</v>
      </c>
      <c r="D35" s="50"/>
      <c r="E35" s="63" t="s">
        <v>369</v>
      </c>
      <c r="F35" s="66">
        <f>if('Class Abilities'!$P$24,$Z$9,0)</f>
        <v>0</v>
      </c>
      <c r="G35" s="137" t="s">
        <v>381</v>
      </c>
      <c r="H35" s="138"/>
      <c r="I35" s="3"/>
      <c r="J35" s="4"/>
      <c r="L35" s="63" t="s">
        <v>378</v>
      </c>
      <c r="M35" s="64">
        <f>if(Feats!$P$9,1,0)</f>
        <v>0</v>
      </c>
      <c r="N35" s="137" t="s">
        <v>381</v>
      </c>
      <c r="O35" s="138"/>
      <c r="P35" s="3"/>
      <c r="Q35" s="4"/>
      <c r="S35" s="63" t="s">
        <v>393</v>
      </c>
      <c r="T35" s="64">
        <f t="array" ref="T35">if(iferror(dget(Main!$B$3:$C$6,Main!$C$3,{"Class";"Monk"}),True),0,$Z$8+floor(dget(Main!$B$3:$C$6,Main!$C$3,{"Class";"Monk"})/5,1))</f>
        <v>0</v>
      </c>
      <c r="V35" s="63" t="s">
        <v>381</v>
      </c>
      <c r="W35" s="147"/>
      <c r="X35" s="4"/>
      <c r="Y35" s="148"/>
      <c r="Z35" s="148"/>
      <c r="AE35" s="62"/>
    </row>
    <row r="36">
      <c r="A36" s="50"/>
      <c r="B36" s="163"/>
      <c r="C36" s="163"/>
      <c r="D36" s="50"/>
      <c r="E36" s="55" t="s">
        <v>375</v>
      </c>
      <c r="F36" s="74">
        <f>-abs(Feats!$P$10)</f>
        <v>0</v>
      </c>
      <c r="G36" s="133" t="s">
        <v>381</v>
      </c>
      <c r="H36" s="134"/>
      <c r="I36" s="10"/>
      <c r="J36" s="11"/>
      <c r="L36" s="55" t="s">
        <v>381</v>
      </c>
      <c r="M36" s="74"/>
      <c r="N36" s="133" t="s">
        <v>381</v>
      </c>
      <c r="O36" s="134"/>
      <c r="P36" s="10"/>
      <c r="Q36" s="11"/>
      <c r="S36" s="55" t="s">
        <v>279</v>
      </c>
      <c r="T36" s="74">
        <f>if('Spell Switchboard'!I12,4,0)
+
IF('Spell Switchboard'!I15,-4,0)
+
if('Spell Switchboard'!N9,-2,0)
+
if('Spell Switchboard'!$N$22,-1,0)
+
if('Spell Switchboard'!$N$36,-2,0)
+
if(AD19,if(AB19="Prone (defending vs ranged)",4,-4),0)
+
if(AD22,-2,0)</f>
        <v>0</v>
      </c>
      <c r="V36" s="55" t="s">
        <v>394</v>
      </c>
      <c r="W36" s="145">
        <f>SUM(W13:X35)</f>
        <v>0</v>
      </c>
      <c r="X36" s="11"/>
      <c r="Y36" s="146">
        <f t="shared" ref="Y36:Z36" si="3">SUM(Y13:Y35)</f>
        <v>0</v>
      </c>
      <c r="Z36" s="146">
        <f t="shared" si="3"/>
        <v>0</v>
      </c>
      <c r="AE36" s="62"/>
    </row>
    <row r="37">
      <c r="A37" s="50"/>
      <c r="B37" s="149" t="s">
        <v>395</v>
      </c>
      <c r="C37" s="4"/>
      <c r="D37" s="50"/>
      <c r="E37" s="164" t="s">
        <v>381</v>
      </c>
      <c r="F37" s="165"/>
      <c r="G37" s="166" t="s">
        <v>381</v>
      </c>
      <c r="H37" s="167"/>
      <c r="I37" s="168"/>
      <c r="J37" s="169"/>
      <c r="L37" s="164" t="s">
        <v>381</v>
      </c>
      <c r="M37" s="165"/>
      <c r="N37" s="166" t="s">
        <v>381</v>
      </c>
      <c r="O37" s="167"/>
      <c r="P37" s="168"/>
      <c r="Q37" s="169"/>
      <c r="S37" s="63" t="s">
        <v>381</v>
      </c>
      <c r="T37" s="64"/>
      <c r="AE37" s="62"/>
    </row>
    <row r="38">
      <c r="A38" s="50"/>
      <c r="B38" s="57" t="s">
        <v>396</v>
      </c>
      <c r="C38" s="11"/>
      <c r="D38" s="50"/>
      <c r="E38" s="170" t="str">
        <f>if(E38=0,"Attack 1: ",if($W$41,"Attack 1: "&amp;RANDBETWEEN(1,20),E38))</f>
        <v>Attack 1: 16</v>
      </c>
      <c r="F38" s="171">
        <f>sum(F16:F37)+mid(E38,11,2)</f>
        <v>16</v>
      </c>
      <c r="G38" s="170" t="str">
        <f t="array" ref="G38">if(or(H11="",J11=""),"Enter Damage Dice",if($W$41,"Damage 1: "&amp;if(H11=1,randbetween(1,J11),sum(indirect("'Custom Dice Roller'!"&amp;dget(Sheet4!$O$87:$P$94,Sheet4!$O$87,{"number";J11})&amp;'Custom Dice Roller'!$K$2):indirect("'Custom Dice Roller'!"&amp;dget(Sheet4!$O$87:$P$94,Sheet4!$O$87,{"number";J11})&amp;'Custom Dice Roller'!$K$2+H11-1))),G38))</f>
        <v>Damage 1: 5</v>
      </c>
      <c r="H38" s="172">
        <f>if(or(H11="",J11=""),sum(H16:J37),if('Class Abilities'!$P$27,'Custom Dice Roller'!$Y$5,0)+if(and('Spell Switchboard'!$I$8,'Spell Switchboard'!$G$8="Holy Sword vs Evil"),'Custom Dice Roller'!$Y$21,0)+(mid(G38,11,2)+sum(H16:J37))*if(value(mid(E38,11,2))&gt;=G14,G13+if(Feats!$P$14,if(Feats!$N$14="Spirited Charge (Lance)",2,1),0),if(value(mid(E38,11,2))=1,0,if(Feats!$P$14,if(Feats!$N$14="Spirited Charge (Lance)",3,2),1))))</f>
        <v>5</v>
      </c>
      <c r="I38" s="173"/>
      <c r="J38" s="174"/>
      <c r="K38" s="175"/>
      <c r="L38" s="170" t="str">
        <f>if(L38=0,"Attack 1: ",if($W$41,"Attack 1: "&amp;RANDBETWEEN(1,20),L38))</f>
        <v>Attack 1: 12</v>
      </c>
      <c r="M38" s="176">
        <f>sum(M18:M37)+mid(L38,11,2)</f>
        <v>12</v>
      </c>
      <c r="N38" s="170" t="str">
        <f t="array" ref="N38">if(or(O11="",Q11=""),"Enter Damage Dice",if($W$41,"Damage 1: "&amp;if(O11=1,randbetween(1,Q11),sum(indirect("'Custom Dice Roller'!"&amp;dget(Sheet4!$O$87:$P$94,Sheet4!$O$87,{"number";Q11})&amp;'Custom Dice Roller'!$K$10):indirect("'Custom Dice Roller'!"&amp;dget(Sheet4!$O$87:$P$94,Sheet4!$O$87,{"number";Q11})&amp;'Custom Dice Roller'!$K$10+O11-1))),N38))</f>
        <v>Damage 1: 3</v>
      </c>
      <c r="O38" s="172">
        <f>if(or(O11="",Q11=""),sum(O18:Q37),if('Class Abilities'!$P$27,'Custom Dice Roller'!$Y$13,0)+if('Spell Switchboard'!$D$34,'Custom Dice Roller'!$Y$29,0)+(mid(N38,11,2)+sum(O18:Q37))*if(value(mid(L38,11,2))&gt;=N16,N15,if(value(mid(L38,11,2))=1,0,1)))</f>
        <v>3</v>
      </c>
      <c r="P38" s="173"/>
      <c r="Q38" s="174"/>
      <c r="S38" s="177" t="s">
        <v>381</v>
      </c>
      <c r="T38" s="178"/>
      <c r="U38" s="60"/>
      <c r="V38" s="149" t="s">
        <v>397</v>
      </c>
      <c r="W38" s="4"/>
      <c r="X38" s="179"/>
      <c r="Y38" s="149" t="s">
        <v>398</v>
      </c>
      <c r="Z38" s="4"/>
      <c r="AE38" s="62"/>
    </row>
    <row r="39">
      <c r="A39" s="50"/>
      <c r="B39" s="149"/>
      <c r="C39" s="4"/>
      <c r="D39" s="50"/>
      <c r="E39" s="63" t="str">
        <f>if(E39=0,"Attack 2: ",if(or(and($W$41,F16&gt;5,not(Feats!$P$16)),and(Feats!$P$16,$W$41,G12="Off Hand",or(Feats!$N$16="Improved Two Weapon Fighting",Feats!$N$16="Greater Two Weapon Fighting"))),"Attack 2: "&amp;RANDBETWEEN(1,20),E39))</f>
        <v>Attack 2: 4</v>
      </c>
      <c r="F39" s="121" t="str">
        <f>if(or(and(F16&gt;5,not(F16="NA"),not(G12="Off Hand")),and(Feats!$P$16,G12="Off Hand",or(Feats!$N$16="Improved Two Weapon Fighting",Feats!$N$16="Greater Two Weapon Fighting"))),sum(F16:F37)+mid(E39,11,2)-5,"NA")</f>
        <v>NA</v>
      </c>
      <c r="G39" s="137" t="str">
        <f t="array" ref="G39">if(or(H11="",J11=""),"Enter Damage Dice",if(and($W$41,not(F39="NA")),"Damage 2: "&amp;if(H11=1,randbetween(1,J11),sum(indirect("'Custom Dice Roller'!"&amp;dget(Sheet4!$O$87:$P$94,Sheet4!$O$87,{"number";J11})&amp;'Custom Dice Roller'!$K$3):indirect("'Custom Dice Roller'!"&amp;dget(Sheet4!$O$87:$P$94,Sheet4!$O$87,{"number";J11})&amp;'Custom Dice Roller'!$K$3+H11-1))),G39))</f>
        <v>Damage 2: 3</v>
      </c>
      <c r="H39" s="180" t="str">
        <f>if(not(F39="NA"),if('Class Abilities'!$P$27,'Custom Dice Roller'!$Y$6,0)+if(and('Spell Switchboard'!$I$8,'Spell Switchboard'!$G$8="Holy Sword vs Evil"),'Custom Dice Roller'!$Y$22,0)+(sum(H16:H37)+mid(G39,11,2))*if(value(mid(E39,11,2))&gt;=G14,G13,if(value(mid(E39,11,2))=1,0,1)),"NA")</f>
        <v>NA</v>
      </c>
      <c r="I39" s="3"/>
      <c r="J39" s="4"/>
      <c r="K39" s="175"/>
      <c r="L39" s="63" t="str">
        <f>if(L39=0,"Attack 2: ",if(and($W$41,M18&gt;5,not(M34&lt;-3)),"Attack 2: "&amp;RANDBETWEEN(1,20),L39))</f>
        <v>Attack 2: 8</v>
      </c>
      <c r="M39" s="121" t="str">
        <f>if(and(M18&gt;5,not(M18="NA"),not(M32&lt;-3)),sum(M18:M37)+mid(L39,11,2)-5,"NA")</f>
        <v>NA</v>
      </c>
      <c r="N39" s="137" t="str">
        <f t="array" ref="N39">if(or(O11="",Q11=""),"Enter Damage Dice",if(or(and($W$41,M18&gt;5,or(M32=0,M32&lt;-3)),and(M32&lt;-3,$W$41)),"Damage 2: "&amp;if(O11=1,randbetween(1,Q11),sum(indirect("'Custom Dice Roller'!"&amp;dget(Sheet4!$O$87:$P$94,Sheet4!$O$87,{"number";Q11})&amp;'Custom Dice Roller'!$K$11):indirect("'Custom Dice Roller'!"&amp;dget(Sheet4!$O$87:$P$94,Sheet4!$O$87,{"number";Q11})&amp;'Custom Dice Roller'!$K$11+O11-1))),N39))</f>
        <v>Damage 2: 3</v>
      </c>
      <c r="O39" s="180" t="str">
        <f>if(and(M18&gt;5,not(M18="NA"),not(or(O11="",Q11="")),or(M32=0,M32&lt;-3)),if(and('Class Abilities'!$P$27,Feats!$P$6&lt;2),'Custom Dice Roller'!$Y$14,0)+if('Spell Switchboard'!$D$34,'Custom Dice Roller'!$Y$30,0)+(sum(O18:O37)+mid(N39,11,2))*if(and(M32&gt;-4,value(mid(L39,11,2))&gt;=N16),N15,if(or(value(mid(L39,11,2))=1,and(M32&lt;-3,value(mid(L38,11,2))=1)),0,1)),"NA")</f>
        <v>NA</v>
      </c>
      <c r="P39" s="3"/>
      <c r="Q39" s="4"/>
      <c r="S39" s="181" t="s">
        <v>399</v>
      </c>
      <c r="T39" s="182">
        <f>10+SUM(T17:T38)</f>
        <v>10</v>
      </c>
      <c r="U39" s="60"/>
      <c r="V39" s="134">
        <f>Z5
+
if(AD8,-4,0)</f>
        <v>0</v>
      </c>
      <c r="W39" s="11"/>
      <c r="X39" s="183"/>
      <c r="Y39" s="57">
        <f t="array" ref="Y39">max(0,
if(iferror(dget(Main!$B$3:$C$6,Main!$C$3,{"Class";"Monk"})&gt;=13,False),10+dget(Main!$B$3:$C$6,Main!$C$3,{"Class";"Monk"}),0),
if(and('Spell Switchboard'!D15,'Spell Switchboard'!B15="Cloak of Chaos vs Law"),25,0),
if(and('Spell Switchboard'!I7,'Spell Switchboard'!G7="Holy Aura vs Evil"),25,0),
if(and('Spell Switchboard'!N18,'Spell Switchboard'!L18="Shield of Law vs Chaos"),25,0),
if(and('Spell Switchboard'!N41,'Spell Switchboard'!L41="Unholy Aura vs Good"),25,0),
if('Spell Switchboard'!N25,12+'Spell Switchboard'!O25,0))</f>
        <v>0</v>
      </c>
      <c r="Z39" s="11"/>
      <c r="AE39" s="62"/>
    </row>
    <row r="40">
      <c r="A40" s="50"/>
      <c r="B40" s="60"/>
      <c r="C40" s="60"/>
      <c r="D40" s="50"/>
      <c r="E40" s="55" t="str">
        <f>if(E40=0,"Attack 3: ",if(or(and($W$41,F16&gt;10,not(Feats!$P$16)),and(Feats!$P$16,$W$41,G12="Off Hand",Feats!$N$16="Greater Two Weapon Fighting")),"Attack 3: "&amp;RANDBETWEEN(1,20),E40))</f>
        <v>Attack 3: 17</v>
      </c>
      <c r="F40" s="184" t="str">
        <f>if(or(and(F16&gt;10,not(F16="NA"),not(G12="Off Hand")),and(Feats!$P$16,G12="Off Hand",or(Feats!$N$16="Greater Two Weapon Fighting"))),sum(F16:F37)+mid(E40,11,2)-10,"NA")</f>
        <v>NA</v>
      </c>
      <c r="G40" s="133" t="str">
        <f t="array" ref="G40">if(or(H11="",J11=""),"Enter Damage Dice",if(and($W$41,not(F40="NA")),"Damage 3: "&amp;if(H11=1,randbetween(1,J11),sum(indirect("'Custom Dice Roller'!"&amp;dget(Sheet4!$O$87:$P$94,Sheet4!$O$87,{"number";J11})&amp;'Custom Dice Roller'!$K$4):indirect("'Custom Dice Roller'!"&amp;dget(Sheet4!$O$87:$P$94,Sheet4!$O$87,{"number";J11})&amp;'Custom Dice Roller'!$K$4+H11-1))),G40))</f>
        <v>Damage 3: 1</v>
      </c>
      <c r="H40" s="185" t="str">
        <f>if(not(F40="NA"),if('Class Abilities'!$P$27,'Custom Dice Roller'!$Y$7,0)+if(and('Spell Switchboard'!$I$8,'Spell Switchboard'!$G$8="Holy Sword vs Evil"),'Custom Dice Roller'!$Y$23,0)+(sum(H16:H37)+mid(G40,11,2))*if(value(mid(E40,11,2))&gt;=G14,G13,if(value(mid(E40,11,2))=1,0,1)),"NA")</f>
        <v>NA</v>
      </c>
      <c r="I40" s="10"/>
      <c r="J40" s="11"/>
      <c r="K40" s="175"/>
      <c r="L40" s="55" t="str">
        <f>if(L40=0,"Attack 3: ",if(and($W$41,M18&gt;10,not(M34&lt;-3)),"Attack 3: "&amp;RANDBETWEEN(1,20),L40))</f>
        <v>Attack 3: 15</v>
      </c>
      <c r="M40" s="184" t="str">
        <f>if(and(M18&gt;10,not(M18="NA"),not(M32&lt;-3)),sum(M18:M37)+mid(L40,11,2)-10,"NA")</f>
        <v>NA</v>
      </c>
      <c r="N40" s="133" t="str">
        <f t="array" ref="N40">if(or(O11="",Q11=""),"Enter Damage Dice",if(or(and($W$41,M18&gt;10,or(M32=0,M32&lt;-5)),and(M32&lt;-5,$W$41)),"Damage 3: "&amp;if(O11=1,randbetween(1,Q11),sum(indirect("'Custom Dice Roller'!"&amp;dget(Sheet4!$O$87:$P$94,Sheet4!$O$87,{"number";Q11})&amp;'Custom Dice Roller'!$K$12):indirect("'Custom Dice Roller'!"&amp;dget(Sheet4!$O$87:$P$94,Sheet4!$O$87,{"number";Q11})&amp;'Custom Dice Roller'!$K$12+O11-1))),N40))</f>
        <v>Damage 3: 1</v>
      </c>
      <c r="O40" s="185" t="str">
        <f>if(and(M18&gt;10,not(M18="NA"),not(or(O11="",Q11="")),or(M32=0,M32&lt;-5)),if(and('Class Abilities'!$P$27,Feats!$P$6&lt;2),'Custom Dice Roller'!$Y$15,0)+if('Spell Switchboard'!$D$34,'Custom Dice Roller'!$Y$31,0)+(sum(O18:O37)+mid(N40,11,2))*if(and(M32&gt;-6,value(mid(L40,11,2))&gt;=N16),N15,if(or(value(mid(L40,11,2))=1,and(M32&lt;-5,value(mid(L38,11,2))=1)),0,1)),"NA")</f>
        <v>NA</v>
      </c>
      <c r="P40" s="10"/>
      <c r="Q40" s="11"/>
      <c r="S40" s="133" t="s">
        <v>400</v>
      </c>
      <c r="T40" s="186">
        <f>10+SUM(T18:T19)+SUM(T21:T24)+SUM(T26:T29)+sum(T31:T38)</f>
        <v>10</v>
      </c>
      <c r="U40" s="60"/>
      <c r="V40" s="62"/>
      <c r="W40" s="62"/>
      <c r="X40" s="62"/>
      <c r="Y40" s="62"/>
      <c r="Z40" s="62"/>
      <c r="AE40" s="62"/>
    </row>
    <row r="41">
      <c r="A41" s="187"/>
      <c r="B41" s="149" t="s">
        <v>401</v>
      </c>
      <c r="C41" s="4"/>
      <c r="D41" s="187"/>
      <c r="E41" s="63" t="str">
        <f>if(E41=0,"Attack 4: ",if(and($W$41,F16&gt;15,not(Feats!$P$16)),"Attack 4: "&amp;RANDBETWEEN(1,20),E41))</f>
        <v>Attack 4: 12</v>
      </c>
      <c r="F41" s="188" t="str">
        <f>if(and(F16&gt;15,not(F16="NA"),not(G12="Off Hand")),sum(F16:F37)+mid(E41,11,2)-15,"NA")</f>
        <v>NA</v>
      </c>
      <c r="G41" s="137" t="str">
        <f t="array" ref="G41">if(or(H11="",J11=""),"Enter Damage Dice",if(and($W$41,not(F41="NA")),"Damage 4: "&amp;if(H11=1,randbetween(1,J11),sum(indirect("'Custom Dice Roller'!"&amp;dget(Sheet4!$O$87:$P$94,Sheet4!$O$87,{"number";J11})&amp;'Custom Dice Roller'!$K$5):indirect("'Custom Dice Roller'!"&amp;dget(Sheet4!$O$87:$P$94,Sheet4!$O$87,{"number";J11})&amp;'Custom Dice Roller'!$K$5+H11-1))),G41))</f>
        <v>Damage 4: 1</v>
      </c>
      <c r="H41" s="69" t="str">
        <f>if(not(F41="NA"),if('Class Abilities'!$P$27,'Custom Dice Roller'!$Y$8,0)+if(and('Spell Switchboard'!$I$8,'Spell Switchboard'!$G$8="Holy Sword vs Evil"),'Custom Dice Roller'!$Y$24,0)+(sum(H16:H37)+mid(G41,11,2))*if(value(mid(E41,11,2))&gt;=G14,G13,if(value(mid(E41,11,2))=1,0,1)),"NA")</f>
        <v>NA</v>
      </c>
      <c r="I41" s="3"/>
      <c r="J41" s="4"/>
      <c r="K41" s="175"/>
      <c r="L41" s="63" t="str">
        <f>if(L41=0,"Attack 4: ",if(and($W$41,M18&gt;15,not(M34&lt;-3)),"Attack 4: "&amp;RANDBETWEEN(1,20),L41))</f>
        <v>Attack 4: 8</v>
      </c>
      <c r="M41" s="188" t="str">
        <f>if(and(M18&gt;15,not(M18="NA"),not(M32&lt;-3)),sum(M18:M37)+mid(L41,11,2)-15,"NA")</f>
        <v>NA</v>
      </c>
      <c r="N41" s="137" t="str">
        <f t="array" ref="N41">if(or(O11="",Q11=""),"Enter Damage Dice",if(or(and($W$41,M18&gt;15,or(M32=0,M32&lt;-7)),and(M32&lt;-7,$W$41)),"Damage 4: "&amp;if(O11=1,randbetween(1,Q11),sum(indirect("'Custom Dice Roller'!"&amp;dget(Sheet4!$O$87:$P$94,Sheet4!$O$87,{"number";Q11})&amp;'Custom Dice Roller'!$K$13):indirect("'Custom Dice Roller'!"&amp;dget(Sheet4!$O$87:$P$94,Sheet4!$O$87,{"number";Q11})&amp;'Custom Dice Roller'!$K$13+O11-1))),N41))</f>
        <v>Damage 4: 3</v>
      </c>
      <c r="O41" s="69" t="str">
        <f>if(and(M18&gt;15,not(M18="NA"),not(or(O11="",Q11="")),or(M32=0,M32&lt;-7)),if(and('Class Abilities'!$P$27,Feats!$P$6&lt;2),'Custom Dice Roller'!$Y$16,0)+if('Spell Switchboard'!$D$34,'Custom Dice Roller'!$Y$32,0)+(sum(O18:O37)+mid(N41,11,2))*if(and(M32&gt;-8,value(mid(L41,11,2))&gt;=N16),N15,if(or(value(mid(L41,11,2))=1,and(M32&lt;-7,value(mid(L38,11,2))=1)),0,1)),"NA")</f>
        <v>NA</v>
      </c>
      <c r="P41" s="3"/>
      <c r="Q41" s="4"/>
      <c r="R41" s="175"/>
      <c r="S41" s="137" t="s">
        <v>402</v>
      </c>
      <c r="T41" s="188">
        <f>10+T17+IF(T18&lt;0,T18)+SUM(T19:T21)+SUM(T23:T38)</f>
        <v>10</v>
      </c>
      <c r="U41" s="189"/>
      <c r="V41" s="156" t="s">
        <v>403</v>
      </c>
      <c r="W41" s="190" t="b">
        <v>0</v>
      </c>
      <c r="X41" s="60"/>
      <c r="Y41" s="81" t="s">
        <v>404</v>
      </c>
      <c r="Z41" s="81">
        <v>0.0</v>
      </c>
      <c r="AE41" s="62"/>
    </row>
    <row r="42">
      <c r="A42" s="187"/>
      <c r="B42" s="55" t="s">
        <v>405</v>
      </c>
      <c r="C42" s="55"/>
      <c r="D42" s="187"/>
      <c r="E42" s="170" t="str">
        <f>if(E42=0,"Haste: ",if(and($W$41,'Spell Switchboard'!$I$3),"Haste: "&amp;RANDBETWEEN(1,20),E42))</f>
        <v>Haste: 7</v>
      </c>
      <c r="F42" s="171" t="str">
        <f>if('Spell Switchboard'!$I$3,sum(F16:F37)+mid(E42,8,2),"NA")</f>
        <v>NA</v>
      </c>
      <c r="G42" s="55" t="str">
        <f t="array" ref="G42">if(or(H11="",J11=""),"Enter Damage Dice",if(and($W$41,'Spell Switchboard'!$I$3),"Damage H: "&amp;if(H11=1,randbetween(1,J11),sum(indirect("'Custom Dice Roller'!"&amp;dget(Sheet4!$O$87:$P$94,Sheet4!$O$87,{"number";J11})&amp;'Custom Dice Roller'!$K$6):indirect("'Custom Dice Roller'!"&amp;dget(Sheet4!$O$87:$P$94,Sheet4!$O$87,{"number";J11})&amp;'Custom Dice Roller'!$K$6+H11-1))),G42))</f>
        <v>Damage H: 2</v>
      </c>
      <c r="H42" s="185" t="str">
        <f>if(not(F42="NA"),if('Class Abilities'!$P$27,'Custom Dice Roller'!$Y$9,0)+if(and('Spell Switchboard'!$I$8,'Spell Switchboard'!$G$8="Holy Sword vs Evil"),'Custom Dice Roller'!$Y$25,0)+(sum(H16:H37)+mid(G42,11,2))*if(value(mid(E42,11,2))&gt;=G14,G13,if(value(mid(E42,11,2))=1,0,1)),"NA")</f>
        <v>NA</v>
      </c>
      <c r="I42" s="10"/>
      <c r="J42" s="11"/>
      <c r="K42" s="175"/>
      <c r="L42" s="170" t="str">
        <f>if(L42=0,"Haste: ",if(and($W$41,'Spell Switchboard'!$I$3),"Haste: "&amp;RANDBETWEEN(1,20),L42))</f>
        <v>Haste: 11</v>
      </c>
      <c r="M42" s="171" t="str">
        <f>if('Spell Switchboard'!$I$3,sum(M18:M37)+mid(L42,8,2),"NA")</f>
        <v>NA</v>
      </c>
      <c r="N42" s="133" t="str">
        <f t="array" ref="N42">if(or(O11="",Q11=""),"Enter Damage Dice",if($W$41,"Damage H: "&amp;if(O11=1,randbetween(1,Q11),sum(indirect("'Custom Dice Roller'!"&amp;dget(Sheet4!$O$87:$P$94,Sheet4!$O$87,{"number";Q11})&amp;'Custom Dice Roller'!$K$14):indirect("'Custom Dice Roller'!"&amp;dget(Sheet4!$O$87:$P$94,Sheet4!$O$87,{"number";Q11})&amp;'Custom Dice Roller'!$K$14+O11-1))),N42))</f>
        <v>Damage H: 4</v>
      </c>
      <c r="O42" s="185" t="str">
        <f>if(and('Spell Switchboard'!$I$3,not(M18="Enter Class"),not(or(O11="",Q11=""))),if('Class Abilities'!$P$27,'Custom Dice Roller'!$Y$17,0)+if('Spell Switchboard'!$D$34,'Custom Dice Roller'!$Y$33,0)+(sum(O18:O37)+mid(N42,11,2))*if(value(mid(L42,11,2))&gt;=N17,N16,if(value(mid(L42,11,2))=1,0,1)),"NA")</f>
        <v>NA</v>
      </c>
      <c r="P42" s="10"/>
      <c r="Q42" s="11"/>
      <c r="R42" s="175"/>
      <c r="S42" s="60"/>
      <c r="T42" s="60"/>
      <c r="U42" s="189"/>
      <c r="V42" s="189"/>
      <c r="W42" s="189"/>
      <c r="X42" s="189"/>
      <c r="Y42" s="189"/>
      <c r="Z42" s="189"/>
      <c r="AA42" s="175"/>
      <c r="AE42" s="62"/>
    </row>
    <row r="43">
      <c r="A43" s="187"/>
      <c r="B43" s="63" t="s">
        <v>406</v>
      </c>
      <c r="C43" s="64"/>
      <c r="D43" s="187"/>
      <c r="E43" s="88" t="str">
        <f>if(E43=0,"Flurry 1: ",if(and($W$41,'Class Abilities'!$P$22),"Flurry 1: "&amp;RANDBETWEEN(1,20),E43))</f>
        <v>Flurry 1: 18</v>
      </c>
      <c r="F43" s="182" t="str">
        <f t="array" ref="F43">if(and('Class Abilities'!$P$22,iferror(dget(Main!$B$3:$C$6,Main!$C$3,{"Class";"Monk"})&gt;0,False)),sum(F16:F37)+mid(E43,11,2),"NA")</f>
        <v>NA</v>
      </c>
      <c r="G43" s="63" t="str">
        <f t="array" ref="G43">if(or(H11="",J11=""),"Enter Damage Dice",if(and($W$41,'Class Abilities'!$P$22),"Damage F1: "&amp;if(H11=1,randbetween(1,J11),sum(indirect("'Custom Dice Roller'!"&amp;dget(Sheet4!$O$87:$P$94,Sheet4!$O$87,{"number";J11})&amp;'Custom Dice Roller'!$K$7):indirect("'Custom Dice Roller'!"&amp;dget(Sheet4!$O$87:$P$94,Sheet4!$O$87,{"number";J11})&amp;'Custom Dice Roller'!$K$7+H11-1))),G43))</f>
        <v>Damage F1: 4</v>
      </c>
      <c r="H43" s="180" t="str">
        <f>if(not(F43="NA"),if('Class Abilities'!$P$27,'Custom Dice Roller'!$Y$10,0)+if(and('Spell Switchboard'!$I$8,'Spell Switchboard'!$G$8="Holy Sword vs Evil"),'Custom Dice Roller'!$Y$26,0)+(sum(H16:H37)+mid(G43,12,2))*if(value(mid(E43,11,2))&gt;=G14,G13,if(value(mid(E43,11,2))=1,0,1)),"NA")</f>
        <v>NA</v>
      </c>
      <c r="I43" s="3"/>
      <c r="J43" s="4"/>
      <c r="K43" s="175"/>
      <c r="L43" s="88" t="str">
        <f>if(L43=0,"Rapid Shot: ",if(and($W$41,Feats!$P$11),"Rapid Shot: "&amp;RANDBETWEEN(1,20),L43))</f>
        <v>Rapid Shot: 4</v>
      </c>
      <c r="M43" s="121" t="str">
        <f>if(Feats!$P$11,sum(M18:M37)+mid(L43,13,2),"NA")</f>
        <v>NA</v>
      </c>
      <c r="N43" s="137" t="str">
        <f t="array" ref="N43">if(or(O11="",Q11=""),"Enter Damage Dice",if($W$41,"Damage R: "&amp;if(O11=1,randbetween(1,Q11),sum(indirect("'Custom Dice Roller'!"&amp;dget(Sheet4!$O$87:$P$94,Sheet4!$O$87,{"number";Q11})&amp;'Custom Dice Roller'!$K$15):indirect("'Custom Dice Roller'!"&amp;dget(Sheet4!$O$87:$P$94,Sheet4!$O$87,{"number";Q11})&amp;'Custom Dice Roller'!$K$15+O11-1))),N43))</f>
        <v>Damage R: 5</v>
      </c>
      <c r="O43" s="191" t="str">
        <f>if(and(Feats!$P$11,not(M18="Enter Class"),not(or(O11="",Q11=""))),if('Class Abilities'!$P$27,'Custom Dice Roller'!$Y$18,0)+if('Spell Switchboard'!$D$34,'Custom Dice Roller'!$Y$34,0)+(sum(O18:O37)+mid(N43,11,2))*if(value(mid(L43,13,2))&gt;=N16,N15,if(value(mid(L43,13,2))=1,0,1)),"NA")</f>
        <v>NA</v>
      </c>
      <c r="P43" s="3"/>
      <c r="Q43" s="4"/>
      <c r="R43" s="175"/>
      <c r="V43" s="192" t="s">
        <v>407</v>
      </c>
      <c r="W43" s="3"/>
      <c r="X43" s="3"/>
      <c r="Y43" s="4"/>
      <c r="Z43" s="135" t="b">
        <v>0</v>
      </c>
      <c r="AA43" s="175"/>
      <c r="AE43" s="62"/>
    </row>
    <row r="44">
      <c r="A44" s="187"/>
      <c r="B44" s="55" t="s">
        <v>408</v>
      </c>
      <c r="C44" s="74">
        <f>if(Feats!P13,1,0)+if(Feats!N13="Greater Spell Focus",1,0)</f>
        <v>0</v>
      </c>
      <c r="D44" s="187"/>
      <c r="E44" s="170" t="str">
        <f>if(E44=0,"Flurry 2: ",if(and($W$41,'Class Abilities'!$P$22),"Flurry 2: "&amp;RANDBETWEEN(1,20),E44))</f>
        <v>Flurry 2: 10</v>
      </c>
      <c r="F44" s="171" t="str">
        <f t="array" ref="F44">if(and('Class Abilities'!$P$22,iferror(dget(Main!$B$3:$C$6,Main!$C$3,{"Class";"Monk"}),0)&gt;=11),sum(F16:F37)+mid(E44,11,2),"NA")</f>
        <v>NA</v>
      </c>
      <c r="G44" s="55" t="str">
        <f t="array" ref="G44">if(or(H11="",J11=""),"Enter Damage Dice",if(and($W$41,'Class Abilities'!$P$22),"Damage F2: "&amp;if(H11=1,randbetween(1,J11),sum(indirect("'Custom Dice Roller'!"&amp;dget(Sheet4!$O$87:$P$94,Sheet4!$O$87,{"number";J11})&amp;'Custom Dice Roller'!$K$8):indirect("'Custom Dice Roller'!"&amp;dget(Sheet4!$O$87:$P$94,Sheet4!$O$87,{"number";J11})&amp;'Custom Dice Roller'!$K$8+H11-1))),G44))</f>
        <v>Damage F2: 3</v>
      </c>
      <c r="H44" s="185" t="str">
        <f>if(not(F44="NA"),if('Class Abilities'!$P$27,'Custom Dice Roller'!$Y$11,0)+if(and('Spell Switchboard'!$I$8,'Spell Switchboard'!$G$8="Holy Sword vs Evil"),'Custom Dice Roller'!$Y$27,0)+(sum(H16:H37)+mid(G44,12,2))*if(value(mid(E44,11,2))&gt;=G14,G13,if(value(mid(E44,11,2))=1,0,1)),"NA")</f>
        <v>NA</v>
      </c>
      <c r="I44" s="10"/>
      <c r="J44" s="11"/>
      <c r="K44" s="175"/>
      <c r="L44" s="55" t="s">
        <v>381</v>
      </c>
      <c r="M44" s="184"/>
      <c r="N44" s="133" t="s">
        <v>381</v>
      </c>
      <c r="O44" s="134"/>
      <c r="P44" s="10"/>
      <c r="Q44" s="11"/>
      <c r="R44" s="175"/>
      <c r="V44" s="193" t="s">
        <v>409</v>
      </c>
      <c r="W44" s="10"/>
      <c r="X44" s="10"/>
      <c r="Y44" s="11"/>
      <c r="Z44" s="143" t="b">
        <v>0</v>
      </c>
      <c r="AA44" s="175"/>
      <c r="AE44" s="194"/>
    </row>
    <row r="45">
      <c r="A45" s="187"/>
      <c r="B45" s="63" t="s">
        <v>401</v>
      </c>
      <c r="C45" s="121">
        <f>10+if(C42="INT",Z7,if(C42="WIS",Z8,IF(C42="CHA",Z9,0)))+C43</f>
        <v>10</v>
      </c>
      <c r="D45" s="187"/>
      <c r="E45" s="63" t="s">
        <v>381</v>
      </c>
      <c r="F45" s="63"/>
      <c r="G45" s="63" t="s">
        <v>381</v>
      </c>
      <c r="H45" s="149"/>
      <c r="I45" s="3"/>
      <c r="J45" s="4"/>
      <c r="K45" s="175"/>
      <c r="L45" s="63" t="s">
        <v>381</v>
      </c>
      <c r="M45" s="63"/>
      <c r="N45" s="63" t="s">
        <v>381</v>
      </c>
      <c r="O45" s="149"/>
      <c r="P45" s="3"/>
      <c r="Q45" s="4"/>
      <c r="R45" s="175"/>
      <c r="V45" s="192" t="s">
        <v>410</v>
      </c>
      <c r="W45" s="3"/>
      <c r="X45" s="3"/>
      <c r="Y45" s="4"/>
      <c r="Z45" s="135" t="b">
        <v>0</v>
      </c>
      <c r="AA45" s="175"/>
      <c r="AE45" s="195"/>
    </row>
    <row r="46">
      <c r="A46" s="187"/>
      <c r="B46" s="196"/>
      <c r="C46" s="196"/>
      <c r="D46" s="187"/>
      <c r="K46" s="175"/>
      <c r="L46" s="175"/>
      <c r="M46" s="175"/>
      <c r="N46" s="175"/>
      <c r="O46" s="175"/>
      <c r="P46" s="175"/>
      <c r="Q46" s="175"/>
      <c r="R46" s="175"/>
      <c r="AA46" s="175"/>
      <c r="AB46" s="62"/>
      <c r="AC46" s="62"/>
      <c r="AD46" s="62"/>
      <c r="AE46" s="195"/>
    </row>
    <row r="47">
      <c r="A47" s="187"/>
      <c r="B47" s="196"/>
      <c r="C47" s="196"/>
      <c r="D47" s="187"/>
      <c r="L47" s="175"/>
      <c r="M47" s="175"/>
      <c r="N47" s="175"/>
      <c r="O47" s="175"/>
      <c r="P47" s="175"/>
      <c r="Q47" s="175"/>
      <c r="R47" s="175"/>
      <c r="AA47" s="175"/>
      <c r="AE47" s="195"/>
    </row>
    <row r="48">
      <c r="A48" s="187"/>
      <c r="B48" s="196"/>
      <c r="C48" s="196"/>
      <c r="D48" s="187"/>
      <c r="L48" s="175"/>
      <c r="M48" s="175"/>
      <c r="N48" s="175"/>
      <c r="O48" s="175"/>
      <c r="P48" s="175"/>
      <c r="Q48" s="175"/>
      <c r="R48" s="175"/>
      <c r="Y48" s="175"/>
      <c r="Z48" s="175"/>
      <c r="AA48" s="175"/>
      <c r="AE48" s="195"/>
    </row>
    <row r="49">
      <c r="A49" s="187"/>
      <c r="B49" s="196"/>
      <c r="C49" s="196"/>
      <c r="D49" s="187"/>
      <c r="L49" s="175"/>
      <c r="M49" s="175"/>
      <c r="N49" s="175"/>
      <c r="O49" s="175"/>
      <c r="P49" s="175"/>
      <c r="Q49" s="175"/>
      <c r="R49" s="175"/>
      <c r="V49" s="175"/>
      <c r="W49" s="175"/>
      <c r="X49" s="175"/>
      <c r="Y49" s="175"/>
      <c r="Z49" s="175"/>
      <c r="AA49" s="175"/>
      <c r="AE49" s="195"/>
    </row>
    <row r="50">
      <c r="A50" s="187"/>
      <c r="B50" s="196"/>
      <c r="C50" s="196"/>
      <c r="D50" s="187"/>
      <c r="L50" s="175"/>
      <c r="M50" s="175"/>
      <c r="N50" s="175"/>
      <c r="O50" s="175"/>
      <c r="P50" s="175"/>
      <c r="Q50" s="175"/>
      <c r="R50" s="175"/>
      <c r="S50" s="175"/>
      <c r="T50" s="175"/>
      <c r="U50" s="175"/>
      <c r="V50" s="175"/>
      <c r="W50" s="175"/>
      <c r="X50" s="175"/>
      <c r="Y50" s="175"/>
      <c r="Z50" s="175"/>
      <c r="AA50" s="175"/>
      <c r="AE50" s="195"/>
    </row>
    <row r="51">
      <c r="A51" s="187"/>
      <c r="B51" s="196"/>
      <c r="C51" s="196"/>
      <c r="D51" s="187"/>
      <c r="L51" s="197"/>
      <c r="M51" s="175"/>
      <c r="N51" s="175"/>
      <c r="O51" s="175"/>
      <c r="P51" s="175"/>
      <c r="Q51" s="175"/>
      <c r="R51" s="175"/>
      <c r="S51" s="175"/>
      <c r="T51" s="175"/>
      <c r="U51" s="175"/>
      <c r="V51" s="175"/>
      <c r="W51" s="175"/>
      <c r="X51" s="175"/>
      <c r="Y51" s="175"/>
      <c r="Z51" s="175"/>
      <c r="AA51" s="175"/>
      <c r="AE51" s="195"/>
    </row>
    <row r="52">
      <c r="A52" s="187"/>
      <c r="B52" s="196"/>
      <c r="C52" s="196"/>
      <c r="D52" s="187"/>
      <c r="O52" s="175"/>
      <c r="P52" s="175"/>
      <c r="Q52" s="175"/>
      <c r="R52" s="175"/>
      <c r="S52" s="175"/>
      <c r="T52" s="175"/>
      <c r="U52" s="175"/>
      <c r="V52" s="175"/>
      <c r="W52" s="175"/>
      <c r="X52" s="175"/>
      <c r="Y52" s="175"/>
      <c r="Z52" s="175"/>
      <c r="AA52" s="175"/>
      <c r="AE52" s="195"/>
    </row>
    <row r="53">
      <c r="A53" s="187"/>
      <c r="D53" s="187"/>
      <c r="O53" s="175"/>
      <c r="P53" s="175"/>
      <c r="Q53" s="175"/>
      <c r="R53" s="175"/>
      <c r="S53" s="175"/>
      <c r="T53" s="175"/>
      <c r="U53" s="175"/>
      <c r="V53" s="175"/>
      <c r="W53" s="175"/>
      <c r="X53" s="175"/>
      <c r="Y53" s="175"/>
      <c r="Z53" s="175"/>
      <c r="AA53" s="175"/>
      <c r="AE53" s="195"/>
    </row>
    <row r="54">
      <c r="A54" s="187"/>
      <c r="D54" s="187"/>
      <c r="O54" s="175"/>
      <c r="P54" s="175"/>
      <c r="Q54" s="175"/>
      <c r="R54" s="175"/>
      <c r="S54" s="175"/>
      <c r="T54" s="175"/>
      <c r="U54" s="175"/>
      <c r="V54" s="175"/>
      <c r="W54" s="175"/>
      <c r="X54" s="175"/>
      <c r="Y54" s="175"/>
      <c r="Z54" s="175"/>
      <c r="AA54" s="175"/>
      <c r="AE54" s="195"/>
    </row>
    <row r="55">
      <c r="A55" s="187"/>
      <c r="D55" s="187"/>
      <c r="O55" s="175"/>
      <c r="P55" s="175"/>
      <c r="Q55" s="175"/>
      <c r="R55" s="175"/>
      <c r="S55" s="175"/>
      <c r="T55" s="175"/>
      <c r="U55" s="175"/>
      <c r="V55" s="175"/>
      <c r="W55" s="175"/>
      <c r="X55" s="175"/>
      <c r="Y55" s="175"/>
      <c r="Z55" s="175"/>
      <c r="AA55" s="175"/>
      <c r="AE55" s="195"/>
    </row>
    <row r="56">
      <c r="A56" s="187"/>
      <c r="D56" s="187"/>
      <c r="O56" s="175"/>
      <c r="P56" s="175"/>
      <c r="Q56" s="175"/>
      <c r="R56" s="175"/>
      <c r="S56" s="175"/>
      <c r="T56" s="175"/>
      <c r="U56" s="175"/>
      <c r="V56" s="175"/>
      <c r="W56" s="175"/>
      <c r="X56" s="175"/>
      <c r="Y56" s="175"/>
      <c r="Z56" s="175"/>
      <c r="AA56" s="175"/>
      <c r="AE56" s="195"/>
    </row>
    <row r="57">
      <c r="A57" s="187"/>
      <c r="D57" s="187"/>
      <c r="O57" s="175"/>
      <c r="P57" s="175"/>
      <c r="Q57" s="175"/>
      <c r="R57" s="175"/>
      <c r="S57" s="175"/>
      <c r="T57" s="175"/>
      <c r="U57" s="175"/>
      <c r="V57" s="175"/>
      <c r="W57" s="175"/>
      <c r="X57" s="175"/>
      <c r="Y57" s="175"/>
      <c r="Z57" s="175"/>
      <c r="AA57" s="175"/>
      <c r="AE57" s="195"/>
    </row>
    <row r="58">
      <c r="A58" s="187"/>
      <c r="D58" s="187"/>
      <c r="O58" s="175"/>
      <c r="P58" s="175"/>
      <c r="Q58" s="175"/>
      <c r="R58" s="175"/>
      <c r="S58" s="175"/>
      <c r="T58" s="175"/>
      <c r="U58" s="175"/>
      <c r="V58" s="175"/>
      <c r="W58" s="175"/>
      <c r="X58" s="175"/>
      <c r="Y58" s="175"/>
      <c r="Z58" s="175"/>
      <c r="AA58" s="175"/>
    </row>
    <row r="59">
      <c r="A59" s="187"/>
      <c r="D59" s="187"/>
      <c r="O59" s="175"/>
      <c r="P59" s="175"/>
      <c r="Q59" s="175"/>
      <c r="R59" s="175"/>
      <c r="S59" s="175"/>
      <c r="T59" s="175"/>
      <c r="U59" s="175"/>
      <c r="V59" s="175"/>
      <c r="W59" s="175"/>
      <c r="X59" s="175"/>
      <c r="Y59" s="175"/>
      <c r="Z59" s="175"/>
      <c r="AA59" s="175"/>
    </row>
    <row r="60">
      <c r="A60" s="187"/>
      <c r="D60" s="187"/>
      <c r="O60" s="175"/>
      <c r="P60" s="175"/>
      <c r="Q60" s="175"/>
      <c r="R60" s="175"/>
      <c r="S60" s="175"/>
      <c r="T60" s="175"/>
      <c r="U60" s="175"/>
      <c r="V60" s="175"/>
      <c r="W60" s="175"/>
      <c r="X60" s="175"/>
      <c r="Y60" s="175"/>
      <c r="Z60" s="175"/>
      <c r="AA60" s="175"/>
    </row>
    <row r="61">
      <c r="A61" s="187"/>
      <c r="D61" s="187"/>
      <c r="O61" s="175"/>
      <c r="P61" s="175"/>
      <c r="Q61" s="175"/>
      <c r="R61" s="175"/>
      <c r="S61" s="175"/>
      <c r="T61" s="175"/>
      <c r="U61" s="175"/>
      <c r="V61" s="175"/>
      <c r="W61" s="175"/>
      <c r="X61" s="175"/>
      <c r="Y61" s="175"/>
      <c r="Z61" s="175"/>
      <c r="AA61" s="175"/>
    </row>
    <row r="62">
      <c r="A62" s="187"/>
      <c r="D62" s="187"/>
      <c r="O62" s="175"/>
      <c r="P62" s="175"/>
      <c r="Q62" s="175"/>
      <c r="R62" s="175"/>
      <c r="S62" s="175"/>
      <c r="T62" s="175"/>
      <c r="U62" s="175"/>
      <c r="V62" s="175"/>
      <c r="W62" s="175"/>
      <c r="X62" s="175"/>
      <c r="Y62" s="175"/>
      <c r="Z62" s="175"/>
      <c r="AA62" s="175"/>
    </row>
    <row r="63">
      <c r="A63" s="187"/>
      <c r="D63" s="187"/>
      <c r="O63" s="175"/>
      <c r="P63" s="175"/>
      <c r="Q63" s="175"/>
      <c r="R63" s="175"/>
      <c r="S63" s="175"/>
      <c r="T63" s="175"/>
      <c r="U63" s="175"/>
      <c r="V63" s="175"/>
      <c r="W63" s="175"/>
      <c r="X63" s="175"/>
      <c r="Y63" s="175"/>
      <c r="Z63" s="175"/>
      <c r="AA63" s="175"/>
    </row>
    <row r="64">
      <c r="A64" s="187"/>
      <c r="D64" s="187"/>
      <c r="O64" s="175"/>
      <c r="P64" s="175"/>
      <c r="Q64" s="175"/>
      <c r="R64" s="175"/>
      <c r="S64" s="175"/>
      <c r="T64" s="175"/>
      <c r="U64" s="175"/>
      <c r="V64" s="175"/>
      <c r="W64" s="175"/>
      <c r="X64" s="175"/>
      <c r="Y64" s="175"/>
      <c r="Z64" s="175"/>
      <c r="AA64" s="175"/>
    </row>
    <row r="65">
      <c r="A65" s="187"/>
      <c r="D65" s="187"/>
      <c r="O65" s="175"/>
      <c r="P65" s="175"/>
      <c r="Q65" s="175"/>
      <c r="R65" s="175"/>
      <c r="S65" s="175"/>
      <c r="T65" s="175"/>
      <c r="U65" s="175"/>
      <c r="V65" s="175"/>
      <c r="W65" s="175"/>
      <c r="X65" s="175"/>
      <c r="Y65" s="175"/>
      <c r="Z65" s="175"/>
      <c r="AA65" s="175"/>
    </row>
    <row r="66">
      <c r="A66" s="187"/>
      <c r="D66" s="187"/>
      <c r="O66" s="175"/>
      <c r="P66" s="175"/>
      <c r="Q66" s="175"/>
      <c r="R66" s="175"/>
      <c r="S66" s="175"/>
      <c r="T66" s="175"/>
      <c r="U66" s="175"/>
      <c r="V66" s="175"/>
      <c r="W66" s="175"/>
      <c r="X66" s="175"/>
      <c r="Y66" s="175"/>
      <c r="Z66" s="175"/>
      <c r="AA66" s="175"/>
    </row>
    <row r="67">
      <c r="A67" s="187"/>
      <c r="D67" s="187"/>
      <c r="O67" s="175"/>
      <c r="P67" s="175"/>
      <c r="Q67" s="175"/>
      <c r="R67" s="175"/>
      <c r="S67" s="175"/>
      <c r="T67" s="175"/>
      <c r="U67" s="175"/>
      <c r="V67" s="175"/>
      <c r="W67" s="175"/>
      <c r="X67" s="175"/>
      <c r="Y67" s="175"/>
      <c r="Z67" s="175"/>
      <c r="AA67" s="175"/>
    </row>
    <row r="68">
      <c r="A68" s="187"/>
      <c r="D68" s="187"/>
      <c r="O68" s="175"/>
      <c r="P68" s="175"/>
      <c r="Q68" s="175"/>
      <c r="R68" s="175"/>
      <c r="S68" s="175"/>
      <c r="T68" s="175"/>
      <c r="U68" s="175"/>
      <c r="V68" s="175"/>
      <c r="W68" s="175"/>
      <c r="X68" s="175"/>
      <c r="Y68" s="175"/>
      <c r="Z68" s="175"/>
      <c r="AA68" s="175"/>
    </row>
    <row r="69">
      <c r="A69" s="187"/>
      <c r="D69" s="187"/>
      <c r="O69" s="175"/>
      <c r="P69" s="175"/>
      <c r="Q69" s="175"/>
      <c r="R69" s="175"/>
      <c r="S69" s="175"/>
      <c r="T69" s="175"/>
      <c r="U69" s="175"/>
      <c r="V69" s="175"/>
      <c r="W69" s="175"/>
      <c r="X69" s="175"/>
      <c r="Y69" s="175"/>
      <c r="Z69" s="175"/>
      <c r="AA69" s="175"/>
    </row>
    <row r="70">
      <c r="A70" s="187"/>
      <c r="D70" s="187"/>
      <c r="O70" s="175"/>
      <c r="P70" s="175"/>
      <c r="Q70" s="175"/>
      <c r="R70" s="175"/>
      <c r="S70" s="175"/>
      <c r="T70" s="175"/>
      <c r="U70" s="175"/>
      <c r="V70" s="175"/>
      <c r="W70" s="175"/>
      <c r="X70" s="175"/>
      <c r="Y70" s="175"/>
      <c r="Z70" s="175"/>
      <c r="AA70" s="175"/>
    </row>
    <row r="71">
      <c r="A71" s="187"/>
      <c r="D71" s="187"/>
      <c r="O71" s="175"/>
      <c r="P71" s="175"/>
      <c r="Q71" s="175"/>
      <c r="R71" s="175"/>
      <c r="S71" s="175"/>
      <c r="T71" s="175"/>
      <c r="U71" s="175"/>
      <c r="V71" s="175"/>
      <c r="W71" s="175"/>
      <c r="X71" s="175"/>
      <c r="Y71" s="175"/>
      <c r="Z71" s="175"/>
      <c r="AA71" s="175"/>
    </row>
    <row r="72">
      <c r="A72" s="187"/>
      <c r="D72" s="187"/>
      <c r="O72" s="175"/>
      <c r="P72" s="175"/>
      <c r="Q72" s="175"/>
      <c r="R72" s="175"/>
      <c r="S72" s="175"/>
      <c r="T72" s="175"/>
      <c r="U72" s="175"/>
      <c r="V72" s="175"/>
      <c r="W72" s="175"/>
      <c r="X72" s="175"/>
      <c r="Y72" s="175"/>
      <c r="Z72" s="175"/>
      <c r="AA72" s="175"/>
    </row>
    <row r="73">
      <c r="A73" s="187"/>
      <c r="D73" s="187"/>
      <c r="O73" s="175"/>
      <c r="P73" s="175"/>
      <c r="Q73" s="175"/>
      <c r="R73" s="175"/>
      <c r="S73" s="175"/>
      <c r="T73" s="175"/>
      <c r="U73" s="175"/>
      <c r="V73" s="175"/>
      <c r="W73" s="175"/>
      <c r="X73" s="175"/>
      <c r="Y73" s="175"/>
      <c r="Z73" s="175"/>
      <c r="AA73" s="175"/>
    </row>
    <row r="74">
      <c r="A74" s="187"/>
      <c r="D74" s="187"/>
      <c r="O74" s="175"/>
      <c r="P74" s="175"/>
      <c r="Q74" s="175"/>
      <c r="R74" s="175"/>
      <c r="S74" s="175"/>
      <c r="T74" s="175"/>
      <c r="U74" s="175"/>
      <c r="V74" s="175"/>
      <c r="W74" s="175"/>
      <c r="X74" s="175"/>
      <c r="Y74" s="175"/>
      <c r="Z74" s="175"/>
      <c r="AA74" s="175"/>
    </row>
    <row r="75">
      <c r="A75" s="187"/>
      <c r="D75" s="187"/>
      <c r="O75" s="175"/>
      <c r="P75" s="175"/>
      <c r="Q75" s="175"/>
      <c r="R75" s="175"/>
      <c r="S75" s="175"/>
      <c r="T75" s="175"/>
      <c r="U75" s="175"/>
      <c r="V75" s="175"/>
      <c r="W75" s="175"/>
      <c r="X75" s="175"/>
      <c r="Y75" s="175"/>
      <c r="Z75" s="175"/>
      <c r="AA75" s="175"/>
    </row>
    <row r="76">
      <c r="A76" s="187"/>
      <c r="D76" s="187"/>
      <c r="O76" s="175"/>
      <c r="P76" s="175"/>
      <c r="Q76" s="175"/>
      <c r="R76" s="175"/>
      <c r="S76" s="175"/>
      <c r="T76" s="175"/>
      <c r="U76" s="175"/>
      <c r="V76" s="175"/>
      <c r="W76" s="175"/>
      <c r="X76" s="175"/>
      <c r="Y76" s="175"/>
      <c r="Z76" s="175"/>
      <c r="AA76" s="175"/>
    </row>
    <row r="77">
      <c r="A77" s="187"/>
      <c r="D77" s="187"/>
      <c r="O77" s="175"/>
      <c r="P77" s="175"/>
      <c r="Q77" s="175"/>
      <c r="R77" s="175"/>
      <c r="S77" s="175"/>
      <c r="T77" s="175"/>
      <c r="U77" s="175"/>
      <c r="V77" s="175"/>
      <c r="W77" s="175"/>
      <c r="X77" s="175"/>
      <c r="Y77" s="175"/>
      <c r="Z77" s="175"/>
      <c r="AA77" s="175"/>
    </row>
    <row r="78">
      <c r="A78" s="187"/>
      <c r="D78" s="187"/>
      <c r="O78" s="175"/>
      <c r="P78" s="175"/>
      <c r="Q78" s="175"/>
      <c r="R78" s="175"/>
      <c r="S78" s="175"/>
      <c r="T78" s="175"/>
      <c r="U78" s="175"/>
      <c r="V78" s="175"/>
      <c r="W78" s="175"/>
      <c r="X78" s="175"/>
      <c r="Y78" s="175"/>
      <c r="Z78" s="175"/>
      <c r="AA78" s="175"/>
    </row>
    <row r="79">
      <c r="A79" s="187"/>
      <c r="D79" s="187"/>
      <c r="O79" s="175"/>
      <c r="P79" s="175"/>
      <c r="Q79" s="175"/>
      <c r="R79" s="175"/>
      <c r="S79" s="175"/>
      <c r="T79" s="175"/>
      <c r="U79" s="175"/>
      <c r="V79" s="175"/>
      <c r="W79" s="175"/>
      <c r="X79" s="175"/>
      <c r="Y79" s="175"/>
      <c r="Z79" s="175"/>
      <c r="AA79" s="175"/>
    </row>
    <row r="80">
      <c r="A80" s="187"/>
      <c r="D80" s="187"/>
      <c r="O80" s="175"/>
      <c r="P80" s="175"/>
      <c r="Q80" s="175"/>
      <c r="R80" s="175"/>
      <c r="S80" s="175"/>
      <c r="T80" s="175"/>
      <c r="U80" s="175"/>
      <c r="V80" s="175"/>
      <c r="W80" s="175"/>
      <c r="X80" s="175"/>
      <c r="Y80" s="175"/>
      <c r="Z80" s="175"/>
      <c r="AA80" s="175"/>
    </row>
    <row r="81">
      <c r="A81" s="187"/>
      <c r="D81" s="187"/>
      <c r="O81" s="175"/>
      <c r="P81" s="175"/>
      <c r="Q81" s="175"/>
      <c r="R81" s="175"/>
      <c r="S81" s="175"/>
      <c r="T81" s="175"/>
      <c r="U81" s="175"/>
      <c r="V81" s="175"/>
      <c r="W81" s="175"/>
      <c r="X81" s="175"/>
      <c r="Y81" s="175"/>
      <c r="Z81" s="175"/>
      <c r="AA81" s="175"/>
    </row>
    <row r="82">
      <c r="A82" s="187"/>
      <c r="D82" s="187"/>
      <c r="O82" s="175"/>
      <c r="P82" s="175"/>
      <c r="Q82" s="175"/>
      <c r="R82" s="175"/>
      <c r="S82" s="175"/>
      <c r="T82" s="175"/>
      <c r="U82" s="175"/>
      <c r="V82" s="175"/>
      <c r="W82" s="175"/>
      <c r="X82" s="175"/>
      <c r="Y82" s="175"/>
      <c r="Z82" s="175"/>
      <c r="AA82" s="175"/>
    </row>
    <row r="83">
      <c r="A83" s="187"/>
      <c r="D83" s="187"/>
      <c r="O83" s="175"/>
      <c r="P83" s="175"/>
      <c r="Q83" s="175"/>
      <c r="R83" s="175"/>
      <c r="S83" s="175"/>
      <c r="T83" s="175"/>
      <c r="U83" s="175"/>
      <c r="V83" s="175"/>
      <c r="W83" s="175"/>
      <c r="X83" s="175"/>
      <c r="Y83" s="175"/>
      <c r="Z83" s="175"/>
      <c r="AA83" s="175"/>
    </row>
    <row r="84">
      <c r="A84" s="187"/>
      <c r="D84" s="187"/>
      <c r="O84" s="175"/>
      <c r="P84" s="175"/>
      <c r="Q84" s="175"/>
      <c r="R84" s="175"/>
      <c r="S84" s="175"/>
      <c r="T84" s="175"/>
      <c r="U84" s="175"/>
      <c r="V84" s="175"/>
      <c r="W84" s="175"/>
      <c r="X84" s="175"/>
      <c r="Y84" s="175"/>
      <c r="Z84" s="175"/>
      <c r="AA84" s="175"/>
    </row>
    <row r="85">
      <c r="A85" s="187"/>
      <c r="D85" s="187"/>
      <c r="O85" s="175"/>
      <c r="P85" s="175"/>
      <c r="Q85" s="175"/>
      <c r="R85" s="175"/>
      <c r="S85" s="175"/>
      <c r="T85" s="175"/>
      <c r="U85" s="175"/>
      <c r="V85" s="175"/>
      <c r="W85" s="175"/>
      <c r="X85" s="175"/>
      <c r="Y85" s="175"/>
      <c r="Z85" s="175"/>
      <c r="AA85" s="175"/>
    </row>
    <row r="86">
      <c r="A86" s="187"/>
      <c r="D86" s="187"/>
      <c r="O86" s="175"/>
      <c r="P86" s="175"/>
      <c r="Q86" s="175"/>
      <c r="R86" s="175"/>
      <c r="S86" s="175"/>
      <c r="T86" s="175"/>
      <c r="U86" s="175"/>
      <c r="V86" s="175"/>
      <c r="W86" s="175"/>
      <c r="X86" s="175"/>
      <c r="Y86" s="175"/>
      <c r="Z86" s="175"/>
      <c r="AA86" s="175"/>
    </row>
    <row r="87">
      <c r="A87" s="187"/>
      <c r="D87" s="187"/>
      <c r="O87" s="175"/>
      <c r="P87" s="175"/>
      <c r="Q87" s="175"/>
      <c r="R87" s="175"/>
      <c r="S87" s="175"/>
      <c r="T87" s="175"/>
      <c r="U87" s="175"/>
      <c r="V87" s="175"/>
      <c r="W87" s="175"/>
      <c r="X87" s="175"/>
      <c r="Y87" s="175"/>
      <c r="Z87" s="175"/>
      <c r="AA87" s="175"/>
    </row>
    <row r="88">
      <c r="A88" s="187"/>
      <c r="D88" s="187"/>
      <c r="O88" s="175"/>
      <c r="P88" s="175"/>
      <c r="Q88" s="175"/>
      <c r="R88" s="175"/>
      <c r="S88" s="175"/>
      <c r="T88" s="175"/>
      <c r="U88" s="175"/>
      <c r="V88" s="175"/>
      <c r="W88" s="175"/>
      <c r="X88" s="175"/>
      <c r="Y88" s="175"/>
      <c r="Z88" s="175"/>
      <c r="AA88" s="175"/>
    </row>
    <row r="89">
      <c r="A89" s="187"/>
      <c r="D89" s="187"/>
      <c r="O89" s="175"/>
      <c r="P89" s="175"/>
      <c r="Q89" s="175"/>
      <c r="R89" s="175"/>
      <c r="S89" s="175"/>
      <c r="T89" s="175"/>
      <c r="U89" s="175"/>
      <c r="V89" s="175"/>
      <c r="W89" s="175"/>
      <c r="X89" s="175"/>
      <c r="Y89" s="175"/>
      <c r="Z89" s="175"/>
      <c r="AA89" s="175"/>
    </row>
    <row r="90">
      <c r="A90" s="187"/>
      <c r="D90" s="187"/>
      <c r="O90" s="175"/>
      <c r="P90" s="175"/>
      <c r="Q90" s="175"/>
      <c r="R90" s="175"/>
      <c r="S90" s="175"/>
      <c r="T90" s="175"/>
      <c r="U90" s="175"/>
      <c r="V90" s="175"/>
      <c r="W90" s="175"/>
      <c r="X90" s="175"/>
      <c r="Y90" s="175"/>
      <c r="Z90" s="175"/>
      <c r="AA90" s="175"/>
    </row>
    <row r="91">
      <c r="A91" s="187"/>
      <c r="D91" s="187"/>
      <c r="O91" s="175"/>
      <c r="P91" s="175"/>
      <c r="Q91" s="175"/>
      <c r="R91" s="175"/>
      <c r="S91" s="175"/>
      <c r="T91" s="175"/>
      <c r="U91" s="175"/>
      <c r="V91" s="175"/>
      <c r="W91" s="175"/>
      <c r="X91" s="175"/>
      <c r="Y91" s="175"/>
      <c r="Z91" s="175"/>
      <c r="AA91" s="175"/>
    </row>
    <row r="92">
      <c r="A92" s="187"/>
      <c r="D92" s="187"/>
      <c r="O92" s="175"/>
      <c r="P92" s="175"/>
      <c r="Q92" s="175"/>
      <c r="R92" s="175"/>
      <c r="S92" s="175"/>
      <c r="T92" s="175"/>
      <c r="U92" s="175"/>
      <c r="V92" s="175"/>
      <c r="W92" s="175"/>
      <c r="X92" s="175"/>
      <c r="Y92" s="175"/>
      <c r="Z92" s="175"/>
      <c r="AA92" s="175"/>
    </row>
    <row r="93">
      <c r="A93" s="187"/>
      <c r="D93" s="187"/>
      <c r="O93" s="175"/>
      <c r="P93" s="175"/>
      <c r="Q93" s="175"/>
      <c r="R93" s="175"/>
      <c r="S93" s="175"/>
      <c r="T93" s="175"/>
      <c r="U93" s="175"/>
      <c r="V93" s="175"/>
      <c r="W93" s="175"/>
      <c r="X93" s="175"/>
      <c r="Y93" s="175"/>
      <c r="Z93" s="175"/>
      <c r="AA93" s="175"/>
    </row>
    <row r="94">
      <c r="A94" s="187"/>
      <c r="D94" s="187"/>
      <c r="O94" s="175"/>
      <c r="P94" s="175"/>
      <c r="Q94" s="175"/>
      <c r="R94" s="175"/>
      <c r="S94" s="175"/>
      <c r="T94" s="175"/>
      <c r="U94" s="175"/>
      <c r="V94" s="175"/>
      <c r="W94" s="175"/>
      <c r="X94" s="175"/>
      <c r="Y94" s="175"/>
      <c r="Z94" s="175"/>
      <c r="AA94" s="175"/>
    </row>
    <row r="95">
      <c r="A95" s="187"/>
      <c r="D95" s="187"/>
      <c r="O95" s="175"/>
      <c r="P95" s="175"/>
      <c r="Q95" s="175"/>
      <c r="R95" s="175"/>
      <c r="S95" s="175"/>
      <c r="T95" s="175"/>
      <c r="U95" s="175"/>
      <c r="V95" s="175"/>
      <c r="W95" s="175"/>
      <c r="X95" s="175"/>
      <c r="Y95" s="175"/>
      <c r="Z95" s="175"/>
      <c r="AA95" s="175"/>
    </row>
    <row r="96">
      <c r="A96" s="187"/>
      <c r="D96" s="187"/>
      <c r="O96" s="175"/>
      <c r="P96" s="175"/>
      <c r="Q96" s="175"/>
      <c r="R96" s="175"/>
      <c r="S96" s="175"/>
      <c r="T96" s="175"/>
      <c r="U96" s="175"/>
      <c r="V96" s="175"/>
      <c r="W96" s="175"/>
      <c r="X96" s="175"/>
      <c r="Y96" s="175"/>
      <c r="Z96" s="175"/>
      <c r="AA96" s="175"/>
    </row>
    <row r="97">
      <c r="A97" s="187"/>
      <c r="D97" s="187"/>
      <c r="O97" s="175"/>
      <c r="P97" s="175"/>
      <c r="Q97" s="175"/>
      <c r="R97" s="175"/>
      <c r="S97" s="175"/>
      <c r="T97" s="175"/>
      <c r="U97" s="175"/>
      <c r="V97" s="175"/>
      <c r="W97" s="175"/>
      <c r="X97" s="175"/>
      <c r="Y97" s="175"/>
      <c r="Z97" s="175"/>
      <c r="AA97" s="175"/>
    </row>
    <row r="98">
      <c r="A98" s="187"/>
      <c r="D98" s="187"/>
      <c r="O98" s="175"/>
      <c r="P98" s="175"/>
      <c r="Q98" s="175"/>
      <c r="R98" s="175"/>
      <c r="S98" s="175"/>
      <c r="T98" s="175"/>
      <c r="U98" s="175"/>
      <c r="V98" s="175"/>
      <c r="W98" s="175"/>
      <c r="X98" s="175"/>
      <c r="Y98" s="175"/>
      <c r="Z98" s="175"/>
      <c r="AA98" s="175"/>
    </row>
    <row r="99">
      <c r="A99" s="187"/>
      <c r="D99" s="187"/>
      <c r="O99" s="175"/>
      <c r="P99" s="175"/>
      <c r="Q99" s="175"/>
      <c r="R99" s="175"/>
      <c r="S99" s="175"/>
      <c r="T99" s="175"/>
      <c r="U99" s="175"/>
      <c r="V99" s="175"/>
      <c r="W99" s="175"/>
      <c r="X99" s="175"/>
      <c r="Y99" s="175"/>
      <c r="Z99" s="175"/>
      <c r="AA99" s="175"/>
    </row>
    <row r="100">
      <c r="A100" s="187"/>
      <c r="D100" s="187"/>
      <c r="O100" s="175"/>
      <c r="P100" s="175"/>
      <c r="Q100" s="175"/>
      <c r="R100" s="175"/>
      <c r="S100" s="175"/>
      <c r="T100" s="175"/>
      <c r="U100" s="175"/>
      <c r="V100" s="175"/>
      <c r="W100" s="175"/>
      <c r="X100" s="175"/>
      <c r="Y100" s="175"/>
      <c r="Z100" s="175"/>
      <c r="AA100" s="175"/>
    </row>
    <row r="101">
      <c r="A101" s="187"/>
      <c r="D101" s="187"/>
      <c r="O101" s="175"/>
      <c r="P101" s="175"/>
      <c r="Q101" s="175"/>
      <c r="R101" s="175"/>
      <c r="S101" s="175"/>
      <c r="T101" s="175"/>
      <c r="U101" s="175"/>
      <c r="V101" s="175"/>
      <c r="W101" s="175"/>
      <c r="X101" s="175"/>
      <c r="Y101" s="175"/>
      <c r="Z101" s="175"/>
      <c r="AA101" s="175"/>
    </row>
    <row r="102">
      <c r="A102" s="187"/>
      <c r="D102" s="187"/>
      <c r="O102" s="175"/>
      <c r="P102" s="175"/>
      <c r="Q102" s="175"/>
      <c r="R102" s="175"/>
      <c r="S102" s="175"/>
      <c r="T102" s="175"/>
      <c r="U102" s="175"/>
      <c r="V102" s="175"/>
      <c r="W102" s="175"/>
      <c r="X102" s="175"/>
      <c r="Y102" s="175"/>
      <c r="Z102" s="175"/>
      <c r="AA102" s="175"/>
    </row>
    <row r="103">
      <c r="A103" s="187"/>
      <c r="D103" s="187"/>
      <c r="O103" s="175"/>
      <c r="P103" s="175"/>
      <c r="Q103" s="175"/>
      <c r="R103" s="175"/>
      <c r="S103" s="175"/>
      <c r="T103" s="175"/>
      <c r="U103" s="175"/>
      <c r="V103" s="175"/>
      <c r="W103" s="175"/>
      <c r="X103" s="175"/>
      <c r="Y103" s="175"/>
      <c r="Z103" s="175"/>
      <c r="AA103" s="175"/>
    </row>
    <row r="104">
      <c r="A104" s="187"/>
      <c r="D104" s="187"/>
      <c r="O104" s="175"/>
      <c r="P104" s="175"/>
      <c r="Q104" s="175"/>
      <c r="R104" s="175"/>
      <c r="S104" s="175"/>
      <c r="T104" s="175"/>
      <c r="U104" s="175"/>
      <c r="V104" s="175"/>
      <c r="W104" s="175"/>
      <c r="X104" s="175"/>
      <c r="Y104" s="175"/>
      <c r="Z104" s="175"/>
      <c r="AA104" s="175"/>
    </row>
    <row r="105">
      <c r="A105" s="187"/>
      <c r="D105" s="187"/>
      <c r="O105" s="175"/>
      <c r="P105" s="175"/>
      <c r="Q105" s="175"/>
      <c r="R105" s="175"/>
      <c r="S105" s="175"/>
      <c r="T105" s="175"/>
      <c r="U105" s="175"/>
      <c r="V105" s="175"/>
      <c r="W105" s="175"/>
      <c r="X105" s="175"/>
      <c r="Y105" s="175"/>
      <c r="Z105" s="175"/>
      <c r="AA105" s="175"/>
    </row>
    <row r="106">
      <c r="A106" s="187"/>
      <c r="D106" s="187"/>
      <c r="O106" s="175"/>
      <c r="P106" s="175"/>
      <c r="Q106" s="175"/>
      <c r="R106" s="175"/>
      <c r="S106" s="175"/>
      <c r="T106" s="175"/>
      <c r="U106" s="175"/>
      <c r="V106" s="175"/>
      <c r="W106" s="175"/>
      <c r="X106" s="175"/>
      <c r="Y106" s="175"/>
      <c r="Z106" s="175"/>
      <c r="AA106" s="175"/>
    </row>
    <row r="107">
      <c r="A107" s="187"/>
      <c r="D107" s="187"/>
      <c r="O107" s="175"/>
      <c r="P107" s="175"/>
      <c r="Q107" s="175"/>
      <c r="R107" s="175"/>
      <c r="S107" s="175"/>
      <c r="T107" s="175"/>
      <c r="U107" s="175"/>
      <c r="V107" s="175"/>
      <c r="W107" s="175"/>
      <c r="X107" s="175"/>
      <c r="Y107" s="175"/>
      <c r="Z107" s="175"/>
      <c r="AA107" s="175"/>
    </row>
    <row r="108">
      <c r="A108" s="187"/>
      <c r="D108" s="187"/>
      <c r="O108" s="175"/>
      <c r="P108" s="175"/>
      <c r="Q108" s="175"/>
      <c r="R108" s="175"/>
      <c r="S108" s="175"/>
      <c r="T108" s="175"/>
      <c r="U108" s="175"/>
      <c r="V108" s="175"/>
      <c r="W108" s="175"/>
      <c r="X108" s="175"/>
      <c r="Y108" s="175"/>
      <c r="Z108" s="175"/>
      <c r="AA108" s="175"/>
    </row>
    <row r="109">
      <c r="A109" s="187"/>
      <c r="D109" s="187"/>
      <c r="O109" s="175"/>
      <c r="P109" s="175"/>
      <c r="Q109" s="175"/>
      <c r="R109" s="175"/>
      <c r="S109" s="175"/>
      <c r="T109" s="175"/>
      <c r="U109" s="175"/>
      <c r="V109" s="175"/>
      <c r="W109" s="175"/>
      <c r="X109" s="175"/>
      <c r="Y109" s="175"/>
      <c r="Z109" s="175"/>
      <c r="AA109" s="175"/>
    </row>
    <row r="110">
      <c r="A110" s="187"/>
      <c r="D110" s="187"/>
      <c r="O110" s="175"/>
      <c r="P110" s="175"/>
      <c r="Q110" s="175"/>
      <c r="R110" s="175"/>
      <c r="S110" s="175"/>
      <c r="T110" s="175"/>
      <c r="U110" s="175"/>
      <c r="V110" s="175"/>
      <c r="W110" s="175"/>
      <c r="X110" s="175"/>
      <c r="Y110" s="175"/>
      <c r="Z110" s="175"/>
      <c r="AA110" s="175"/>
    </row>
    <row r="111">
      <c r="A111" s="187"/>
      <c r="D111" s="187"/>
      <c r="O111" s="175"/>
      <c r="P111" s="175"/>
      <c r="Q111" s="175"/>
      <c r="R111" s="175"/>
      <c r="S111" s="175"/>
      <c r="T111" s="175"/>
      <c r="U111" s="175"/>
      <c r="V111" s="175"/>
      <c r="W111" s="175"/>
      <c r="X111" s="175"/>
      <c r="Y111" s="175"/>
      <c r="Z111" s="175"/>
      <c r="AA111" s="175"/>
    </row>
    <row r="112">
      <c r="A112" s="187"/>
      <c r="D112" s="187"/>
      <c r="O112" s="175"/>
      <c r="P112" s="175"/>
      <c r="Q112" s="175"/>
      <c r="R112" s="175"/>
      <c r="S112" s="175"/>
      <c r="T112" s="175"/>
      <c r="U112" s="175"/>
      <c r="V112" s="175"/>
      <c r="W112" s="175"/>
      <c r="X112" s="175"/>
      <c r="Y112" s="175"/>
      <c r="Z112" s="175"/>
      <c r="AA112" s="175"/>
    </row>
    <row r="113">
      <c r="A113" s="187"/>
      <c r="D113" s="187"/>
      <c r="O113" s="175"/>
      <c r="P113" s="175"/>
      <c r="Q113" s="175"/>
      <c r="R113" s="175"/>
      <c r="S113" s="175"/>
      <c r="T113" s="175"/>
      <c r="U113" s="175"/>
      <c r="V113" s="175"/>
      <c r="W113" s="175"/>
      <c r="X113" s="175"/>
      <c r="Y113" s="175"/>
      <c r="Z113" s="175"/>
      <c r="AA113" s="175"/>
    </row>
    <row r="114">
      <c r="A114" s="187"/>
      <c r="D114" s="187"/>
      <c r="O114" s="175"/>
      <c r="P114" s="175"/>
      <c r="Q114" s="175"/>
      <c r="R114" s="175"/>
      <c r="S114" s="175"/>
      <c r="T114" s="175"/>
      <c r="U114" s="175"/>
      <c r="V114" s="175"/>
      <c r="W114" s="175"/>
      <c r="X114" s="175"/>
      <c r="Y114" s="175"/>
      <c r="Z114" s="175"/>
      <c r="AA114" s="175"/>
    </row>
    <row r="115">
      <c r="A115" s="187"/>
      <c r="D115" s="187"/>
      <c r="O115" s="175"/>
      <c r="P115" s="175"/>
      <c r="Q115" s="175"/>
      <c r="R115" s="175"/>
      <c r="S115" s="175"/>
      <c r="T115" s="175"/>
      <c r="U115" s="175"/>
      <c r="V115" s="175"/>
      <c r="W115" s="175"/>
      <c r="X115" s="175"/>
      <c r="Y115" s="175"/>
      <c r="Z115" s="175"/>
      <c r="AA115" s="175"/>
    </row>
    <row r="116">
      <c r="A116" s="187"/>
      <c r="D116" s="187"/>
      <c r="O116" s="175"/>
      <c r="P116" s="175"/>
      <c r="Q116" s="175"/>
      <c r="R116" s="175"/>
      <c r="S116" s="175"/>
      <c r="T116" s="175"/>
      <c r="U116" s="175"/>
      <c r="V116" s="175"/>
      <c r="W116" s="175"/>
      <c r="X116" s="175"/>
      <c r="Y116" s="175"/>
      <c r="Z116" s="175"/>
      <c r="AA116" s="175"/>
    </row>
    <row r="117">
      <c r="A117" s="187"/>
      <c r="D117" s="187"/>
      <c r="O117" s="175"/>
      <c r="P117" s="175"/>
      <c r="Q117" s="175"/>
      <c r="R117" s="175"/>
      <c r="S117" s="175"/>
      <c r="T117" s="175"/>
      <c r="U117" s="175"/>
      <c r="V117" s="175"/>
      <c r="W117" s="175"/>
      <c r="X117" s="175"/>
      <c r="Y117" s="175"/>
      <c r="Z117" s="175"/>
      <c r="AA117" s="175"/>
    </row>
    <row r="118">
      <c r="A118" s="187"/>
      <c r="D118" s="187"/>
      <c r="O118" s="175"/>
      <c r="P118" s="175"/>
      <c r="Q118" s="175"/>
      <c r="R118" s="175"/>
      <c r="S118" s="175"/>
      <c r="T118" s="175"/>
      <c r="U118" s="175"/>
      <c r="V118" s="175"/>
      <c r="W118" s="175"/>
      <c r="X118" s="175"/>
      <c r="Y118" s="175"/>
      <c r="Z118" s="175"/>
      <c r="AA118" s="175"/>
    </row>
    <row r="119">
      <c r="A119" s="187"/>
      <c r="D119" s="187"/>
      <c r="O119" s="175"/>
      <c r="P119" s="175"/>
      <c r="Q119" s="175"/>
      <c r="R119" s="175"/>
      <c r="S119" s="175"/>
      <c r="T119" s="175"/>
      <c r="U119" s="175"/>
      <c r="V119" s="175"/>
      <c r="W119" s="175"/>
      <c r="X119" s="175"/>
      <c r="Y119" s="175"/>
      <c r="Z119" s="175"/>
      <c r="AA119" s="175"/>
    </row>
    <row r="120">
      <c r="A120" s="187"/>
      <c r="D120" s="187"/>
      <c r="O120" s="175"/>
      <c r="P120" s="175"/>
      <c r="Q120" s="175"/>
      <c r="R120" s="175"/>
      <c r="S120" s="175"/>
      <c r="T120" s="175"/>
      <c r="U120" s="175"/>
      <c r="V120" s="175"/>
      <c r="W120" s="175"/>
      <c r="X120" s="175"/>
      <c r="Y120" s="175"/>
      <c r="Z120" s="175"/>
      <c r="AA120" s="175"/>
    </row>
    <row r="121">
      <c r="A121" s="187"/>
      <c r="D121" s="187"/>
      <c r="O121" s="175"/>
      <c r="P121" s="175"/>
      <c r="Q121" s="175"/>
      <c r="R121" s="175"/>
      <c r="S121" s="175"/>
      <c r="T121" s="175"/>
      <c r="U121" s="175"/>
      <c r="V121" s="175"/>
      <c r="W121" s="175"/>
      <c r="X121" s="175"/>
      <c r="Y121" s="175"/>
      <c r="Z121" s="175"/>
      <c r="AA121" s="175"/>
    </row>
    <row r="122">
      <c r="A122" s="187"/>
      <c r="D122" s="187"/>
      <c r="O122" s="175"/>
      <c r="P122" s="175"/>
      <c r="Q122" s="175"/>
      <c r="R122" s="175"/>
      <c r="S122" s="175"/>
      <c r="T122" s="175"/>
      <c r="U122" s="175"/>
      <c r="V122" s="175"/>
      <c r="W122" s="175"/>
      <c r="X122" s="175"/>
      <c r="Y122" s="175"/>
      <c r="Z122" s="175"/>
      <c r="AA122" s="175"/>
    </row>
    <row r="123">
      <c r="A123" s="187"/>
      <c r="D123" s="187"/>
      <c r="O123" s="175"/>
      <c r="P123" s="175"/>
      <c r="Q123" s="175"/>
      <c r="R123" s="175"/>
      <c r="S123" s="175"/>
      <c r="T123" s="175"/>
      <c r="U123" s="175"/>
      <c r="V123" s="175"/>
      <c r="W123" s="175"/>
      <c r="X123" s="175"/>
      <c r="Y123" s="175"/>
      <c r="Z123" s="175"/>
      <c r="AA123" s="175"/>
    </row>
    <row r="124">
      <c r="A124" s="187"/>
      <c r="D124" s="187"/>
      <c r="O124" s="175"/>
      <c r="P124" s="175"/>
      <c r="Q124" s="175"/>
      <c r="R124" s="175"/>
      <c r="S124" s="175"/>
      <c r="T124" s="175"/>
      <c r="U124" s="175"/>
      <c r="V124" s="175"/>
      <c r="W124" s="175"/>
      <c r="X124" s="175"/>
      <c r="Y124" s="175"/>
      <c r="Z124" s="175"/>
      <c r="AA124" s="175"/>
    </row>
    <row r="125">
      <c r="A125" s="187"/>
      <c r="D125" s="187"/>
      <c r="O125" s="175"/>
      <c r="P125" s="175"/>
      <c r="Q125" s="175"/>
      <c r="R125" s="175"/>
      <c r="S125" s="175"/>
      <c r="T125" s="175"/>
      <c r="U125" s="175"/>
      <c r="V125" s="175"/>
      <c r="W125" s="175"/>
      <c r="X125" s="175"/>
      <c r="Y125" s="175"/>
      <c r="Z125" s="175"/>
      <c r="AA125" s="175"/>
    </row>
    <row r="126">
      <c r="A126" s="187"/>
      <c r="D126" s="187"/>
      <c r="O126" s="175"/>
      <c r="P126" s="175"/>
      <c r="Q126" s="175"/>
      <c r="R126" s="175"/>
      <c r="S126" s="175"/>
      <c r="T126" s="175"/>
      <c r="U126" s="175"/>
      <c r="V126" s="175"/>
      <c r="W126" s="175"/>
      <c r="X126" s="175"/>
      <c r="Y126" s="175"/>
      <c r="Z126" s="175"/>
      <c r="AA126" s="175"/>
    </row>
    <row r="127">
      <c r="A127" s="187"/>
      <c r="D127" s="187"/>
      <c r="O127" s="175"/>
      <c r="P127" s="175"/>
      <c r="Q127" s="175"/>
      <c r="R127" s="175"/>
      <c r="S127" s="175"/>
      <c r="T127" s="175"/>
      <c r="U127" s="175"/>
      <c r="V127" s="175"/>
      <c r="W127" s="175"/>
      <c r="X127" s="175"/>
      <c r="Y127" s="175"/>
      <c r="Z127" s="175"/>
      <c r="AA127" s="175"/>
    </row>
    <row r="128">
      <c r="A128" s="187"/>
      <c r="D128" s="187"/>
      <c r="O128" s="175"/>
      <c r="P128" s="175"/>
      <c r="Q128" s="175"/>
      <c r="R128" s="175"/>
      <c r="S128" s="175"/>
      <c r="T128" s="175"/>
      <c r="U128" s="175"/>
      <c r="V128" s="175"/>
      <c r="W128" s="175"/>
      <c r="X128" s="175"/>
      <c r="Y128" s="175"/>
      <c r="Z128" s="175"/>
      <c r="AA128" s="175"/>
    </row>
    <row r="129">
      <c r="A129" s="187"/>
      <c r="D129" s="187"/>
      <c r="O129" s="175"/>
      <c r="P129" s="175"/>
      <c r="Q129" s="175"/>
      <c r="R129" s="175"/>
      <c r="S129" s="175"/>
      <c r="T129" s="175"/>
      <c r="U129" s="175"/>
      <c r="V129" s="175"/>
      <c r="W129" s="175"/>
      <c r="X129" s="175"/>
      <c r="Y129" s="175"/>
      <c r="Z129" s="175"/>
      <c r="AA129" s="175"/>
    </row>
    <row r="130">
      <c r="A130" s="187"/>
      <c r="D130" s="187"/>
      <c r="O130" s="175"/>
      <c r="P130" s="175"/>
      <c r="Q130" s="175"/>
      <c r="R130" s="175"/>
      <c r="S130" s="175"/>
      <c r="T130" s="175"/>
      <c r="U130" s="175"/>
      <c r="V130" s="175"/>
      <c r="W130" s="175"/>
      <c r="X130" s="175"/>
      <c r="Y130" s="175"/>
      <c r="Z130" s="175"/>
      <c r="AA130" s="175"/>
    </row>
    <row r="131">
      <c r="A131" s="187"/>
      <c r="D131" s="187"/>
      <c r="O131" s="175"/>
      <c r="P131" s="175"/>
      <c r="Q131" s="175"/>
      <c r="R131" s="175"/>
      <c r="S131" s="175"/>
      <c r="T131" s="175"/>
      <c r="U131" s="175"/>
      <c r="V131" s="175"/>
      <c r="W131" s="175"/>
      <c r="X131" s="175"/>
      <c r="Y131" s="175"/>
      <c r="Z131" s="175"/>
      <c r="AA131" s="175"/>
    </row>
    <row r="132">
      <c r="A132" s="187"/>
      <c r="D132" s="187"/>
      <c r="O132" s="175"/>
      <c r="P132" s="175"/>
      <c r="Q132" s="175"/>
      <c r="R132" s="175"/>
      <c r="S132" s="175"/>
      <c r="T132" s="175"/>
      <c r="U132" s="175"/>
      <c r="V132" s="175"/>
      <c r="W132" s="175"/>
      <c r="X132" s="175"/>
      <c r="Y132" s="175"/>
      <c r="Z132" s="175"/>
      <c r="AA132" s="175"/>
    </row>
    <row r="133">
      <c r="A133" s="187"/>
      <c r="D133" s="187"/>
      <c r="O133" s="175"/>
      <c r="P133" s="175"/>
      <c r="Q133" s="175"/>
      <c r="R133" s="175"/>
      <c r="S133" s="175"/>
      <c r="T133" s="175"/>
      <c r="U133" s="175"/>
      <c r="V133" s="175"/>
      <c r="W133" s="175"/>
      <c r="X133" s="175"/>
      <c r="Y133" s="175"/>
      <c r="Z133" s="175"/>
      <c r="AA133" s="175"/>
    </row>
    <row r="134">
      <c r="A134" s="187"/>
      <c r="D134" s="187"/>
      <c r="O134" s="175"/>
      <c r="P134" s="175"/>
      <c r="Q134" s="175"/>
      <c r="R134" s="175"/>
      <c r="S134" s="175"/>
      <c r="T134" s="175"/>
      <c r="U134" s="175"/>
      <c r="V134" s="175"/>
      <c r="W134" s="175"/>
      <c r="X134" s="175"/>
      <c r="Y134" s="175"/>
      <c r="Z134" s="175"/>
      <c r="AA134" s="175"/>
    </row>
    <row r="135">
      <c r="A135" s="187"/>
      <c r="D135" s="187"/>
      <c r="O135" s="175"/>
      <c r="P135" s="175"/>
      <c r="Q135" s="175"/>
      <c r="R135" s="175"/>
      <c r="S135" s="175"/>
      <c r="T135" s="175"/>
      <c r="U135" s="175"/>
      <c r="V135" s="175"/>
      <c r="W135" s="175"/>
      <c r="X135" s="175"/>
      <c r="Y135" s="175"/>
      <c r="Z135" s="175"/>
      <c r="AA135" s="175"/>
    </row>
    <row r="136">
      <c r="A136" s="187"/>
      <c r="D136" s="187"/>
      <c r="O136" s="175"/>
      <c r="P136" s="175"/>
      <c r="Q136" s="175"/>
      <c r="R136" s="175"/>
      <c r="S136" s="175"/>
      <c r="T136" s="175"/>
      <c r="U136" s="175"/>
      <c r="V136" s="175"/>
      <c r="W136" s="175"/>
      <c r="X136" s="175"/>
      <c r="Y136" s="175"/>
      <c r="Z136" s="175"/>
      <c r="AA136" s="175"/>
    </row>
    <row r="137">
      <c r="A137" s="187"/>
      <c r="D137" s="187"/>
      <c r="O137" s="175"/>
      <c r="P137" s="175"/>
      <c r="Q137" s="175"/>
      <c r="R137" s="175"/>
      <c r="S137" s="175"/>
      <c r="T137" s="175"/>
      <c r="U137" s="175"/>
      <c r="V137" s="175"/>
      <c r="W137" s="175"/>
      <c r="X137" s="175"/>
      <c r="Y137" s="175"/>
      <c r="Z137" s="175"/>
      <c r="AA137" s="175"/>
    </row>
    <row r="138">
      <c r="A138" s="187"/>
      <c r="D138" s="187"/>
      <c r="O138" s="175"/>
      <c r="P138" s="175"/>
      <c r="Q138" s="175"/>
      <c r="R138" s="175"/>
      <c r="S138" s="175"/>
      <c r="T138" s="175"/>
      <c r="U138" s="175"/>
      <c r="V138" s="175"/>
      <c r="W138" s="175"/>
      <c r="X138" s="175"/>
      <c r="Y138" s="175"/>
      <c r="Z138" s="175"/>
      <c r="AA138" s="175"/>
    </row>
    <row r="139">
      <c r="A139" s="187"/>
      <c r="D139" s="187"/>
      <c r="O139" s="175"/>
      <c r="P139" s="175"/>
      <c r="Q139" s="175"/>
      <c r="R139" s="175"/>
      <c r="S139" s="175"/>
      <c r="T139" s="175"/>
      <c r="U139" s="175"/>
      <c r="V139" s="175"/>
      <c r="W139" s="175"/>
      <c r="X139" s="175"/>
      <c r="Y139" s="175"/>
      <c r="Z139" s="175"/>
      <c r="AA139" s="175"/>
    </row>
    <row r="140">
      <c r="A140" s="187"/>
      <c r="D140" s="187"/>
      <c r="O140" s="175"/>
      <c r="P140" s="175"/>
      <c r="Q140" s="175"/>
      <c r="R140" s="175"/>
      <c r="S140" s="175"/>
      <c r="T140" s="175"/>
      <c r="U140" s="175"/>
      <c r="V140" s="175"/>
      <c r="W140" s="175"/>
      <c r="X140" s="175"/>
      <c r="Y140" s="175"/>
      <c r="Z140" s="175"/>
      <c r="AA140" s="175"/>
    </row>
    <row r="141">
      <c r="A141" s="187"/>
      <c r="D141" s="187"/>
      <c r="O141" s="175"/>
      <c r="P141" s="175"/>
      <c r="Q141" s="175"/>
      <c r="R141" s="175"/>
      <c r="S141" s="175"/>
      <c r="T141" s="175"/>
      <c r="U141" s="175"/>
      <c r="V141" s="175"/>
      <c r="W141" s="175"/>
      <c r="X141" s="175"/>
      <c r="Y141" s="175"/>
      <c r="Z141" s="175"/>
      <c r="AA141" s="175"/>
    </row>
    <row r="142">
      <c r="A142" s="187"/>
      <c r="D142" s="187"/>
      <c r="O142" s="175"/>
      <c r="P142" s="175"/>
      <c r="Q142" s="175"/>
      <c r="R142" s="175"/>
      <c r="S142" s="175"/>
      <c r="T142" s="175"/>
      <c r="U142" s="175"/>
      <c r="V142" s="175"/>
      <c r="W142" s="175"/>
      <c r="X142" s="175"/>
      <c r="Y142" s="175"/>
      <c r="Z142" s="175"/>
      <c r="AA142" s="175"/>
    </row>
    <row r="143">
      <c r="A143" s="187"/>
      <c r="D143" s="187"/>
      <c r="O143" s="175"/>
      <c r="P143" s="175"/>
      <c r="Q143" s="175"/>
      <c r="R143" s="175"/>
      <c r="S143" s="175"/>
      <c r="T143" s="175"/>
      <c r="U143" s="175"/>
      <c r="V143" s="175"/>
      <c r="W143" s="175"/>
      <c r="X143" s="175"/>
      <c r="Y143" s="175"/>
      <c r="Z143" s="175"/>
      <c r="AA143" s="175"/>
    </row>
    <row r="144">
      <c r="A144" s="187"/>
      <c r="D144" s="187"/>
      <c r="O144" s="175"/>
      <c r="P144" s="175"/>
      <c r="Q144" s="175"/>
      <c r="R144" s="175"/>
      <c r="S144" s="175"/>
      <c r="T144" s="175"/>
      <c r="U144" s="175"/>
      <c r="V144" s="175"/>
      <c r="W144" s="175"/>
      <c r="X144" s="175"/>
      <c r="Y144" s="175"/>
      <c r="Z144" s="175"/>
      <c r="AA144" s="175"/>
    </row>
    <row r="145">
      <c r="A145" s="187"/>
      <c r="D145" s="187"/>
      <c r="O145" s="175"/>
      <c r="P145" s="175"/>
      <c r="Q145" s="175"/>
      <c r="R145" s="175"/>
      <c r="S145" s="175"/>
      <c r="T145" s="175"/>
      <c r="U145" s="175"/>
      <c r="V145" s="175"/>
      <c r="W145" s="175"/>
      <c r="X145" s="175"/>
      <c r="Y145" s="175"/>
      <c r="Z145" s="175"/>
      <c r="AA145" s="175"/>
    </row>
    <row r="146">
      <c r="A146" s="187"/>
      <c r="D146" s="187"/>
      <c r="O146" s="175"/>
      <c r="P146" s="175"/>
      <c r="Q146" s="175"/>
      <c r="R146" s="175"/>
      <c r="S146" s="175"/>
      <c r="T146" s="175"/>
      <c r="U146" s="175"/>
      <c r="V146" s="175"/>
      <c r="W146" s="175"/>
      <c r="X146" s="175"/>
      <c r="Y146" s="175"/>
      <c r="Z146" s="175"/>
      <c r="AA146" s="175"/>
    </row>
    <row r="147">
      <c r="A147" s="187"/>
      <c r="D147" s="187"/>
      <c r="O147" s="175"/>
      <c r="P147" s="175"/>
      <c r="Q147" s="175"/>
      <c r="R147" s="175"/>
      <c r="S147" s="175"/>
      <c r="T147" s="175"/>
      <c r="U147" s="175"/>
      <c r="V147" s="175"/>
      <c r="W147" s="175"/>
      <c r="X147" s="175"/>
      <c r="Y147" s="175"/>
      <c r="Z147" s="175"/>
      <c r="AA147" s="175"/>
    </row>
    <row r="148">
      <c r="A148" s="187"/>
      <c r="D148" s="187"/>
      <c r="O148" s="175"/>
      <c r="P148" s="175"/>
      <c r="Q148" s="175"/>
      <c r="R148" s="175"/>
      <c r="S148" s="175"/>
      <c r="T148" s="175"/>
      <c r="U148" s="175"/>
      <c r="V148" s="175"/>
      <c r="W148" s="175"/>
      <c r="X148" s="175"/>
      <c r="Y148" s="175"/>
      <c r="Z148" s="175"/>
      <c r="AA148" s="175"/>
    </row>
    <row r="149">
      <c r="A149" s="187"/>
      <c r="D149" s="187"/>
      <c r="O149" s="175"/>
      <c r="P149" s="175"/>
      <c r="Q149" s="175"/>
      <c r="R149" s="175"/>
      <c r="S149" s="175"/>
      <c r="T149" s="175"/>
      <c r="U149" s="175"/>
      <c r="V149" s="175"/>
      <c r="W149" s="175"/>
      <c r="X149" s="175"/>
      <c r="Y149" s="175"/>
      <c r="Z149" s="175"/>
      <c r="AA149" s="175"/>
    </row>
    <row r="150">
      <c r="A150" s="187"/>
      <c r="D150" s="187"/>
      <c r="O150" s="175"/>
      <c r="P150" s="175"/>
      <c r="Q150" s="175"/>
      <c r="R150" s="175"/>
      <c r="S150" s="175"/>
      <c r="T150" s="175"/>
      <c r="U150" s="175"/>
      <c r="V150" s="175"/>
      <c r="W150" s="175"/>
      <c r="X150" s="175"/>
      <c r="Y150" s="175"/>
      <c r="Z150" s="175"/>
      <c r="AA150" s="175"/>
    </row>
    <row r="151">
      <c r="A151" s="187"/>
      <c r="D151" s="187"/>
      <c r="O151" s="175"/>
      <c r="P151" s="175"/>
      <c r="Q151" s="175"/>
      <c r="R151" s="175"/>
      <c r="S151" s="175"/>
      <c r="T151" s="175"/>
      <c r="U151" s="175"/>
      <c r="V151" s="175"/>
      <c r="W151" s="175"/>
      <c r="X151" s="175"/>
      <c r="Y151" s="175"/>
      <c r="Z151" s="175"/>
      <c r="AA151" s="175"/>
    </row>
    <row r="152">
      <c r="A152" s="187"/>
      <c r="D152" s="187"/>
      <c r="O152" s="175"/>
      <c r="P152" s="175"/>
      <c r="Q152" s="175"/>
      <c r="R152" s="175"/>
      <c r="S152" s="175"/>
      <c r="T152" s="175"/>
      <c r="U152" s="175"/>
      <c r="V152" s="175"/>
      <c r="W152" s="175"/>
      <c r="X152" s="175"/>
      <c r="Y152" s="175"/>
      <c r="Z152" s="175"/>
      <c r="AA152" s="175"/>
    </row>
    <row r="153">
      <c r="A153" s="187"/>
      <c r="D153" s="187"/>
      <c r="O153" s="175"/>
      <c r="P153" s="175"/>
      <c r="Q153" s="175"/>
      <c r="R153" s="175"/>
      <c r="S153" s="175"/>
      <c r="T153" s="175"/>
      <c r="U153" s="175"/>
      <c r="V153" s="175"/>
      <c r="W153" s="175"/>
      <c r="X153" s="175"/>
      <c r="Y153" s="175"/>
      <c r="Z153" s="175"/>
      <c r="AA153" s="175"/>
    </row>
    <row r="154">
      <c r="A154" s="187"/>
      <c r="D154" s="187"/>
      <c r="O154" s="175"/>
      <c r="P154" s="175"/>
      <c r="Q154" s="175"/>
      <c r="R154" s="175"/>
      <c r="S154" s="175"/>
      <c r="T154" s="175"/>
      <c r="U154" s="175"/>
      <c r="V154" s="175"/>
      <c r="W154" s="175"/>
      <c r="X154" s="175"/>
      <c r="Y154" s="175"/>
      <c r="Z154" s="175"/>
      <c r="AA154" s="175"/>
    </row>
    <row r="155">
      <c r="A155" s="187"/>
      <c r="D155" s="187"/>
      <c r="O155" s="175"/>
      <c r="P155" s="175"/>
      <c r="Q155" s="175"/>
      <c r="R155" s="175"/>
      <c r="S155" s="175"/>
      <c r="T155" s="175"/>
      <c r="U155" s="175"/>
      <c r="V155" s="175"/>
      <c r="W155" s="175"/>
      <c r="X155" s="175"/>
      <c r="Y155" s="175"/>
      <c r="Z155" s="175"/>
      <c r="AA155" s="175"/>
    </row>
    <row r="156">
      <c r="A156" s="187"/>
      <c r="D156" s="187"/>
      <c r="O156" s="175"/>
      <c r="P156" s="175"/>
      <c r="Q156" s="175"/>
      <c r="R156" s="175"/>
      <c r="S156" s="175"/>
      <c r="T156" s="175"/>
      <c r="U156" s="175"/>
      <c r="V156" s="175"/>
      <c r="W156" s="175"/>
      <c r="X156" s="175"/>
      <c r="Y156" s="175"/>
      <c r="Z156" s="175"/>
      <c r="AA156" s="175"/>
    </row>
    <row r="157">
      <c r="A157" s="187"/>
      <c r="D157" s="187"/>
      <c r="O157" s="175"/>
      <c r="P157" s="175"/>
      <c r="Q157" s="175"/>
      <c r="R157" s="175"/>
      <c r="S157" s="175"/>
      <c r="T157" s="175"/>
      <c r="U157" s="175"/>
      <c r="V157" s="175"/>
      <c r="W157" s="175"/>
      <c r="X157" s="175"/>
      <c r="Y157" s="175"/>
      <c r="Z157" s="175"/>
      <c r="AA157" s="175"/>
    </row>
    <row r="158">
      <c r="A158" s="187"/>
      <c r="D158" s="187"/>
      <c r="O158" s="175"/>
      <c r="P158" s="175"/>
      <c r="Q158" s="175"/>
      <c r="R158" s="175"/>
      <c r="S158" s="175"/>
      <c r="T158" s="175"/>
      <c r="U158" s="175"/>
      <c r="V158" s="175"/>
      <c r="W158" s="175"/>
      <c r="X158" s="175"/>
      <c r="Y158" s="175"/>
      <c r="Z158" s="175"/>
      <c r="AA158" s="175"/>
    </row>
    <row r="159">
      <c r="A159" s="187"/>
      <c r="D159" s="187"/>
      <c r="O159" s="175"/>
      <c r="P159" s="175"/>
      <c r="Q159" s="175"/>
      <c r="R159" s="175"/>
      <c r="S159" s="175"/>
      <c r="T159" s="175"/>
      <c r="U159" s="175"/>
      <c r="V159" s="175"/>
      <c r="W159" s="175"/>
      <c r="X159" s="175"/>
      <c r="Y159" s="175"/>
      <c r="Z159" s="175"/>
      <c r="AA159" s="175"/>
    </row>
    <row r="160">
      <c r="A160" s="187"/>
      <c r="D160" s="187"/>
      <c r="O160" s="175"/>
      <c r="P160" s="175"/>
      <c r="Q160" s="175"/>
      <c r="R160" s="175"/>
      <c r="S160" s="175"/>
      <c r="T160" s="175"/>
      <c r="U160" s="175"/>
      <c r="V160" s="175"/>
      <c r="W160" s="175"/>
      <c r="X160" s="175"/>
      <c r="Y160" s="175"/>
      <c r="Z160" s="175"/>
      <c r="AA160" s="175"/>
    </row>
    <row r="161">
      <c r="A161" s="187"/>
      <c r="D161" s="187"/>
      <c r="O161" s="175"/>
      <c r="P161" s="175"/>
      <c r="Q161" s="175"/>
      <c r="R161" s="175"/>
      <c r="S161" s="175"/>
      <c r="T161" s="175"/>
      <c r="U161" s="175"/>
      <c r="V161" s="175"/>
      <c r="W161" s="175"/>
      <c r="X161" s="175"/>
      <c r="Y161" s="175"/>
      <c r="Z161" s="175"/>
      <c r="AA161" s="175"/>
    </row>
    <row r="162">
      <c r="A162" s="187"/>
      <c r="D162" s="187"/>
      <c r="O162" s="175"/>
      <c r="P162" s="175"/>
      <c r="Q162" s="175"/>
      <c r="R162" s="175"/>
      <c r="S162" s="175"/>
      <c r="T162" s="175"/>
      <c r="U162" s="175"/>
      <c r="V162" s="175"/>
      <c r="W162" s="175"/>
      <c r="X162" s="175"/>
      <c r="Y162" s="175"/>
      <c r="Z162" s="175"/>
      <c r="AA162" s="175"/>
    </row>
    <row r="163">
      <c r="A163" s="187"/>
      <c r="D163" s="187"/>
      <c r="O163" s="175"/>
      <c r="P163" s="175"/>
      <c r="Q163" s="175"/>
      <c r="R163" s="175"/>
      <c r="S163" s="175"/>
      <c r="T163" s="175"/>
      <c r="U163" s="175"/>
      <c r="V163" s="175"/>
      <c r="W163" s="175"/>
      <c r="X163" s="175"/>
      <c r="Y163" s="175"/>
      <c r="Z163" s="175"/>
      <c r="AA163" s="175"/>
    </row>
    <row r="164">
      <c r="A164" s="187"/>
      <c r="D164" s="187"/>
      <c r="O164" s="175"/>
      <c r="P164" s="175"/>
      <c r="Q164" s="175"/>
      <c r="R164" s="175"/>
      <c r="S164" s="175"/>
      <c r="T164" s="175"/>
      <c r="U164" s="175"/>
      <c r="V164" s="175"/>
      <c r="W164" s="175"/>
      <c r="X164" s="175"/>
      <c r="Y164" s="175"/>
      <c r="Z164" s="175"/>
      <c r="AA164" s="175"/>
    </row>
    <row r="165">
      <c r="A165" s="187"/>
      <c r="D165" s="187"/>
      <c r="O165" s="175"/>
      <c r="P165" s="175"/>
      <c r="Q165" s="175"/>
      <c r="R165" s="175"/>
      <c r="S165" s="175"/>
      <c r="T165" s="175"/>
      <c r="U165" s="175"/>
      <c r="V165" s="175"/>
      <c r="W165" s="175"/>
      <c r="X165" s="175"/>
      <c r="Y165" s="175"/>
      <c r="Z165" s="175"/>
      <c r="AA165" s="175"/>
    </row>
    <row r="166">
      <c r="A166" s="187"/>
      <c r="D166" s="187"/>
      <c r="O166" s="175"/>
      <c r="P166" s="175"/>
      <c r="Q166" s="175"/>
      <c r="R166" s="175"/>
      <c r="S166" s="175"/>
      <c r="T166" s="175"/>
      <c r="U166" s="175"/>
      <c r="V166" s="175"/>
      <c r="W166" s="175"/>
      <c r="X166" s="175"/>
      <c r="Y166" s="175"/>
      <c r="Z166" s="175"/>
      <c r="AA166" s="175"/>
    </row>
    <row r="167">
      <c r="A167" s="187"/>
      <c r="D167" s="187"/>
      <c r="O167" s="175"/>
      <c r="P167" s="175"/>
      <c r="Q167" s="175"/>
      <c r="R167" s="175"/>
      <c r="S167" s="175"/>
      <c r="T167" s="175"/>
      <c r="U167" s="175"/>
      <c r="V167" s="175"/>
      <c r="W167" s="175"/>
      <c r="X167" s="175"/>
      <c r="Y167" s="175"/>
      <c r="Z167" s="175"/>
      <c r="AA167" s="175"/>
    </row>
    <row r="168">
      <c r="A168" s="187"/>
      <c r="D168" s="187"/>
      <c r="O168" s="175"/>
      <c r="P168" s="175"/>
      <c r="Q168" s="175"/>
      <c r="R168" s="175"/>
      <c r="S168" s="175"/>
      <c r="T168" s="175"/>
      <c r="U168" s="175"/>
      <c r="V168" s="175"/>
      <c r="W168" s="175"/>
      <c r="X168" s="175"/>
      <c r="Y168" s="175"/>
      <c r="Z168" s="175"/>
      <c r="AA168" s="175"/>
    </row>
    <row r="169">
      <c r="A169" s="187"/>
      <c r="D169" s="187"/>
      <c r="O169" s="175"/>
      <c r="P169" s="175"/>
      <c r="Q169" s="175"/>
      <c r="R169" s="175"/>
      <c r="S169" s="175"/>
      <c r="T169" s="175"/>
      <c r="U169" s="175"/>
      <c r="V169" s="175"/>
      <c r="W169" s="175"/>
      <c r="X169" s="175"/>
      <c r="Y169" s="175"/>
      <c r="Z169" s="175"/>
      <c r="AA169" s="175"/>
    </row>
    <row r="170">
      <c r="A170" s="187"/>
      <c r="D170" s="187"/>
      <c r="O170" s="175"/>
      <c r="P170" s="175"/>
      <c r="Q170" s="175"/>
      <c r="R170" s="175"/>
      <c r="S170" s="175"/>
      <c r="T170" s="175"/>
      <c r="U170" s="175"/>
      <c r="V170" s="175"/>
      <c r="W170" s="175"/>
      <c r="X170" s="175"/>
      <c r="Y170" s="175"/>
      <c r="Z170" s="175"/>
      <c r="AA170" s="175"/>
    </row>
    <row r="171">
      <c r="A171" s="187"/>
      <c r="D171" s="187"/>
      <c r="O171" s="175"/>
      <c r="P171" s="175"/>
      <c r="Q171" s="175"/>
      <c r="R171" s="175"/>
      <c r="S171" s="175"/>
      <c r="T171" s="175"/>
      <c r="U171" s="175"/>
      <c r="V171" s="175"/>
      <c r="W171" s="175"/>
      <c r="X171" s="175"/>
      <c r="Y171" s="175"/>
      <c r="Z171" s="175"/>
      <c r="AA171" s="175"/>
    </row>
    <row r="172">
      <c r="A172" s="187"/>
      <c r="D172" s="187"/>
      <c r="O172" s="175"/>
      <c r="P172" s="175"/>
      <c r="Q172" s="175"/>
      <c r="R172" s="175"/>
      <c r="S172" s="175"/>
      <c r="T172" s="175"/>
      <c r="U172" s="175"/>
      <c r="V172" s="175"/>
      <c r="W172" s="175"/>
      <c r="X172" s="175"/>
      <c r="Y172" s="175"/>
      <c r="Z172" s="175"/>
      <c r="AA172" s="175"/>
    </row>
    <row r="173">
      <c r="A173" s="187"/>
      <c r="D173" s="187"/>
      <c r="O173" s="175"/>
      <c r="P173" s="175"/>
      <c r="Q173" s="175"/>
      <c r="R173" s="175"/>
      <c r="S173" s="175"/>
      <c r="T173" s="175"/>
      <c r="U173" s="175"/>
      <c r="V173" s="175"/>
      <c r="W173" s="175"/>
      <c r="X173" s="175"/>
      <c r="Y173" s="175"/>
      <c r="Z173" s="175"/>
      <c r="AA173" s="175"/>
    </row>
    <row r="174">
      <c r="A174" s="187"/>
      <c r="D174" s="187"/>
      <c r="O174" s="175"/>
      <c r="P174" s="175"/>
      <c r="Q174" s="175"/>
      <c r="R174" s="175"/>
      <c r="S174" s="175"/>
      <c r="T174" s="175"/>
      <c r="U174" s="175"/>
      <c r="V174" s="175"/>
      <c r="W174" s="175"/>
      <c r="X174" s="175"/>
      <c r="Y174" s="175"/>
      <c r="Z174" s="175"/>
      <c r="AA174" s="175"/>
    </row>
    <row r="175">
      <c r="A175" s="187"/>
      <c r="D175" s="187"/>
      <c r="O175" s="175"/>
      <c r="P175" s="175"/>
      <c r="Q175" s="175"/>
      <c r="R175" s="175"/>
      <c r="S175" s="175"/>
      <c r="T175" s="175"/>
      <c r="U175" s="175"/>
      <c r="V175" s="175"/>
      <c r="W175" s="175"/>
      <c r="X175" s="175"/>
      <c r="Y175" s="175"/>
      <c r="Z175" s="175"/>
      <c r="AA175" s="175"/>
    </row>
    <row r="176">
      <c r="A176" s="187"/>
      <c r="D176" s="187"/>
      <c r="O176" s="175"/>
      <c r="P176" s="175"/>
      <c r="Q176" s="175"/>
      <c r="R176" s="175"/>
      <c r="S176" s="175"/>
      <c r="T176" s="175"/>
      <c r="U176" s="175"/>
      <c r="V176" s="175"/>
      <c r="W176" s="175"/>
      <c r="X176" s="175"/>
      <c r="Y176" s="175"/>
      <c r="Z176" s="175"/>
      <c r="AA176" s="175"/>
    </row>
    <row r="177">
      <c r="A177" s="187"/>
      <c r="D177" s="187"/>
      <c r="O177" s="175"/>
      <c r="P177" s="175"/>
      <c r="Q177" s="175"/>
      <c r="R177" s="175"/>
      <c r="S177" s="175"/>
      <c r="T177" s="175"/>
      <c r="U177" s="175"/>
      <c r="V177" s="175"/>
      <c r="W177" s="175"/>
      <c r="X177" s="175"/>
      <c r="Y177" s="175"/>
      <c r="Z177" s="175"/>
      <c r="AA177" s="175"/>
    </row>
    <row r="178">
      <c r="A178" s="187"/>
      <c r="D178" s="187"/>
      <c r="O178" s="175"/>
      <c r="P178" s="175"/>
      <c r="Q178" s="175"/>
      <c r="R178" s="175"/>
      <c r="S178" s="175"/>
      <c r="T178" s="175"/>
      <c r="U178" s="175"/>
      <c r="V178" s="175"/>
      <c r="W178" s="175"/>
      <c r="X178" s="175"/>
      <c r="Y178" s="175"/>
      <c r="Z178" s="175"/>
      <c r="AA178" s="175"/>
    </row>
    <row r="179">
      <c r="A179" s="187"/>
      <c r="D179" s="187"/>
      <c r="O179" s="175"/>
      <c r="P179" s="175"/>
      <c r="Q179" s="175"/>
      <c r="R179" s="175"/>
      <c r="S179" s="175"/>
      <c r="T179" s="175"/>
      <c r="U179" s="175"/>
      <c r="V179" s="175"/>
      <c r="W179" s="175"/>
      <c r="X179" s="175"/>
      <c r="Y179" s="175"/>
      <c r="Z179" s="175"/>
      <c r="AA179" s="175"/>
    </row>
    <row r="180">
      <c r="A180" s="187"/>
      <c r="D180" s="187"/>
      <c r="O180" s="175"/>
      <c r="P180" s="175"/>
      <c r="Q180" s="175"/>
      <c r="R180" s="175"/>
      <c r="S180" s="175"/>
      <c r="T180" s="175"/>
      <c r="U180" s="175"/>
      <c r="V180" s="175"/>
      <c r="W180" s="175"/>
      <c r="X180" s="175"/>
      <c r="Y180" s="175"/>
      <c r="Z180" s="175"/>
      <c r="AA180" s="175"/>
    </row>
    <row r="181">
      <c r="A181" s="187"/>
      <c r="D181" s="187"/>
      <c r="O181" s="175"/>
      <c r="P181" s="175"/>
      <c r="Q181" s="175"/>
      <c r="R181" s="175"/>
      <c r="S181" s="175"/>
      <c r="T181" s="175"/>
      <c r="U181" s="175"/>
      <c r="V181" s="175"/>
      <c r="W181" s="175"/>
      <c r="X181" s="175"/>
      <c r="Y181" s="175"/>
      <c r="Z181" s="175"/>
      <c r="AA181" s="175"/>
    </row>
    <row r="182">
      <c r="A182" s="187"/>
      <c r="D182" s="187"/>
      <c r="O182" s="175"/>
      <c r="P182" s="175"/>
      <c r="Q182" s="175"/>
      <c r="R182" s="175"/>
      <c r="S182" s="175"/>
      <c r="T182" s="175"/>
      <c r="U182" s="175"/>
      <c r="V182" s="175"/>
      <c r="W182" s="175"/>
      <c r="X182" s="175"/>
      <c r="Y182" s="175"/>
      <c r="Z182" s="175"/>
      <c r="AA182" s="175"/>
    </row>
    <row r="183">
      <c r="A183" s="187"/>
      <c r="D183" s="187"/>
      <c r="O183" s="175"/>
      <c r="P183" s="175"/>
      <c r="Q183" s="175"/>
      <c r="R183" s="175"/>
      <c r="S183" s="175"/>
      <c r="T183" s="175"/>
      <c r="U183" s="175"/>
      <c r="V183" s="175"/>
      <c r="W183" s="175"/>
      <c r="X183" s="175"/>
      <c r="Y183" s="175"/>
      <c r="Z183" s="175"/>
      <c r="AA183" s="175"/>
    </row>
    <row r="184">
      <c r="A184" s="187"/>
      <c r="D184" s="187"/>
      <c r="O184" s="175"/>
      <c r="P184" s="175"/>
      <c r="Q184" s="175"/>
      <c r="R184" s="175"/>
      <c r="S184" s="175"/>
      <c r="T184" s="175"/>
      <c r="U184" s="175"/>
      <c r="V184" s="175"/>
      <c r="W184" s="175"/>
      <c r="X184" s="175"/>
      <c r="Y184" s="175"/>
      <c r="Z184" s="175"/>
      <c r="AA184" s="175"/>
    </row>
    <row r="185">
      <c r="A185" s="187"/>
      <c r="D185" s="187"/>
      <c r="O185" s="175"/>
      <c r="P185" s="175"/>
      <c r="Q185" s="175"/>
      <c r="R185" s="175"/>
      <c r="S185" s="175"/>
      <c r="T185" s="175"/>
      <c r="U185" s="175"/>
      <c r="V185" s="175"/>
      <c r="W185" s="175"/>
      <c r="X185" s="175"/>
      <c r="Y185" s="175"/>
      <c r="Z185" s="175"/>
      <c r="AA185" s="175"/>
    </row>
    <row r="186">
      <c r="A186" s="187"/>
      <c r="D186" s="187"/>
      <c r="O186" s="175"/>
      <c r="P186" s="175"/>
      <c r="Q186" s="175"/>
      <c r="R186" s="175"/>
      <c r="S186" s="175"/>
      <c r="T186" s="175"/>
      <c r="U186" s="175"/>
      <c r="V186" s="175"/>
      <c r="W186" s="175"/>
      <c r="X186" s="175"/>
      <c r="Y186" s="175"/>
      <c r="Z186" s="175"/>
      <c r="AA186" s="175"/>
    </row>
    <row r="187">
      <c r="A187" s="187"/>
      <c r="D187" s="187"/>
      <c r="O187" s="175"/>
      <c r="P187" s="175"/>
      <c r="Q187" s="175"/>
      <c r="R187" s="175"/>
      <c r="S187" s="175"/>
      <c r="T187" s="175"/>
      <c r="U187" s="175"/>
      <c r="V187" s="175"/>
      <c r="W187" s="175"/>
      <c r="X187" s="175"/>
      <c r="Y187" s="175"/>
      <c r="Z187" s="175"/>
      <c r="AA187" s="175"/>
    </row>
    <row r="188">
      <c r="A188" s="187"/>
      <c r="D188" s="187"/>
      <c r="O188" s="175"/>
      <c r="P188" s="175"/>
      <c r="Q188" s="175"/>
      <c r="R188" s="175"/>
      <c r="S188" s="175"/>
      <c r="T188" s="175"/>
      <c r="U188" s="175"/>
      <c r="V188" s="175"/>
      <c r="W188" s="175"/>
      <c r="X188" s="175"/>
      <c r="Y188" s="175"/>
      <c r="Z188" s="175"/>
      <c r="AA188" s="175"/>
    </row>
    <row r="189">
      <c r="A189" s="187"/>
      <c r="D189" s="187"/>
      <c r="O189" s="175"/>
      <c r="P189" s="175"/>
      <c r="Q189" s="175"/>
      <c r="R189" s="175"/>
      <c r="S189" s="175"/>
      <c r="T189" s="175"/>
      <c r="U189" s="175"/>
      <c r="V189" s="175"/>
      <c r="W189" s="175"/>
      <c r="X189" s="175"/>
      <c r="Y189" s="175"/>
      <c r="Z189" s="175"/>
      <c r="AA189" s="175"/>
    </row>
    <row r="190">
      <c r="A190" s="187"/>
      <c r="D190" s="187"/>
      <c r="O190" s="175"/>
      <c r="P190" s="175"/>
      <c r="Q190" s="175"/>
      <c r="R190" s="175"/>
      <c r="S190" s="175"/>
      <c r="T190" s="175"/>
      <c r="U190" s="175"/>
      <c r="V190" s="175"/>
      <c r="W190" s="175"/>
      <c r="X190" s="175"/>
      <c r="Y190" s="175"/>
      <c r="Z190" s="175"/>
      <c r="AA190" s="175"/>
    </row>
    <row r="191">
      <c r="A191" s="187"/>
      <c r="D191" s="187"/>
      <c r="O191" s="175"/>
      <c r="P191" s="175"/>
      <c r="Q191" s="175"/>
      <c r="R191" s="175"/>
      <c r="S191" s="175"/>
      <c r="T191" s="175"/>
      <c r="U191" s="175"/>
      <c r="V191" s="175"/>
      <c r="W191" s="175"/>
      <c r="X191" s="175"/>
      <c r="Y191" s="175"/>
      <c r="Z191" s="175"/>
      <c r="AA191" s="175"/>
    </row>
    <row r="192">
      <c r="A192" s="187"/>
      <c r="D192" s="187"/>
      <c r="O192" s="175"/>
      <c r="P192" s="175"/>
      <c r="Q192" s="175"/>
      <c r="R192" s="175"/>
      <c r="S192" s="175"/>
      <c r="T192" s="175"/>
      <c r="U192" s="175"/>
      <c r="V192" s="175"/>
      <c r="W192" s="175"/>
      <c r="X192" s="175"/>
      <c r="Y192" s="175"/>
      <c r="Z192" s="175"/>
      <c r="AA192" s="175"/>
    </row>
    <row r="193">
      <c r="A193" s="187"/>
      <c r="D193" s="187"/>
      <c r="O193" s="175"/>
      <c r="P193" s="175"/>
      <c r="Q193" s="175"/>
      <c r="R193" s="175"/>
      <c r="S193" s="175"/>
      <c r="T193" s="175"/>
      <c r="U193" s="175"/>
      <c r="V193" s="175"/>
      <c r="W193" s="175"/>
      <c r="X193" s="175"/>
      <c r="Y193" s="175"/>
      <c r="Z193" s="175"/>
      <c r="AA193" s="175"/>
    </row>
    <row r="194">
      <c r="A194" s="187"/>
      <c r="D194" s="187"/>
      <c r="O194" s="175"/>
      <c r="P194" s="175"/>
      <c r="Q194" s="175"/>
      <c r="R194" s="175"/>
      <c r="S194" s="175"/>
      <c r="T194" s="175"/>
      <c r="U194" s="175"/>
      <c r="V194" s="175"/>
      <c r="W194" s="175"/>
      <c r="X194" s="175"/>
      <c r="Y194" s="175"/>
      <c r="Z194" s="175"/>
      <c r="AA194" s="175"/>
    </row>
    <row r="195">
      <c r="A195" s="187"/>
      <c r="D195" s="187"/>
      <c r="O195" s="175"/>
      <c r="P195" s="175"/>
      <c r="Q195" s="175"/>
      <c r="R195" s="175"/>
      <c r="S195" s="175"/>
      <c r="T195" s="175"/>
      <c r="U195" s="175"/>
      <c r="V195" s="175"/>
      <c r="W195" s="175"/>
      <c r="X195" s="175"/>
      <c r="Y195" s="175"/>
      <c r="Z195" s="175"/>
      <c r="AA195" s="175"/>
    </row>
    <row r="196">
      <c r="A196" s="187"/>
      <c r="D196" s="187"/>
      <c r="O196" s="175"/>
      <c r="P196" s="175"/>
      <c r="Q196" s="175"/>
      <c r="R196" s="175"/>
      <c r="S196" s="175"/>
      <c r="T196" s="175"/>
      <c r="U196" s="175"/>
      <c r="V196" s="175"/>
      <c r="W196" s="175"/>
      <c r="X196" s="175"/>
      <c r="Y196" s="175"/>
      <c r="Z196" s="175"/>
      <c r="AA196" s="175"/>
    </row>
    <row r="197">
      <c r="A197" s="187"/>
      <c r="D197" s="187"/>
      <c r="O197" s="175"/>
      <c r="P197" s="175"/>
      <c r="Q197" s="175"/>
      <c r="R197" s="175"/>
      <c r="S197" s="175"/>
      <c r="T197" s="175"/>
      <c r="U197" s="175"/>
      <c r="V197" s="175"/>
      <c r="W197" s="175"/>
      <c r="X197" s="175"/>
      <c r="Y197" s="175"/>
      <c r="Z197" s="175"/>
      <c r="AA197" s="175"/>
    </row>
    <row r="198">
      <c r="A198" s="187"/>
      <c r="D198" s="187"/>
      <c r="O198" s="175"/>
      <c r="P198" s="175"/>
      <c r="Q198" s="175"/>
      <c r="R198" s="175"/>
      <c r="S198" s="175"/>
      <c r="T198" s="175"/>
      <c r="U198" s="175"/>
      <c r="V198" s="175"/>
      <c r="W198" s="175"/>
      <c r="X198" s="175"/>
      <c r="Y198" s="175"/>
      <c r="Z198" s="175"/>
      <c r="AA198" s="175"/>
    </row>
    <row r="199">
      <c r="A199" s="187"/>
      <c r="D199" s="187"/>
      <c r="O199" s="175"/>
      <c r="P199" s="175"/>
      <c r="Q199" s="175"/>
      <c r="R199" s="175"/>
      <c r="S199" s="175"/>
      <c r="T199" s="175"/>
      <c r="U199" s="175"/>
      <c r="V199" s="175"/>
      <c r="W199" s="175"/>
      <c r="X199" s="175"/>
      <c r="Y199" s="175"/>
      <c r="Z199" s="175"/>
      <c r="AA199" s="175"/>
    </row>
    <row r="200">
      <c r="A200" s="187"/>
      <c r="D200" s="187"/>
      <c r="O200" s="175"/>
      <c r="P200" s="175"/>
      <c r="Q200" s="175"/>
      <c r="R200" s="175"/>
      <c r="S200" s="175"/>
      <c r="T200" s="175"/>
      <c r="U200" s="175"/>
      <c r="V200" s="175"/>
      <c r="W200" s="175"/>
      <c r="X200" s="175"/>
      <c r="Y200" s="175"/>
      <c r="Z200" s="175"/>
      <c r="AA200" s="175"/>
    </row>
    <row r="201">
      <c r="A201" s="187"/>
      <c r="D201" s="187"/>
      <c r="O201" s="175"/>
      <c r="P201" s="175"/>
      <c r="Q201" s="175"/>
      <c r="R201" s="175"/>
      <c r="S201" s="175"/>
      <c r="T201" s="175"/>
      <c r="U201" s="175"/>
      <c r="V201" s="175"/>
      <c r="W201" s="175"/>
      <c r="X201" s="175"/>
      <c r="Y201" s="175"/>
      <c r="Z201" s="175"/>
      <c r="AA201" s="175"/>
    </row>
    <row r="202">
      <c r="A202" s="187"/>
      <c r="D202" s="187"/>
      <c r="O202" s="175"/>
      <c r="P202" s="175"/>
      <c r="Q202" s="175"/>
      <c r="R202" s="175"/>
      <c r="S202" s="175"/>
      <c r="T202" s="175"/>
      <c r="U202" s="175"/>
      <c r="V202" s="175"/>
      <c r="W202" s="175"/>
      <c r="X202" s="175"/>
      <c r="Y202" s="175"/>
      <c r="Z202" s="175"/>
      <c r="AA202" s="175"/>
    </row>
    <row r="203">
      <c r="A203" s="187"/>
      <c r="D203" s="187"/>
      <c r="O203" s="175"/>
      <c r="P203" s="175"/>
      <c r="Q203" s="175"/>
      <c r="R203" s="175"/>
      <c r="S203" s="175"/>
      <c r="T203" s="175"/>
      <c r="U203" s="175"/>
      <c r="V203" s="175"/>
      <c r="W203" s="175"/>
      <c r="X203" s="175"/>
      <c r="Y203" s="175"/>
      <c r="Z203" s="175"/>
      <c r="AA203" s="175"/>
    </row>
    <row r="204">
      <c r="A204" s="187"/>
      <c r="D204" s="187"/>
      <c r="O204" s="175"/>
      <c r="P204" s="175"/>
      <c r="Q204" s="175"/>
      <c r="R204" s="175"/>
      <c r="S204" s="175"/>
      <c r="T204" s="175"/>
      <c r="U204" s="175"/>
      <c r="V204" s="175"/>
      <c r="W204" s="175"/>
      <c r="X204" s="175"/>
      <c r="Y204" s="175"/>
      <c r="Z204" s="175"/>
      <c r="AA204" s="175"/>
    </row>
    <row r="205">
      <c r="A205" s="187"/>
      <c r="D205" s="187"/>
      <c r="O205" s="175"/>
      <c r="P205" s="175"/>
      <c r="Q205" s="175"/>
      <c r="R205" s="175"/>
      <c r="S205" s="175"/>
      <c r="T205" s="175"/>
      <c r="U205" s="175"/>
      <c r="V205" s="175"/>
      <c r="W205" s="175"/>
      <c r="X205" s="175"/>
      <c r="Y205" s="175"/>
      <c r="Z205" s="175"/>
      <c r="AA205" s="175"/>
    </row>
    <row r="206">
      <c r="A206" s="187"/>
      <c r="D206" s="187"/>
      <c r="O206" s="175"/>
      <c r="P206" s="175"/>
      <c r="Q206" s="175"/>
      <c r="R206" s="175"/>
      <c r="S206" s="175"/>
      <c r="T206" s="175"/>
      <c r="U206" s="175"/>
      <c r="V206" s="175"/>
      <c r="W206" s="175"/>
      <c r="X206" s="175"/>
      <c r="Y206" s="175"/>
      <c r="Z206" s="175"/>
      <c r="AA206" s="175"/>
    </row>
    <row r="207">
      <c r="A207" s="187"/>
      <c r="D207" s="187"/>
      <c r="O207" s="175"/>
      <c r="P207" s="175"/>
      <c r="Q207" s="175"/>
      <c r="R207" s="175"/>
      <c r="S207" s="175"/>
      <c r="T207" s="175"/>
      <c r="U207" s="175"/>
      <c r="V207" s="175"/>
      <c r="W207" s="175"/>
      <c r="X207" s="175"/>
      <c r="Y207" s="175"/>
      <c r="Z207" s="175"/>
      <c r="AA207" s="175"/>
    </row>
    <row r="208">
      <c r="A208" s="187"/>
      <c r="D208" s="187"/>
      <c r="O208" s="175"/>
      <c r="P208" s="175"/>
      <c r="Q208" s="175"/>
      <c r="R208" s="175"/>
      <c r="S208" s="175"/>
      <c r="T208" s="175"/>
      <c r="U208" s="175"/>
      <c r="V208" s="175"/>
      <c r="W208" s="175"/>
      <c r="X208" s="175"/>
      <c r="Y208" s="175"/>
      <c r="Z208" s="175"/>
      <c r="AA208" s="175"/>
    </row>
    <row r="209">
      <c r="A209" s="187"/>
      <c r="D209" s="187"/>
      <c r="O209" s="175"/>
      <c r="P209" s="175"/>
      <c r="Q209" s="175"/>
      <c r="R209" s="175"/>
      <c r="S209" s="175"/>
      <c r="T209" s="175"/>
      <c r="U209" s="175"/>
      <c r="V209" s="175"/>
      <c r="W209" s="175"/>
      <c r="X209" s="175"/>
      <c r="Y209" s="175"/>
      <c r="Z209" s="175"/>
      <c r="AA209" s="175"/>
    </row>
    <row r="210">
      <c r="A210" s="187"/>
      <c r="D210" s="187"/>
      <c r="O210" s="175"/>
      <c r="P210" s="175"/>
      <c r="Q210" s="175"/>
      <c r="R210" s="175"/>
      <c r="S210" s="175"/>
      <c r="T210" s="175"/>
      <c r="U210" s="175"/>
      <c r="V210" s="175"/>
      <c r="W210" s="175"/>
      <c r="X210" s="175"/>
      <c r="Y210" s="175"/>
      <c r="Z210" s="175"/>
      <c r="AA210" s="175"/>
    </row>
    <row r="211">
      <c r="A211" s="187"/>
      <c r="D211" s="187"/>
      <c r="O211" s="175"/>
      <c r="P211" s="175"/>
      <c r="Q211" s="175"/>
      <c r="R211" s="175"/>
      <c r="S211" s="175"/>
      <c r="T211" s="175"/>
      <c r="U211" s="175"/>
      <c r="V211" s="175"/>
      <c r="W211" s="175"/>
      <c r="X211" s="175"/>
      <c r="Y211" s="175"/>
      <c r="Z211" s="175"/>
      <c r="AA211" s="175"/>
    </row>
    <row r="212">
      <c r="A212" s="187"/>
      <c r="D212" s="187"/>
      <c r="O212" s="175"/>
      <c r="P212" s="175"/>
      <c r="Q212" s="175"/>
      <c r="R212" s="175"/>
      <c r="S212" s="175"/>
      <c r="T212" s="175"/>
      <c r="U212" s="175"/>
      <c r="V212" s="175"/>
      <c r="W212" s="175"/>
      <c r="X212" s="175"/>
      <c r="Y212" s="175"/>
      <c r="Z212" s="175"/>
      <c r="AA212" s="175"/>
    </row>
    <row r="213">
      <c r="A213" s="187"/>
      <c r="D213" s="187"/>
      <c r="O213" s="175"/>
      <c r="P213" s="175"/>
      <c r="Q213" s="175"/>
      <c r="R213" s="175"/>
      <c r="S213" s="175"/>
      <c r="T213" s="175"/>
      <c r="U213" s="175"/>
      <c r="V213" s="175"/>
      <c r="W213" s="175"/>
      <c r="X213" s="175"/>
      <c r="Y213" s="175"/>
      <c r="Z213" s="175"/>
      <c r="AA213" s="175"/>
    </row>
    <row r="214">
      <c r="A214" s="187"/>
      <c r="D214" s="187"/>
      <c r="O214" s="175"/>
      <c r="P214" s="175"/>
      <c r="Q214" s="175"/>
      <c r="R214" s="175"/>
      <c r="S214" s="175"/>
      <c r="T214" s="175"/>
      <c r="U214" s="175"/>
      <c r="V214" s="175"/>
      <c r="W214" s="175"/>
      <c r="X214" s="175"/>
      <c r="Y214" s="175"/>
      <c r="Z214" s="175"/>
      <c r="AA214" s="175"/>
    </row>
    <row r="215">
      <c r="A215" s="187"/>
      <c r="D215" s="187"/>
      <c r="O215" s="175"/>
      <c r="P215" s="175"/>
      <c r="Q215" s="175"/>
      <c r="R215" s="175"/>
      <c r="S215" s="175"/>
      <c r="T215" s="175"/>
      <c r="U215" s="175"/>
      <c r="V215" s="175"/>
      <c r="W215" s="175"/>
      <c r="X215" s="175"/>
      <c r="Y215" s="175"/>
      <c r="Z215" s="175"/>
      <c r="AA215" s="175"/>
    </row>
    <row r="216">
      <c r="A216" s="187"/>
      <c r="D216" s="187"/>
      <c r="O216" s="175"/>
      <c r="P216" s="175"/>
      <c r="Q216" s="175"/>
      <c r="R216" s="175"/>
      <c r="S216" s="175"/>
      <c r="T216" s="175"/>
      <c r="U216" s="175"/>
      <c r="V216" s="175"/>
      <c r="W216" s="175"/>
      <c r="X216" s="175"/>
      <c r="Y216" s="175"/>
      <c r="Z216" s="175"/>
      <c r="AA216" s="175"/>
    </row>
    <row r="217">
      <c r="A217" s="187"/>
      <c r="D217" s="187"/>
      <c r="O217" s="175"/>
      <c r="P217" s="175"/>
      <c r="Q217" s="175"/>
      <c r="R217" s="175"/>
      <c r="S217" s="175"/>
      <c r="T217" s="175"/>
      <c r="U217" s="175"/>
      <c r="V217" s="175"/>
      <c r="W217" s="175"/>
      <c r="X217" s="175"/>
      <c r="Y217" s="175"/>
      <c r="Z217" s="175"/>
      <c r="AA217" s="175"/>
    </row>
    <row r="218">
      <c r="A218" s="187"/>
      <c r="D218" s="187"/>
      <c r="O218" s="175"/>
      <c r="P218" s="175"/>
      <c r="Q218" s="175"/>
      <c r="R218" s="175"/>
      <c r="S218" s="175"/>
      <c r="T218" s="175"/>
      <c r="U218" s="175"/>
      <c r="V218" s="175"/>
      <c r="W218" s="175"/>
      <c r="X218" s="175"/>
      <c r="Y218" s="175"/>
      <c r="Z218" s="175"/>
      <c r="AA218" s="175"/>
    </row>
    <row r="219">
      <c r="A219" s="187"/>
      <c r="D219" s="187"/>
      <c r="O219" s="175"/>
      <c r="P219" s="175"/>
      <c r="Q219" s="175"/>
      <c r="R219" s="175"/>
      <c r="S219" s="175"/>
      <c r="T219" s="175"/>
      <c r="U219" s="175"/>
      <c r="V219" s="175"/>
      <c r="W219" s="175"/>
      <c r="X219" s="175"/>
      <c r="Y219" s="175"/>
      <c r="Z219" s="175"/>
      <c r="AA219" s="175"/>
    </row>
    <row r="220">
      <c r="A220" s="187"/>
      <c r="D220" s="187"/>
      <c r="O220" s="175"/>
      <c r="P220" s="175"/>
      <c r="Q220" s="175"/>
      <c r="R220" s="175"/>
      <c r="S220" s="175"/>
      <c r="T220" s="175"/>
      <c r="U220" s="175"/>
      <c r="V220" s="175"/>
      <c r="W220" s="175"/>
      <c r="X220" s="175"/>
      <c r="Y220" s="175"/>
      <c r="Z220" s="175"/>
      <c r="AA220" s="175"/>
    </row>
    <row r="221">
      <c r="A221" s="187"/>
      <c r="D221" s="187"/>
      <c r="O221" s="175"/>
      <c r="P221" s="175"/>
      <c r="Q221" s="175"/>
      <c r="R221" s="175"/>
      <c r="S221" s="175"/>
      <c r="T221" s="175"/>
      <c r="U221" s="175"/>
      <c r="V221" s="175"/>
      <c r="W221" s="175"/>
      <c r="X221" s="175"/>
      <c r="Y221" s="175"/>
      <c r="Z221" s="175"/>
      <c r="AA221" s="175"/>
    </row>
    <row r="222">
      <c r="A222" s="187"/>
      <c r="D222" s="187"/>
      <c r="O222" s="175"/>
      <c r="P222" s="175"/>
      <c r="Q222" s="175"/>
      <c r="R222" s="175"/>
      <c r="S222" s="175"/>
      <c r="T222" s="175"/>
      <c r="U222" s="175"/>
      <c r="V222" s="175"/>
      <c r="W222" s="175"/>
      <c r="X222" s="175"/>
      <c r="Y222" s="175"/>
      <c r="Z222" s="175"/>
      <c r="AA222" s="175"/>
    </row>
    <row r="223">
      <c r="A223" s="187"/>
      <c r="D223" s="187"/>
      <c r="O223" s="175"/>
      <c r="P223" s="175"/>
      <c r="Q223" s="175"/>
      <c r="R223" s="175"/>
      <c r="S223" s="175"/>
      <c r="T223" s="175"/>
      <c r="U223" s="175"/>
      <c r="V223" s="175"/>
      <c r="W223" s="175"/>
      <c r="X223" s="175"/>
      <c r="Y223" s="175"/>
      <c r="Z223" s="175"/>
      <c r="AA223" s="175"/>
    </row>
    <row r="224">
      <c r="A224" s="187"/>
      <c r="D224" s="187"/>
      <c r="O224" s="175"/>
      <c r="P224" s="175"/>
      <c r="Q224" s="175"/>
      <c r="R224" s="175"/>
      <c r="S224" s="175"/>
      <c r="T224" s="175"/>
      <c r="U224" s="175"/>
      <c r="V224" s="175"/>
      <c r="W224" s="175"/>
      <c r="X224" s="175"/>
      <c r="Y224" s="175"/>
      <c r="Z224" s="175"/>
      <c r="AA224" s="175"/>
    </row>
    <row r="225">
      <c r="A225" s="187"/>
      <c r="D225" s="187"/>
      <c r="O225" s="175"/>
      <c r="P225" s="175"/>
      <c r="Q225" s="175"/>
      <c r="R225" s="175"/>
      <c r="S225" s="175"/>
      <c r="T225" s="175"/>
      <c r="U225" s="175"/>
      <c r="V225" s="175"/>
      <c r="W225" s="175"/>
      <c r="X225" s="175"/>
      <c r="Y225" s="175"/>
      <c r="Z225" s="175"/>
      <c r="AA225" s="175"/>
    </row>
    <row r="226">
      <c r="A226" s="187"/>
      <c r="D226" s="187"/>
      <c r="O226" s="175"/>
      <c r="P226" s="175"/>
      <c r="Q226" s="175"/>
      <c r="R226" s="175"/>
      <c r="S226" s="175"/>
      <c r="T226" s="175"/>
      <c r="U226" s="175"/>
      <c r="V226" s="175"/>
      <c r="W226" s="175"/>
      <c r="X226" s="175"/>
      <c r="Y226" s="175"/>
      <c r="Z226" s="175"/>
      <c r="AA226" s="175"/>
    </row>
    <row r="227">
      <c r="A227" s="187"/>
      <c r="D227" s="187"/>
      <c r="O227" s="175"/>
      <c r="P227" s="175"/>
      <c r="Q227" s="175"/>
      <c r="R227" s="175"/>
      <c r="S227" s="175"/>
      <c r="T227" s="175"/>
      <c r="U227" s="175"/>
      <c r="V227" s="175"/>
      <c r="W227" s="175"/>
      <c r="X227" s="175"/>
      <c r="Y227" s="175"/>
      <c r="Z227" s="175"/>
      <c r="AA227" s="175"/>
    </row>
    <row r="228">
      <c r="A228" s="187"/>
      <c r="D228" s="187"/>
      <c r="O228" s="175"/>
      <c r="P228" s="175"/>
      <c r="Q228" s="175"/>
      <c r="R228" s="175"/>
      <c r="S228" s="175"/>
      <c r="T228" s="175"/>
      <c r="U228" s="175"/>
      <c r="V228" s="175"/>
      <c r="W228" s="175"/>
      <c r="X228" s="175"/>
      <c r="Y228" s="175"/>
      <c r="Z228" s="175"/>
      <c r="AA228" s="175"/>
    </row>
    <row r="229">
      <c r="A229" s="187"/>
      <c r="D229" s="187"/>
      <c r="O229" s="175"/>
      <c r="P229" s="175"/>
      <c r="Q229" s="175"/>
      <c r="R229" s="175"/>
      <c r="S229" s="175"/>
      <c r="T229" s="175"/>
      <c r="U229" s="175"/>
      <c r="V229" s="175"/>
      <c r="W229" s="175"/>
      <c r="X229" s="175"/>
      <c r="Y229" s="175"/>
      <c r="Z229" s="175"/>
      <c r="AA229" s="175"/>
    </row>
    <row r="230">
      <c r="A230" s="187"/>
      <c r="D230" s="187"/>
      <c r="O230" s="175"/>
      <c r="P230" s="175"/>
      <c r="Q230" s="175"/>
      <c r="R230" s="175"/>
      <c r="S230" s="175"/>
      <c r="T230" s="175"/>
      <c r="U230" s="175"/>
      <c r="V230" s="175"/>
      <c r="W230" s="175"/>
      <c r="X230" s="175"/>
      <c r="Y230" s="175"/>
      <c r="Z230" s="175"/>
      <c r="AA230" s="175"/>
    </row>
    <row r="231">
      <c r="A231" s="187"/>
      <c r="D231" s="187"/>
      <c r="O231" s="175"/>
      <c r="P231" s="175"/>
      <c r="Q231" s="175"/>
      <c r="R231" s="175"/>
      <c r="S231" s="175"/>
      <c r="T231" s="175"/>
      <c r="U231" s="175"/>
      <c r="V231" s="175"/>
      <c r="W231" s="175"/>
      <c r="X231" s="175"/>
      <c r="Y231" s="175"/>
      <c r="Z231" s="175"/>
      <c r="AA231" s="175"/>
    </row>
    <row r="232">
      <c r="A232" s="187"/>
      <c r="D232" s="187"/>
      <c r="O232" s="175"/>
      <c r="P232" s="175"/>
      <c r="Q232" s="175"/>
      <c r="R232" s="175"/>
      <c r="S232" s="175"/>
      <c r="T232" s="175"/>
      <c r="U232" s="175"/>
      <c r="V232" s="175"/>
      <c r="W232" s="175"/>
      <c r="X232" s="175"/>
      <c r="Y232" s="175"/>
      <c r="Z232" s="175"/>
      <c r="AA232" s="175"/>
    </row>
    <row r="233">
      <c r="A233" s="187"/>
      <c r="D233" s="187"/>
      <c r="O233" s="175"/>
      <c r="P233" s="175"/>
      <c r="Q233" s="175"/>
      <c r="R233" s="175"/>
      <c r="S233" s="175"/>
      <c r="T233" s="175"/>
      <c r="U233" s="175"/>
      <c r="V233" s="175"/>
      <c r="W233" s="175"/>
      <c r="X233" s="175"/>
      <c r="Y233" s="175"/>
      <c r="Z233" s="175"/>
      <c r="AA233" s="175"/>
    </row>
    <row r="234">
      <c r="A234" s="187"/>
      <c r="D234" s="187"/>
      <c r="O234" s="175"/>
      <c r="P234" s="175"/>
      <c r="Q234" s="175"/>
      <c r="R234" s="175"/>
      <c r="S234" s="175"/>
      <c r="T234" s="175"/>
      <c r="U234" s="175"/>
      <c r="V234" s="175"/>
      <c r="W234" s="175"/>
      <c r="X234" s="175"/>
      <c r="Y234" s="175"/>
      <c r="Z234" s="175"/>
      <c r="AA234" s="175"/>
    </row>
    <row r="235">
      <c r="A235" s="187"/>
      <c r="D235" s="187"/>
      <c r="O235" s="175"/>
      <c r="P235" s="175"/>
      <c r="Q235" s="175"/>
      <c r="R235" s="175"/>
      <c r="S235" s="175"/>
      <c r="T235" s="175"/>
      <c r="U235" s="175"/>
      <c r="V235" s="175"/>
      <c r="W235" s="175"/>
      <c r="X235" s="175"/>
      <c r="Y235" s="175"/>
      <c r="Z235" s="175"/>
      <c r="AA235" s="175"/>
    </row>
    <row r="236">
      <c r="A236" s="187"/>
      <c r="D236" s="187"/>
      <c r="O236" s="175"/>
      <c r="P236" s="175"/>
      <c r="Q236" s="175"/>
      <c r="R236" s="175"/>
      <c r="S236" s="175"/>
      <c r="T236" s="175"/>
      <c r="U236" s="175"/>
      <c r="V236" s="175"/>
      <c r="W236" s="175"/>
      <c r="X236" s="175"/>
      <c r="Y236" s="175"/>
      <c r="Z236" s="175"/>
      <c r="AA236" s="175"/>
    </row>
    <row r="237">
      <c r="A237" s="187"/>
      <c r="D237" s="187"/>
      <c r="O237" s="175"/>
      <c r="P237" s="175"/>
      <c r="Q237" s="175"/>
      <c r="R237" s="175"/>
      <c r="S237" s="175"/>
      <c r="T237" s="175"/>
      <c r="U237" s="175"/>
      <c r="V237" s="175"/>
      <c r="W237" s="175"/>
      <c r="X237" s="175"/>
      <c r="Y237" s="175"/>
      <c r="Z237" s="175"/>
      <c r="AA237" s="175"/>
    </row>
    <row r="238">
      <c r="A238" s="187"/>
      <c r="D238" s="187"/>
      <c r="O238" s="175"/>
      <c r="P238" s="175"/>
      <c r="Q238" s="175"/>
      <c r="R238" s="175"/>
      <c r="S238" s="175"/>
      <c r="T238" s="175"/>
      <c r="U238" s="175"/>
      <c r="V238" s="175"/>
      <c r="W238" s="175"/>
      <c r="X238" s="175"/>
      <c r="Y238" s="175"/>
      <c r="Z238" s="175"/>
      <c r="AA238" s="175"/>
    </row>
    <row r="239">
      <c r="A239" s="187"/>
      <c r="D239" s="187"/>
      <c r="O239" s="175"/>
      <c r="P239" s="175"/>
      <c r="Q239" s="175"/>
      <c r="R239" s="175"/>
      <c r="S239" s="175"/>
      <c r="T239" s="175"/>
      <c r="U239" s="175"/>
      <c r="V239" s="175"/>
      <c r="W239" s="175"/>
      <c r="X239" s="175"/>
      <c r="Y239" s="175"/>
      <c r="Z239" s="175"/>
      <c r="AA239" s="175"/>
    </row>
    <row r="240">
      <c r="A240" s="187"/>
      <c r="D240" s="187"/>
      <c r="O240" s="175"/>
      <c r="P240" s="175"/>
      <c r="Q240" s="175"/>
      <c r="R240" s="175"/>
      <c r="S240" s="175"/>
      <c r="T240" s="175"/>
      <c r="U240" s="175"/>
      <c r="V240" s="175"/>
      <c r="W240" s="175"/>
      <c r="X240" s="175"/>
      <c r="Y240" s="175"/>
      <c r="Z240" s="175"/>
      <c r="AA240" s="175"/>
    </row>
    <row r="241">
      <c r="A241" s="187"/>
      <c r="D241" s="187"/>
      <c r="O241" s="175"/>
      <c r="P241" s="175"/>
      <c r="Q241" s="175"/>
      <c r="R241" s="175"/>
      <c r="S241" s="175"/>
      <c r="T241" s="175"/>
      <c r="U241" s="175"/>
      <c r="V241" s="175"/>
      <c r="W241" s="175"/>
      <c r="X241" s="175"/>
      <c r="Y241" s="175"/>
      <c r="Z241" s="175"/>
      <c r="AA241" s="175"/>
    </row>
    <row r="242">
      <c r="A242" s="187"/>
      <c r="D242" s="187"/>
      <c r="O242" s="175"/>
      <c r="P242" s="175"/>
      <c r="Q242" s="175"/>
      <c r="R242" s="175"/>
      <c r="S242" s="175"/>
      <c r="T242" s="175"/>
      <c r="U242" s="175"/>
      <c r="V242" s="175"/>
      <c r="W242" s="175"/>
      <c r="X242" s="175"/>
      <c r="Y242" s="175"/>
      <c r="Z242" s="175"/>
      <c r="AA242" s="175"/>
    </row>
    <row r="243">
      <c r="A243" s="187"/>
      <c r="D243" s="187"/>
      <c r="O243" s="175"/>
      <c r="P243" s="175"/>
      <c r="Q243" s="175"/>
      <c r="R243" s="175"/>
      <c r="S243" s="175"/>
      <c r="T243" s="175"/>
      <c r="U243" s="175"/>
      <c r="V243" s="175"/>
      <c r="W243" s="175"/>
      <c r="X243" s="175"/>
      <c r="Y243" s="175"/>
      <c r="Z243" s="175"/>
      <c r="AA243" s="175"/>
    </row>
    <row r="244">
      <c r="A244" s="187"/>
      <c r="D244" s="187"/>
      <c r="O244" s="175"/>
      <c r="P244" s="175"/>
      <c r="Q244" s="175"/>
      <c r="R244" s="175"/>
      <c r="S244" s="175"/>
      <c r="T244" s="175"/>
      <c r="U244" s="175"/>
      <c r="V244" s="175"/>
      <c r="W244" s="175"/>
      <c r="X244" s="175"/>
      <c r="Y244" s="175"/>
      <c r="Z244" s="175"/>
      <c r="AA244" s="175"/>
    </row>
    <row r="245">
      <c r="A245" s="187"/>
      <c r="D245" s="187"/>
      <c r="O245" s="175"/>
      <c r="P245" s="175"/>
      <c r="Q245" s="175"/>
      <c r="R245" s="175"/>
      <c r="S245" s="175"/>
      <c r="T245" s="175"/>
      <c r="U245" s="175"/>
      <c r="V245" s="175"/>
      <c r="W245" s="175"/>
      <c r="X245" s="175"/>
      <c r="Y245" s="175"/>
      <c r="Z245" s="175"/>
      <c r="AA245" s="175"/>
    </row>
    <row r="246">
      <c r="A246" s="187"/>
      <c r="D246" s="187"/>
      <c r="O246" s="175"/>
      <c r="P246" s="175"/>
      <c r="Q246" s="175"/>
      <c r="R246" s="175"/>
      <c r="S246" s="175"/>
      <c r="T246" s="175"/>
      <c r="U246" s="175"/>
      <c r="V246" s="175"/>
      <c r="W246" s="175"/>
      <c r="X246" s="175"/>
      <c r="Y246" s="175"/>
      <c r="Z246" s="175"/>
      <c r="AA246" s="175"/>
    </row>
    <row r="247">
      <c r="A247" s="187"/>
      <c r="D247" s="187"/>
      <c r="O247" s="175"/>
      <c r="P247" s="175"/>
      <c r="Q247" s="175"/>
      <c r="R247" s="175"/>
      <c r="S247" s="175"/>
      <c r="T247" s="175"/>
      <c r="U247" s="175"/>
      <c r="V247" s="175"/>
      <c r="W247" s="175"/>
      <c r="X247" s="175"/>
      <c r="Y247" s="175"/>
      <c r="Z247" s="175"/>
      <c r="AA247" s="175"/>
    </row>
    <row r="248">
      <c r="A248" s="187"/>
      <c r="D248" s="187"/>
      <c r="O248" s="175"/>
      <c r="P248" s="175"/>
      <c r="Q248" s="175"/>
      <c r="R248" s="175"/>
      <c r="S248" s="175"/>
      <c r="T248" s="175"/>
      <c r="U248" s="175"/>
      <c r="V248" s="175"/>
      <c r="W248" s="175"/>
      <c r="X248" s="175"/>
      <c r="Y248" s="175"/>
      <c r="Z248" s="175"/>
      <c r="AA248" s="175"/>
    </row>
    <row r="249">
      <c r="A249" s="187"/>
      <c r="D249" s="187"/>
      <c r="O249" s="175"/>
      <c r="P249" s="175"/>
      <c r="Q249" s="175"/>
      <c r="R249" s="175"/>
      <c r="S249" s="175"/>
      <c r="T249" s="175"/>
      <c r="U249" s="175"/>
      <c r="V249" s="175"/>
      <c r="W249" s="175"/>
      <c r="X249" s="175"/>
      <c r="Y249" s="175"/>
      <c r="Z249" s="175"/>
      <c r="AA249" s="175"/>
    </row>
    <row r="250">
      <c r="A250" s="187"/>
      <c r="D250" s="187"/>
      <c r="O250" s="175"/>
      <c r="P250" s="175"/>
      <c r="Q250" s="175"/>
      <c r="R250" s="175"/>
      <c r="S250" s="175"/>
      <c r="T250" s="175"/>
      <c r="U250" s="175"/>
      <c r="V250" s="175"/>
      <c r="W250" s="175"/>
      <c r="X250" s="175"/>
      <c r="Y250" s="175"/>
      <c r="Z250" s="175"/>
      <c r="AA250" s="175"/>
    </row>
    <row r="251">
      <c r="A251" s="187"/>
      <c r="D251" s="187"/>
      <c r="O251" s="175"/>
      <c r="P251" s="175"/>
      <c r="Q251" s="175"/>
      <c r="R251" s="175"/>
      <c r="S251" s="175"/>
      <c r="T251" s="175"/>
      <c r="U251" s="175"/>
      <c r="V251" s="175"/>
      <c r="W251" s="175"/>
      <c r="X251" s="175"/>
      <c r="Y251" s="175"/>
      <c r="Z251" s="175"/>
      <c r="AA251" s="175"/>
    </row>
    <row r="252">
      <c r="A252" s="187"/>
      <c r="D252" s="187"/>
      <c r="O252" s="175"/>
      <c r="P252" s="175"/>
      <c r="Q252" s="175"/>
      <c r="R252" s="175"/>
      <c r="S252" s="175"/>
      <c r="T252" s="175"/>
      <c r="U252" s="175"/>
      <c r="V252" s="175"/>
      <c r="W252" s="175"/>
      <c r="X252" s="175"/>
      <c r="Y252" s="175"/>
      <c r="Z252" s="175"/>
      <c r="AA252" s="175"/>
    </row>
    <row r="253">
      <c r="A253" s="187"/>
      <c r="D253" s="187"/>
      <c r="O253" s="175"/>
      <c r="P253" s="175"/>
      <c r="Q253" s="175"/>
      <c r="R253" s="175"/>
      <c r="S253" s="175"/>
      <c r="T253" s="175"/>
      <c r="U253" s="175"/>
      <c r="V253" s="175"/>
      <c r="W253" s="175"/>
      <c r="X253" s="175"/>
      <c r="Y253" s="175"/>
      <c r="Z253" s="175"/>
      <c r="AA253" s="175"/>
    </row>
    <row r="254">
      <c r="A254" s="187"/>
      <c r="D254" s="187"/>
      <c r="O254" s="175"/>
      <c r="P254" s="175"/>
      <c r="Q254" s="175"/>
      <c r="R254" s="175"/>
      <c r="S254" s="175"/>
      <c r="T254" s="175"/>
      <c r="U254" s="175"/>
      <c r="V254" s="175"/>
      <c r="W254" s="175"/>
      <c r="X254" s="175"/>
      <c r="Y254" s="175"/>
      <c r="Z254" s="175"/>
      <c r="AA254" s="175"/>
    </row>
    <row r="255">
      <c r="A255" s="187"/>
      <c r="D255" s="187"/>
      <c r="O255" s="175"/>
      <c r="P255" s="175"/>
      <c r="Q255" s="175"/>
      <c r="R255" s="175"/>
      <c r="S255" s="175"/>
      <c r="T255" s="175"/>
      <c r="U255" s="175"/>
      <c r="V255" s="175"/>
      <c r="W255" s="175"/>
      <c r="X255" s="175"/>
      <c r="Y255" s="175"/>
      <c r="Z255" s="175"/>
      <c r="AA255" s="175"/>
    </row>
    <row r="256">
      <c r="A256" s="187"/>
      <c r="D256" s="187"/>
      <c r="O256" s="175"/>
      <c r="P256" s="175"/>
      <c r="Q256" s="175"/>
      <c r="R256" s="175"/>
      <c r="S256" s="175"/>
      <c r="T256" s="175"/>
      <c r="U256" s="175"/>
      <c r="V256" s="175"/>
      <c r="W256" s="175"/>
      <c r="X256" s="175"/>
      <c r="Y256" s="175"/>
      <c r="Z256" s="175"/>
      <c r="AA256" s="175"/>
    </row>
    <row r="257">
      <c r="A257" s="187"/>
      <c r="D257" s="187"/>
      <c r="O257" s="175"/>
      <c r="P257" s="175"/>
      <c r="Q257" s="175"/>
      <c r="R257" s="175"/>
      <c r="S257" s="175"/>
      <c r="T257" s="175"/>
      <c r="U257" s="175"/>
      <c r="V257" s="175"/>
      <c r="W257" s="175"/>
      <c r="X257" s="175"/>
      <c r="Y257" s="175"/>
      <c r="Z257" s="175"/>
      <c r="AA257" s="175"/>
    </row>
    <row r="258">
      <c r="A258" s="187"/>
      <c r="D258" s="187"/>
      <c r="O258" s="175"/>
      <c r="P258" s="175"/>
      <c r="Q258" s="175"/>
      <c r="R258" s="175"/>
      <c r="S258" s="175"/>
      <c r="T258" s="175"/>
      <c r="U258" s="175"/>
      <c r="V258" s="175"/>
      <c r="W258" s="175"/>
      <c r="X258" s="175"/>
      <c r="Y258" s="175"/>
      <c r="Z258" s="175"/>
      <c r="AA258" s="175"/>
    </row>
    <row r="259">
      <c r="A259" s="187"/>
      <c r="D259" s="187"/>
      <c r="O259" s="175"/>
      <c r="P259" s="175"/>
      <c r="Q259" s="175"/>
      <c r="R259" s="175"/>
      <c r="S259" s="175"/>
      <c r="T259" s="175"/>
      <c r="U259" s="175"/>
      <c r="V259" s="175"/>
      <c r="W259" s="175"/>
      <c r="X259" s="175"/>
      <c r="Y259" s="175"/>
      <c r="Z259" s="175"/>
      <c r="AA259" s="175"/>
    </row>
    <row r="260">
      <c r="A260" s="187"/>
      <c r="D260" s="187"/>
      <c r="O260" s="175"/>
      <c r="P260" s="175"/>
      <c r="Q260" s="175"/>
      <c r="R260" s="175"/>
      <c r="S260" s="175"/>
      <c r="T260" s="175"/>
      <c r="U260" s="175"/>
      <c r="V260" s="175"/>
      <c r="W260" s="175"/>
      <c r="X260" s="175"/>
      <c r="Y260" s="175"/>
      <c r="Z260" s="175"/>
      <c r="AA260" s="175"/>
    </row>
    <row r="261">
      <c r="A261" s="187"/>
      <c r="D261" s="187"/>
      <c r="O261" s="175"/>
      <c r="P261" s="175"/>
      <c r="Q261" s="175"/>
      <c r="R261" s="175"/>
      <c r="S261" s="175"/>
      <c r="T261" s="175"/>
      <c r="U261" s="175"/>
      <c r="V261" s="175"/>
      <c r="W261" s="175"/>
      <c r="X261" s="175"/>
      <c r="Y261" s="175"/>
      <c r="Z261" s="175"/>
      <c r="AA261" s="175"/>
    </row>
    <row r="262">
      <c r="A262" s="187"/>
      <c r="D262" s="187"/>
      <c r="O262" s="175"/>
      <c r="P262" s="175"/>
      <c r="Q262" s="175"/>
      <c r="R262" s="175"/>
      <c r="S262" s="175"/>
      <c r="T262" s="175"/>
      <c r="U262" s="175"/>
      <c r="V262" s="175"/>
      <c r="W262" s="175"/>
      <c r="X262" s="175"/>
      <c r="Y262" s="175"/>
      <c r="Z262" s="175"/>
      <c r="AA262" s="175"/>
    </row>
    <row r="263">
      <c r="A263" s="187"/>
      <c r="D263" s="187"/>
      <c r="O263" s="175"/>
      <c r="P263" s="175"/>
      <c r="Q263" s="175"/>
      <c r="R263" s="175"/>
      <c r="S263" s="175"/>
      <c r="T263" s="175"/>
      <c r="U263" s="175"/>
      <c r="V263" s="175"/>
      <c r="W263" s="175"/>
      <c r="X263" s="175"/>
      <c r="Y263" s="175"/>
      <c r="Z263" s="175"/>
      <c r="AA263" s="175"/>
    </row>
    <row r="264">
      <c r="A264" s="187"/>
      <c r="D264" s="187"/>
      <c r="O264" s="175"/>
      <c r="P264" s="175"/>
      <c r="Q264" s="175"/>
      <c r="R264" s="175"/>
      <c r="S264" s="175"/>
      <c r="T264" s="175"/>
      <c r="U264" s="175"/>
      <c r="V264" s="175"/>
      <c r="W264" s="175"/>
      <c r="X264" s="175"/>
      <c r="Y264" s="175"/>
      <c r="Z264" s="175"/>
      <c r="AA264" s="175"/>
    </row>
    <row r="265">
      <c r="A265" s="187"/>
      <c r="D265" s="187"/>
      <c r="O265" s="175"/>
      <c r="P265" s="175"/>
      <c r="Q265" s="175"/>
      <c r="R265" s="175"/>
      <c r="S265" s="175"/>
      <c r="T265" s="175"/>
      <c r="U265" s="175"/>
      <c r="V265" s="175"/>
      <c r="W265" s="175"/>
      <c r="X265" s="175"/>
      <c r="Y265" s="175"/>
      <c r="Z265" s="175"/>
      <c r="AA265" s="175"/>
    </row>
    <row r="266">
      <c r="A266" s="187"/>
      <c r="D266" s="187"/>
      <c r="O266" s="175"/>
      <c r="P266" s="175"/>
      <c r="Q266" s="175"/>
      <c r="R266" s="175"/>
      <c r="S266" s="175"/>
      <c r="T266" s="175"/>
      <c r="U266" s="175"/>
      <c r="V266" s="175"/>
      <c r="W266" s="175"/>
      <c r="X266" s="175"/>
      <c r="Y266" s="175"/>
      <c r="Z266" s="175"/>
      <c r="AA266" s="175"/>
    </row>
    <row r="267">
      <c r="A267" s="187"/>
      <c r="D267" s="187"/>
      <c r="O267" s="175"/>
      <c r="P267" s="175"/>
      <c r="Q267" s="175"/>
      <c r="R267" s="175"/>
      <c r="S267" s="175"/>
      <c r="T267" s="175"/>
      <c r="U267" s="175"/>
      <c r="V267" s="175"/>
      <c r="W267" s="175"/>
      <c r="X267" s="175"/>
      <c r="Y267" s="175"/>
      <c r="Z267" s="175"/>
      <c r="AA267" s="175"/>
    </row>
    <row r="268">
      <c r="A268" s="187"/>
      <c r="D268" s="187"/>
      <c r="O268" s="175"/>
      <c r="P268" s="175"/>
      <c r="Q268" s="175"/>
      <c r="R268" s="175"/>
      <c r="S268" s="175"/>
      <c r="T268" s="175"/>
      <c r="U268" s="175"/>
      <c r="V268" s="175"/>
      <c r="W268" s="175"/>
      <c r="X268" s="175"/>
      <c r="Y268" s="175"/>
      <c r="Z268" s="175"/>
      <c r="AA268" s="175"/>
    </row>
    <row r="269">
      <c r="A269" s="187"/>
      <c r="D269" s="187"/>
      <c r="O269" s="175"/>
      <c r="P269" s="175"/>
      <c r="Q269" s="175"/>
      <c r="R269" s="175"/>
      <c r="S269" s="175"/>
      <c r="T269" s="175"/>
      <c r="U269" s="175"/>
      <c r="V269" s="175"/>
      <c r="W269" s="175"/>
      <c r="X269" s="175"/>
      <c r="Y269" s="175"/>
      <c r="Z269" s="175"/>
      <c r="AA269" s="175"/>
    </row>
    <row r="270">
      <c r="A270" s="187"/>
      <c r="D270" s="187"/>
      <c r="O270" s="175"/>
      <c r="P270" s="175"/>
      <c r="Q270" s="175"/>
      <c r="R270" s="175"/>
      <c r="S270" s="175"/>
      <c r="T270" s="175"/>
      <c r="U270" s="175"/>
      <c r="V270" s="175"/>
      <c r="W270" s="175"/>
      <c r="X270" s="175"/>
      <c r="Y270" s="175"/>
      <c r="Z270" s="175"/>
      <c r="AA270" s="175"/>
    </row>
    <row r="271">
      <c r="A271" s="187"/>
      <c r="D271" s="187"/>
      <c r="O271" s="175"/>
      <c r="P271" s="175"/>
      <c r="Q271" s="175"/>
      <c r="R271" s="175"/>
      <c r="S271" s="175"/>
      <c r="T271" s="175"/>
      <c r="U271" s="175"/>
      <c r="V271" s="175"/>
      <c r="W271" s="175"/>
      <c r="X271" s="175"/>
      <c r="Y271" s="175"/>
      <c r="Z271" s="175"/>
      <c r="AA271" s="175"/>
    </row>
    <row r="272">
      <c r="A272" s="187"/>
      <c r="D272" s="187"/>
      <c r="O272" s="175"/>
      <c r="P272" s="175"/>
      <c r="Q272" s="175"/>
      <c r="R272" s="175"/>
      <c r="S272" s="175"/>
      <c r="T272" s="175"/>
      <c r="U272" s="175"/>
      <c r="V272" s="175"/>
      <c r="W272" s="175"/>
      <c r="X272" s="175"/>
      <c r="Y272" s="175"/>
      <c r="Z272" s="175"/>
      <c r="AA272" s="175"/>
    </row>
    <row r="273">
      <c r="A273" s="187"/>
      <c r="D273" s="187"/>
      <c r="O273" s="175"/>
      <c r="P273" s="175"/>
      <c r="Q273" s="175"/>
      <c r="R273" s="175"/>
      <c r="S273" s="175"/>
      <c r="T273" s="175"/>
      <c r="U273" s="175"/>
      <c r="V273" s="175"/>
      <c r="W273" s="175"/>
      <c r="X273" s="175"/>
      <c r="Y273" s="175"/>
      <c r="Z273" s="175"/>
      <c r="AA273" s="175"/>
    </row>
    <row r="274">
      <c r="A274" s="187"/>
      <c r="D274" s="187"/>
      <c r="O274" s="175"/>
      <c r="P274" s="175"/>
      <c r="Q274" s="175"/>
      <c r="R274" s="175"/>
      <c r="S274" s="175"/>
      <c r="T274" s="175"/>
      <c r="U274" s="175"/>
      <c r="V274" s="175"/>
      <c r="W274" s="175"/>
      <c r="X274" s="175"/>
      <c r="Y274" s="175"/>
      <c r="Z274" s="175"/>
      <c r="AA274" s="175"/>
    </row>
    <row r="275">
      <c r="A275" s="187"/>
      <c r="D275" s="187"/>
      <c r="O275" s="175"/>
      <c r="P275" s="175"/>
      <c r="Q275" s="175"/>
      <c r="R275" s="175"/>
      <c r="S275" s="175"/>
      <c r="T275" s="175"/>
      <c r="U275" s="175"/>
      <c r="V275" s="175"/>
      <c r="W275" s="175"/>
      <c r="X275" s="175"/>
      <c r="Y275" s="175"/>
      <c r="Z275" s="175"/>
      <c r="AA275" s="175"/>
    </row>
    <row r="276">
      <c r="A276" s="187"/>
      <c r="D276" s="187"/>
      <c r="O276" s="175"/>
      <c r="P276" s="175"/>
      <c r="Q276" s="175"/>
      <c r="R276" s="175"/>
      <c r="S276" s="175"/>
      <c r="T276" s="175"/>
      <c r="U276" s="175"/>
      <c r="V276" s="175"/>
      <c r="W276" s="175"/>
      <c r="X276" s="175"/>
      <c r="Y276" s="175"/>
      <c r="Z276" s="175"/>
      <c r="AA276" s="175"/>
    </row>
    <row r="277">
      <c r="A277" s="187"/>
      <c r="D277" s="187"/>
      <c r="O277" s="175"/>
      <c r="P277" s="175"/>
      <c r="Q277" s="175"/>
      <c r="R277" s="175"/>
      <c r="S277" s="175"/>
      <c r="T277" s="175"/>
      <c r="U277" s="175"/>
      <c r="V277" s="175"/>
      <c r="W277" s="175"/>
      <c r="X277" s="175"/>
      <c r="Y277" s="175"/>
      <c r="Z277" s="175"/>
      <c r="AA277" s="175"/>
    </row>
    <row r="278">
      <c r="A278" s="187"/>
      <c r="D278" s="187"/>
      <c r="O278" s="175"/>
      <c r="P278" s="175"/>
      <c r="Q278" s="175"/>
      <c r="R278" s="175"/>
      <c r="S278" s="175"/>
      <c r="T278" s="175"/>
      <c r="U278" s="175"/>
      <c r="V278" s="175"/>
      <c r="W278" s="175"/>
      <c r="X278" s="175"/>
      <c r="Y278" s="175"/>
      <c r="Z278" s="175"/>
      <c r="AA278" s="175"/>
    </row>
    <row r="279">
      <c r="A279" s="187"/>
      <c r="D279" s="187"/>
      <c r="O279" s="175"/>
      <c r="P279" s="175"/>
      <c r="Q279" s="175"/>
      <c r="R279" s="175"/>
      <c r="S279" s="175"/>
      <c r="T279" s="175"/>
      <c r="U279" s="175"/>
      <c r="V279" s="175"/>
      <c r="W279" s="175"/>
      <c r="X279" s="175"/>
      <c r="Y279" s="175"/>
      <c r="Z279" s="175"/>
      <c r="AA279" s="175"/>
    </row>
    <row r="280">
      <c r="A280" s="187"/>
      <c r="D280" s="187"/>
      <c r="O280" s="175"/>
      <c r="P280" s="175"/>
      <c r="Q280" s="175"/>
      <c r="R280" s="175"/>
      <c r="S280" s="175"/>
      <c r="T280" s="175"/>
      <c r="U280" s="175"/>
      <c r="V280" s="175"/>
      <c r="W280" s="175"/>
      <c r="X280" s="175"/>
      <c r="Y280" s="175"/>
      <c r="Z280" s="175"/>
      <c r="AA280" s="175"/>
    </row>
    <row r="281">
      <c r="A281" s="187"/>
      <c r="D281" s="187"/>
      <c r="O281" s="175"/>
      <c r="P281" s="175"/>
      <c r="Q281" s="175"/>
      <c r="R281" s="175"/>
      <c r="S281" s="175"/>
      <c r="T281" s="175"/>
      <c r="U281" s="175"/>
      <c r="V281" s="175"/>
      <c r="W281" s="175"/>
      <c r="X281" s="175"/>
      <c r="Y281" s="175"/>
      <c r="Z281" s="175"/>
      <c r="AA281" s="175"/>
    </row>
    <row r="282">
      <c r="A282" s="187"/>
      <c r="D282" s="187"/>
      <c r="O282" s="175"/>
      <c r="P282" s="175"/>
      <c r="Q282" s="175"/>
      <c r="R282" s="175"/>
      <c r="S282" s="175"/>
      <c r="T282" s="175"/>
      <c r="U282" s="175"/>
      <c r="V282" s="175"/>
      <c r="W282" s="175"/>
      <c r="X282" s="175"/>
      <c r="Y282" s="175"/>
      <c r="Z282" s="175"/>
      <c r="AA282" s="175"/>
    </row>
    <row r="283">
      <c r="A283" s="187"/>
      <c r="D283" s="187"/>
      <c r="O283" s="175"/>
      <c r="P283" s="175"/>
      <c r="Q283" s="175"/>
      <c r="R283" s="175"/>
      <c r="S283" s="175"/>
      <c r="T283" s="175"/>
      <c r="U283" s="175"/>
      <c r="V283" s="175"/>
      <c r="W283" s="175"/>
      <c r="X283" s="175"/>
      <c r="Y283" s="175"/>
      <c r="Z283" s="175"/>
      <c r="AA283" s="175"/>
    </row>
    <row r="284">
      <c r="A284" s="187"/>
      <c r="D284" s="187"/>
      <c r="O284" s="175"/>
      <c r="P284" s="175"/>
      <c r="Q284" s="175"/>
      <c r="R284" s="175"/>
      <c r="S284" s="175"/>
      <c r="T284" s="175"/>
      <c r="U284" s="175"/>
      <c r="V284" s="175"/>
      <c r="W284" s="175"/>
      <c r="X284" s="175"/>
      <c r="Y284" s="175"/>
      <c r="Z284" s="175"/>
      <c r="AA284" s="175"/>
    </row>
    <row r="285">
      <c r="A285" s="187"/>
      <c r="D285" s="187"/>
      <c r="O285" s="175"/>
      <c r="P285" s="175"/>
      <c r="Q285" s="175"/>
      <c r="R285" s="175"/>
      <c r="S285" s="175"/>
      <c r="T285" s="175"/>
      <c r="U285" s="175"/>
      <c r="V285" s="175"/>
      <c r="W285" s="175"/>
      <c r="X285" s="175"/>
      <c r="Y285" s="175"/>
      <c r="Z285" s="175"/>
      <c r="AA285" s="175"/>
    </row>
    <row r="286">
      <c r="A286" s="187"/>
      <c r="D286" s="187"/>
      <c r="O286" s="175"/>
      <c r="P286" s="175"/>
      <c r="Q286" s="175"/>
      <c r="R286" s="175"/>
      <c r="S286" s="175"/>
      <c r="T286" s="175"/>
      <c r="U286" s="175"/>
      <c r="V286" s="175"/>
      <c r="W286" s="175"/>
      <c r="X286" s="175"/>
      <c r="Y286" s="175"/>
      <c r="Z286" s="175"/>
      <c r="AA286" s="175"/>
    </row>
    <row r="287">
      <c r="A287" s="187"/>
      <c r="D287" s="187"/>
      <c r="O287" s="175"/>
      <c r="P287" s="175"/>
      <c r="Q287" s="175"/>
      <c r="R287" s="175"/>
      <c r="S287" s="175"/>
      <c r="T287" s="175"/>
      <c r="U287" s="175"/>
      <c r="V287" s="175"/>
      <c r="W287" s="175"/>
      <c r="X287" s="175"/>
      <c r="Y287" s="175"/>
      <c r="Z287" s="175"/>
      <c r="AA287" s="175"/>
    </row>
    <row r="288">
      <c r="A288" s="187"/>
      <c r="D288" s="187"/>
      <c r="O288" s="175"/>
      <c r="P288" s="175"/>
      <c r="Q288" s="175"/>
      <c r="R288" s="175"/>
      <c r="S288" s="175"/>
      <c r="T288" s="175"/>
      <c r="U288" s="175"/>
      <c r="V288" s="175"/>
      <c r="W288" s="175"/>
      <c r="X288" s="175"/>
      <c r="Y288" s="175"/>
      <c r="Z288" s="175"/>
      <c r="AA288" s="175"/>
    </row>
    <row r="289">
      <c r="A289" s="187"/>
      <c r="D289" s="187"/>
      <c r="O289" s="175"/>
      <c r="P289" s="175"/>
      <c r="Q289" s="175"/>
      <c r="R289" s="175"/>
      <c r="S289" s="175"/>
      <c r="T289" s="175"/>
      <c r="U289" s="175"/>
      <c r="V289" s="175"/>
      <c r="W289" s="175"/>
      <c r="X289" s="175"/>
      <c r="Y289" s="175"/>
      <c r="Z289" s="175"/>
      <c r="AA289" s="175"/>
    </row>
    <row r="290">
      <c r="A290" s="187"/>
      <c r="D290" s="187"/>
      <c r="O290" s="175"/>
      <c r="P290" s="175"/>
      <c r="Q290" s="175"/>
      <c r="R290" s="175"/>
      <c r="S290" s="175"/>
      <c r="T290" s="175"/>
      <c r="U290" s="175"/>
      <c r="V290" s="175"/>
      <c r="W290" s="175"/>
      <c r="X290" s="175"/>
      <c r="Y290" s="175"/>
      <c r="Z290" s="175"/>
      <c r="AA290" s="175"/>
    </row>
    <row r="291">
      <c r="A291" s="187"/>
      <c r="D291" s="187"/>
      <c r="O291" s="175"/>
      <c r="P291" s="175"/>
      <c r="Q291" s="175"/>
      <c r="R291" s="175"/>
      <c r="S291" s="175"/>
      <c r="T291" s="175"/>
      <c r="U291" s="175"/>
      <c r="V291" s="175"/>
      <c r="W291" s="175"/>
      <c r="X291" s="175"/>
      <c r="Y291" s="175"/>
      <c r="Z291" s="175"/>
      <c r="AA291" s="175"/>
    </row>
    <row r="292">
      <c r="A292" s="187"/>
      <c r="D292" s="187"/>
      <c r="O292" s="175"/>
      <c r="P292" s="175"/>
      <c r="Q292" s="175"/>
      <c r="R292" s="175"/>
      <c r="S292" s="175"/>
      <c r="T292" s="175"/>
      <c r="U292" s="175"/>
      <c r="V292" s="175"/>
      <c r="W292" s="175"/>
      <c r="X292" s="175"/>
      <c r="Y292" s="175"/>
      <c r="Z292" s="175"/>
      <c r="AA292" s="175"/>
    </row>
    <row r="293">
      <c r="A293" s="187"/>
      <c r="D293" s="187"/>
      <c r="O293" s="175"/>
      <c r="P293" s="175"/>
      <c r="Q293" s="175"/>
      <c r="R293" s="175"/>
      <c r="S293" s="175"/>
      <c r="T293" s="175"/>
      <c r="U293" s="175"/>
      <c r="V293" s="175"/>
      <c r="W293" s="175"/>
      <c r="X293" s="175"/>
      <c r="Y293" s="175"/>
      <c r="Z293" s="175"/>
      <c r="AA293" s="175"/>
    </row>
    <row r="294">
      <c r="A294" s="187"/>
      <c r="D294" s="187"/>
      <c r="O294" s="175"/>
      <c r="P294" s="175"/>
      <c r="Q294" s="175"/>
      <c r="R294" s="175"/>
      <c r="S294" s="175"/>
      <c r="T294" s="175"/>
      <c r="U294" s="175"/>
      <c r="V294" s="175"/>
      <c r="W294" s="175"/>
      <c r="X294" s="175"/>
      <c r="Y294" s="175"/>
      <c r="Z294" s="175"/>
      <c r="AA294" s="175"/>
    </row>
    <row r="295">
      <c r="A295" s="187"/>
      <c r="D295" s="187"/>
      <c r="O295" s="175"/>
      <c r="P295" s="175"/>
      <c r="Q295" s="175"/>
      <c r="R295" s="175"/>
      <c r="S295" s="175"/>
      <c r="T295" s="175"/>
      <c r="U295" s="175"/>
      <c r="V295" s="175"/>
      <c r="W295" s="175"/>
      <c r="X295" s="175"/>
      <c r="Y295" s="175"/>
      <c r="Z295" s="175"/>
      <c r="AA295" s="175"/>
    </row>
    <row r="296">
      <c r="A296" s="187"/>
      <c r="D296" s="187"/>
      <c r="O296" s="175"/>
      <c r="P296" s="175"/>
      <c r="Q296" s="175"/>
      <c r="R296" s="175"/>
      <c r="S296" s="175"/>
      <c r="T296" s="175"/>
      <c r="U296" s="175"/>
      <c r="V296" s="175"/>
      <c r="W296" s="175"/>
      <c r="X296" s="175"/>
      <c r="Y296" s="175"/>
      <c r="Z296" s="175"/>
      <c r="AA296" s="175"/>
    </row>
    <row r="297">
      <c r="A297" s="187"/>
      <c r="D297" s="187"/>
      <c r="O297" s="175"/>
      <c r="P297" s="175"/>
      <c r="Q297" s="175"/>
      <c r="R297" s="175"/>
      <c r="S297" s="175"/>
      <c r="T297" s="175"/>
      <c r="U297" s="175"/>
      <c r="V297" s="175"/>
      <c r="W297" s="175"/>
      <c r="X297" s="175"/>
      <c r="Y297" s="175"/>
      <c r="Z297" s="175"/>
      <c r="AA297" s="175"/>
    </row>
    <row r="298">
      <c r="A298" s="187"/>
      <c r="D298" s="187"/>
      <c r="O298" s="175"/>
      <c r="P298" s="175"/>
      <c r="Q298" s="175"/>
      <c r="R298" s="175"/>
      <c r="S298" s="175"/>
      <c r="T298" s="175"/>
      <c r="U298" s="175"/>
      <c r="V298" s="175"/>
      <c r="W298" s="175"/>
      <c r="X298" s="175"/>
      <c r="Y298" s="175"/>
      <c r="Z298" s="175"/>
      <c r="AA298" s="175"/>
    </row>
    <row r="299">
      <c r="A299" s="187"/>
      <c r="D299" s="187"/>
      <c r="O299" s="175"/>
      <c r="P299" s="175"/>
      <c r="Q299" s="175"/>
      <c r="R299" s="175"/>
      <c r="S299" s="175"/>
      <c r="T299" s="175"/>
      <c r="U299" s="175"/>
      <c r="V299" s="175"/>
      <c r="W299" s="175"/>
      <c r="X299" s="175"/>
      <c r="Y299" s="175"/>
      <c r="Z299" s="175"/>
      <c r="AA299" s="175"/>
    </row>
    <row r="300">
      <c r="A300" s="187"/>
      <c r="D300" s="187"/>
      <c r="O300" s="175"/>
      <c r="P300" s="175"/>
      <c r="Q300" s="175"/>
      <c r="R300" s="175"/>
      <c r="S300" s="175"/>
      <c r="T300" s="175"/>
      <c r="U300" s="175"/>
      <c r="V300" s="175"/>
      <c r="W300" s="175"/>
      <c r="X300" s="175"/>
      <c r="Y300" s="175"/>
      <c r="Z300" s="175"/>
      <c r="AA300" s="175"/>
    </row>
    <row r="301">
      <c r="A301" s="187"/>
      <c r="D301" s="187"/>
      <c r="O301" s="175"/>
      <c r="P301" s="175"/>
      <c r="Q301" s="175"/>
      <c r="R301" s="175"/>
      <c r="S301" s="175"/>
      <c r="T301" s="175"/>
      <c r="U301" s="175"/>
      <c r="V301" s="175"/>
      <c r="W301" s="175"/>
      <c r="X301" s="175"/>
      <c r="Y301" s="175"/>
      <c r="Z301" s="175"/>
      <c r="AA301" s="175"/>
    </row>
    <row r="302">
      <c r="A302" s="187"/>
      <c r="D302" s="187"/>
      <c r="O302" s="175"/>
      <c r="P302" s="175"/>
      <c r="Q302" s="175"/>
      <c r="R302" s="175"/>
      <c r="S302" s="175"/>
      <c r="T302" s="175"/>
      <c r="U302" s="175"/>
      <c r="V302" s="175"/>
      <c r="W302" s="175"/>
      <c r="X302" s="175"/>
      <c r="Y302" s="175"/>
      <c r="Z302" s="175"/>
      <c r="AA302" s="175"/>
    </row>
    <row r="303">
      <c r="A303" s="187"/>
      <c r="D303" s="187"/>
      <c r="O303" s="175"/>
      <c r="P303" s="175"/>
      <c r="Q303" s="175"/>
      <c r="R303" s="175"/>
      <c r="S303" s="175"/>
      <c r="T303" s="175"/>
      <c r="U303" s="175"/>
      <c r="V303" s="175"/>
      <c r="W303" s="175"/>
      <c r="X303" s="175"/>
      <c r="Y303" s="175"/>
      <c r="Z303" s="175"/>
      <c r="AA303" s="175"/>
    </row>
    <row r="304">
      <c r="A304" s="187"/>
      <c r="D304" s="187"/>
      <c r="O304" s="175"/>
      <c r="P304" s="175"/>
      <c r="Q304" s="175"/>
      <c r="R304" s="175"/>
      <c r="S304" s="175"/>
      <c r="T304" s="175"/>
      <c r="U304" s="175"/>
      <c r="V304" s="175"/>
      <c r="W304" s="175"/>
      <c r="X304" s="175"/>
      <c r="Y304" s="175"/>
      <c r="Z304" s="175"/>
      <c r="AA304" s="175"/>
    </row>
    <row r="305">
      <c r="A305" s="187"/>
      <c r="D305" s="187"/>
      <c r="O305" s="175"/>
      <c r="P305" s="175"/>
      <c r="Q305" s="175"/>
      <c r="R305" s="175"/>
      <c r="S305" s="175"/>
      <c r="T305" s="175"/>
      <c r="U305" s="175"/>
      <c r="V305" s="175"/>
      <c r="W305" s="175"/>
      <c r="X305" s="175"/>
      <c r="Y305" s="175"/>
      <c r="Z305" s="175"/>
      <c r="AA305" s="175"/>
    </row>
    <row r="306">
      <c r="A306" s="187"/>
      <c r="D306" s="187"/>
      <c r="O306" s="175"/>
      <c r="P306" s="175"/>
      <c r="Q306" s="175"/>
      <c r="R306" s="175"/>
      <c r="S306" s="175"/>
      <c r="T306" s="175"/>
      <c r="U306" s="175"/>
      <c r="V306" s="175"/>
      <c r="W306" s="175"/>
      <c r="X306" s="175"/>
      <c r="Y306" s="175"/>
      <c r="Z306" s="175"/>
      <c r="AA306" s="175"/>
    </row>
    <row r="307">
      <c r="A307" s="187"/>
      <c r="D307" s="187"/>
      <c r="O307" s="175"/>
      <c r="P307" s="175"/>
      <c r="Q307" s="175"/>
      <c r="R307" s="175"/>
      <c r="S307" s="175"/>
      <c r="T307" s="175"/>
      <c r="U307" s="175"/>
      <c r="V307" s="175"/>
      <c r="W307" s="175"/>
      <c r="X307" s="175"/>
      <c r="Y307" s="175"/>
      <c r="Z307" s="175"/>
      <c r="AA307" s="175"/>
    </row>
    <row r="308">
      <c r="A308" s="187"/>
      <c r="D308" s="187"/>
      <c r="O308" s="175"/>
      <c r="P308" s="175"/>
      <c r="Q308" s="175"/>
      <c r="R308" s="175"/>
      <c r="S308" s="175"/>
      <c r="T308" s="175"/>
      <c r="U308" s="175"/>
      <c r="V308" s="175"/>
      <c r="W308" s="175"/>
      <c r="X308" s="175"/>
      <c r="Y308" s="175"/>
      <c r="Z308" s="175"/>
      <c r="AA308" s="175"/>
    </row>
    <row r="309">
      <c r="A309" s="187"/>
      <c r="D309" s="187"/>
      <c r="O309" s="175"/>
      <c r="P309" s="175"/>
      <c r="Q309" s="175"/>
      <c r="R309" s="175"/>
      <c r="S309" s="175"/>
      <c r="T309" s="175"/>
      <c r="U309" s="175"/>
      <c r="V309" s="175"/>
      <c r="W309" s="175"/>
      <c r="X309" s="175"/>
      <c r="Y309" s="175"/>
      <c r="Z309" s="175"/>
      <c r="AA309" s="175"/>
    </row>
    <row r="310">
      <c r="A310" s="187"/>
      <c r="D310" s="187"/>
      <c r="O310" s="175"/>
      <c r="P310" s="175"/>
      <c r="Q310" s="175"/>
      <c r="R310" s="175"/>
      <c r="S310" s="175"/>
      <c r="T310" s="175"/>
      <c r="U310" s="175"/>
      <c r="V310" s="175"/>
      <c r="W310" s="175"/>
      <c r="X310" s="175"/>
      <c r="Y310" s="175"/>
      <c r="Z310" s="175"/>
      <c r="AA310" s="175"/>
    </row>
    <row r="311">
      <c r="A311" s="187"/>
      <c r="D311" s="187"/>
      <c r="O311" s="175"/>
      <c r="P311" s="175"/>
      <c r="Q311" s="175"/>
      <c r="R311" s="175"/>
      <c r="S311" s="175"/>
      <c r="T311" s="175"/>
      <c r="U311" s="175"/>
      <c r="V311" s="175"/>
      <c r="W311" s="175"/>
      <c r="X311" s="175"/>
      <c r="Y311" s="175"/>
      <c r="Z311" s="175"/>
      <c r="AA311" s="175"/>
    </row>
    <row r="312">
      <c r="A312" s="187"/>
      <c r="D312" s="187"/>
      <c r="O312" s="175"/>
      <c r="P312" s="175"/>
      <c r="Q312" s="175"/>
      <c r="R312" s="175"/>
      <c r="S312" s="175"/>
      <c r="T312" s="175"/>
      <c r="U312" s="175"/>
      <c r="V312" s="175"/>
      <c r="W312" s="175"/>
      <c r="X312" s="175"/>
      <c r="Y312" s="175"/>
      <c r="Z312" s="175"/>
      <c r="AA312" s="175"/>
    </row>
    <row r="313">
      <c r="A313" s="187"/>
      <c r="D313" s="187"/>
      <c r="O313" s="175"/>
      <c r="P313" s="175"/>
      <c r="Q313" s="175"/>
      <c r="R313" s="175"/>
      <c r="S313" s="175"/>
      <c r="T313" s="175"/>
      <c r="U313" s="175"/>
      <c r="V313" s="175"/>
      <c r="W313" s="175"/>
      <c r="X313" s="175"/>
      <c r="Y313" s="175"/>
      <c r="Z313" s="175"/>
      <c r="AA313" s="175"/>
    </row>
    <row r="314">
      <c r="A314" s="187"/>
      <c r="D314" s="187"/>
      <c r="O314" s="175"/>
      <c r="P314" s="175"/>
      <c r="Q314" s="175"/>
      <c r="R314" s="175"/>
      <c r="S314" s="175"/>
      <c r="T314" s="175"/>
      <c r="U314" s="175"/>
      <c r="V314" s="175"/>
      <c r="W314" s="175"/>
      <c r="X314" s="175"/>
      <c r="Y314" s="175"/>
      <c r="Z314" s="175"/>
      <c r="AA314" s="175"/>
    </row>
    <row r="315">
      <c r="A315" s="187"/>
      <c r="D315" s="187"/>
      <c r="O315" s="175"/>
      <c r="P315" s="175"/>
      <c r="Q315" s="175"/>
      <c r="R315" s="175"/>
      <c r="S315" s="175"/>
      <c r="T315" s="175"/>
      <c r="U315" s="175"/>
      <c r="V315" s="175"/>
      <c r="W315" s="175"/>
      <c r="X315" s="175"/>
      <c r="Y315" s="175"/>
      <c r="Z315" s="175"/>
      <c r="AA315" s="175"/>
    </row>
    <row r="316">
      <c r="A316" s="187"/>
      <c r="D316" s="187"/>
      <c r="O316" s="175"/>
      <c r="P316" s="175"/>
      <c r="Q316" s="175"/>
      <c r="R316" s="175"/>
      <c r="S316" s="175"/>
      <c r="T316" s="175"/>
      <c r="U316" s="175"/>
      <c r="V316" s="175"/>
      <c r="W316" s="175"/>
      <c r="X316" s="175"/>
      <c r="Y316" s="175"/>
      <c r="Z316" s="175"/>
      <c r="AA316" s="175"/>
    </row>
    <row r="317">
      <c r="A317" s="187"/>
      <c r="D317" s="187"/>
      <c r="O317" s="175"/>
      <c r="P317" s="175"/>
      <c r="Q317" s="175"/>
      <c r="R317" s="175"/>
      <c r="S317" s="175"/>
      <c r="T317" s="175"/>
      <c r="U317" s="175"/>
      <c r="V317" s="175"/>
      <c r="W317" s="175"/>
      <c r="X317" s="175"/>
      <c r="Y317" s="175"/>
      <c r="Z317" s="175"/>
      <c r="AA317" s="175"/>
    </row>
    <row r="318">
      <c r="A318" s="187"/>
      <c r="D318" s="187"/>
      <c r="O318" s="175"/>
      <c r="P318" s="175"/>
      <c r="Q318" s="175"/>
      <c r="R318" s="175"/>
      <c r="S318" s="175"/>
      <c r="T318" s="175"/>
      <c r="U318" s="175"/>
      <c r="V318" s="175"/>
      <c r="W318" s="175"/>
      <c r="X318" s="175"/>
      <c r="Y318" s="175"/>
      <c r="Z318" s="175"/>
      <c r="AA318" s="175"/>
    </row>
    <row r="319">
      <c r="A319" s="187"/>
      <c r="D319" s="187"/>
      <c r="O319" s="175"/>
      <c r="P319" s="175"/>
      <c r="Q319" s="175"/>
      <c r="R319" s="175"/>
      <c r="S319" s="175"/>
      <c r="T319" s="175"/>
      <c r="U319" s="175"/>
      <c r="V319" s="175"/>
      <c r="W319" s="175"/>
      <c r="X319" s="175"/>
      <c r="Y319" s="175"/>
      <c r="Z319" s="175"/>
      <c r="AA319" s="175"/>
    </row>
    <row r="320">
      <c r="A320" s="187"/>
      <c r="D320" s="187"/>
      <c r="O320" s="175"/>
      <c r="P320" s="175"/>
      <c r="Q320" s="175"/>
      <c r="R320" s="175"/>
      <c r="S320" s="175"/>
      <c r="T320" s="175"/>
      <c r="U320" s="175"/>
      <c r="V320" s="175"/>
      <c r="W320" s="175"/>
      <c r="X320" s="175"/>
      <c r="Y320" s="175"/>
      <c r="Z320" s="175"/>
      <c r="AA320" s="175"/>
    </row>
    <row r="321">
      <c r="A321" s="187"/>
      <c r="D321" s="187"/>
      <c r="O321" s="175"/>
      <c r="P321" s="175"/>
      <c r="Q321" s="175"/>
      <c r="R321" s="175"/>
      <c r="S321" s="175"/>
      <c r="T321" s="175"/>
      <c r="U321" s="175"/>
      <c r="V321" s="175"/>
      <c r="W321" s="175"/>
      <c r="X321" s="175"/>
      <c r="Y321" s="175"/>
      <c r="Z321" s="175"/>
      <c r="AA321" s="175"/>
    </row>
    <row r="322">
      <c r="A322" s="187"/>
      <c r="D322" s="187"/>
      <c r="O322" s="175"/>
      <c r="P322" s="175"/>
      <c r="Q322" s="175"/>
      <c r="R322" s="175"/>
      <c r="S322" s="175"/>
      <c r="T322" s="175"/>
      <c r="U322" s="175"/>
      <c r="V322" s="175"/>
      <c r="W322" s="175"/>
      <c r="X322" s="175"/>
      <c r="Y322" s="175"/>
      <c r="Z322" s="175"/>
      <c r="AA322" s="175"/>
    </row>
    <row r="323">
      <c r="A323" s="187"/>
      <c r="D323" s="187"/>
      <c r="O323" s="175"/>
      <c r="P323" s="175"/>
      <c r="Q323" s="175"/>
      <c r="R323" s="175"/>
      <c r="S323" s="175"/>
      <c r="T323" s="175"/>
      <c r="U323" s="175"/>
      <c r="V323" s="175"/>
      <c r="W323" s="175"/>
      <c r="X323" s="175"/>
      <c r="Y323" s="175"/>
      <c r="Z323" s="175"/>
      <c r="AA323" s="175"/>
    </row>
    <row r="324">
      <c r="A324" s="187"/>
      <c r="D324" s="187"/>
      <c r="O324" s="175"/>
      <c r="P324" s="175"/>
      <c r="Q324" s="175"/>
      <c r="R324" s="175"/>
      <c r="S324" s="175"/>
      <c r="T324" s="175"/>
      <c r="U324" s="175"/>
      <c r="V324" s="175"/>
      <c r="W324" s="175"/>
      <c r="X324" s="175"/>
      <c r="Y324" s="175"/>
      <c r="Z324" s="175"/>
      <c r="AA324" s="175"/>
    </row>
    <row r="325">
      <c r="A325" s="187"/>
      <c r="D325" s="187"/>
      <c r="O325" s="175"/>
      <c r="P325" s="175"/>
      <c r="Q325" s="175"/>
      <c r="R325" s="175"/>
      <c r="S325" s="175"/>
      <c r="T325" s="175"/>
      <c r="U325" s="175"/>
      <c r="V325" s="175"/>
      <c r="W325" s="175"/>
      <c r="X325" s="175"/>
      <c r="Y325" s="175"/>
      <c r="Z325" s="175"/>
      <c r="AA325" s="175"/>
    </row>
    <row r="326">
      <c r="A326" s="187"/>
      <c r="D326" s="187"/>
      <c r="O326" s="175"/>
      <c r="P326" s="175"/>
      <c r="Q326" s="175"/>
      <c r="R326" s="175"/>
      <c r="S326" s="175"/>
      <c r="T326" s="175"/>
      <c r="U326" s="175"/>
      <c r="V326" s="175"/>
      <c r="W326" s="175"/>
      <c r="X326" s="175"/>
      <c r="Y326" s="175"/>
      <c r="Z326" s="175"/>
      <c r="AA326" s="175"/>
    </row>
    <row r="327">
      <c r="A327" s="187"/>
      <c r="D327" s="187"/>
      <c r="O327" s="175"/>
      <c r="P327" s="175"/>
      <c r="Q327" s="175"/>
      <c r="R327" s="175"/>
      <c r="S327" s="175"/>
      <c r="T327" s="175"/>
      <c r="U327" s="175"/>
      <c r="V327" s="175"/>
      <c r="W327" s="175"/>
      <c r="X327" s="175"/>
      <c r="Y327" s="175"/>
      <c r="Z327" s="175"/>
      <c r="AA327" s="175"/>
    </row>
    <row r="328">
      <c r="A328" s="187"/>
      <c r="D328" s="187"/>
      <c r="O328" s="175"/>
      <c r="P328" s="175"/>
      <c r="Q328" s="175"/>
      <c r="R328" s="175"/>
      <c r="S328" s="175"/>
      <c r="T328" s="175"/>
      <c r="U328" s="175"/>
      <c r="V328" s="175"/>
      <c r="W328" s="175"/>
      <c r="X328" s="175"/>
      <c r="Y328" s="175"/>
      <c r="Z328" s="175"/>
      <c r="AA328" s="175"/>
    </row>
    <row r="329">
      <c r="A329" s="187"/>
      <c r="D329" s="187"/>
      <c r="O329" s="175"/>
      <c r="P329" s="175"/>
      <c r="Q329" s="175"/>
      <c r="R329" s="175"/>
      <c r="S329" s="175"/>
      <c r="T329" s="175"/>
      <c r="U329" s="175"/>
      <c r="V329" s="175"/>
      <c r="W329" s="175"/>
      <c r="X329" s="175"/>
      <c r="Y329" s="175"/>
      <c r="Z329" s="175"/>
      <c r="AA329" s="175"/>
    </row>
    <row r="330">
      <c r="A330" s="187"/>
      <c r="D330" s="187"/>
      <c r="O330" s="175"/>
      <c r="P330" s="175"/>
      <c r="Q330" s="175"/>
      <c r="R330" s="175"/>
      <c r="S330" s="175"/>
      <c r="T330" s="175"/>
      <c r="U330" s="175"/>
      <c r="V330" s="175"/>
      <c r="W330" s="175"/>
      <c r="X330" s="175"/>
      <c r="Y330" s="175"/>
      <c r="Z330" s="175"/>
      <c r="AA330" s="175"/>
    </row>
    <row r="331">
      <c r="A331" s="187"/>
      <c r="D331" s="187"/>
      <c r="O331" s="175"/>
      <c r="P331" s="175"/>
      <c r="Q331" s="175"/>
      <c r="R331" s="175"/>
      <c r="S331" s="175"/>
      <c r="T331" s="175"/>
      <c r="U331" s="175"/>
      <c r="V331" s="175"/>
      <c r="W331" s="175"/>
      <c r="X331" s="175"/>
      <c r="Y331" s="175"/>
      <c r="Z331" s="175"/>
      <c r="AA331" s="175"/>
    </row>
    <row r="332">
      <c r="A332" s="187"/>
      <c r="D332" s="187"/>
      <c r="O332" s="175"/>
      <c r="P332" s="175"/>
      <c r="Q332" s="175"/>
      <c r="R332" s="175"/>
      <c r="S332" s="175"/>
      <c r="T332" s="175"/>
      <c r="U332" s="175"/>
      <c r="V332" s="175"/>
      <c r="W332" s="175"/>
      <c r="X332" s="175"/>
      <c r="Y332" s="175"/>
      <c r="Z332" s="175"/>
      <c r="AA332" s="175"/>
    </row>
    <row r="333">
      <c r="A333" s="187"/>
      <c r="D333" s="187"/>
      <c r="O333" s="175"/>
      <c r="P333" s="175"/>
      <c r="Q333" s="175"/>
      <c r="R333" s="175"/>
      <c r="S333" s="175"/>
      <c r="T333" s="175"/>
      <c r="U333" s="175"/>
      <c r="V333" s="175"/>
      <c r="W333" s="175"/>
      <c r="X333" s="175"/>
      <c r="Y333" s="175"/>
      <c r="Z333" s="175"/>
      <c r="AA333" s="175"/>
    </row>
    <row r="334">
      <c r="A334" s="187"/>
      <c r="D334" s="187"/>
      <c r="O334" s="175"/>
      <c r="P334" s="175"/>
      <c r="Q334" s="175"/>
      <c r="R334" s="175"/>
      <c r="S334" s="175"/>
      <c r="T334" s="175"/>
      <c r="U334" s="175"/>
      <c r="V334" s="175"/>
      <c r="W334" s="175"/>
      <c r="X334" s="175"/>
      <c r="Y334" s="175"/>
      <c r="Z334" s="175"/>
      <c r="AA334" s="175"/>
    </row>
    <row r="335">
      <c r="A335" s="187"/>
      <c r="D335" s="187"/>
      <c r="O335" s="175"/>
      <c r="P335" s="175"/>
      <c r="Q335" s="175"/>
      <c r="R335" s="175"/>
      <c r="S335" s="175"/>
      <c r="T335" s="175"/>
      <c r="U335" s="175"/>
      <c r="V335" s="175"/>
      <c r="W335" s="175"/>
      <c r="X335" s="175"/>
      <c r="Y335" s="175"/>
      <c r="Z335" s="175"/>
      <c r="AA335" s="175"/>
    </row>
    <row r="336">
      <c r="A336" s="187"/>
      <c r="D336" s="187"/>
      <c r="O336" s="175"/>
      <c r="P336" s="175"/>
      <c r="Q336" s="175"/>
      <c r="R336" s="175"/>
      <c r="S336" s="175"/>
      <c r="T336" s="175"/>
      <c r="U336" s="175"/>
      <c r="V336" s="175"/>
      <c r="W336" s="175"/>
      <c r="X336" s="175"/>
      <c r="Y336" s="175"/>
      <c r="Z336" s="175"/>
      <c r="AA336" s="175"/>
    </row>
    <row r="337">
      <c r="A337" s="187"/>
      <c r="D337" s="187"/>
      <c r="O337" s="175"/>
      <c r="P337" s="175"/>
      <c r="Q337" s="175"/>
      <c r="R337" s="175"/>
      <c r="S337" s="175"/>
      <c r="T337" s="175"/>
      <c r="U337" s="175"/>
      <c r="V337" s="175"/>
      <c r="W337" s="175"/>
      <c r="X337" s="175"/>
      <c r="Y337" s="175"/>
      <c r="Z337" s="175"/>
      <c r="AA337" s="175"/>
    </row>
    <row r="338">
      <c r="A338" s="187"/>
      <c r="D338" s="187"/>
      <c r="O338" s="175"/>
      <c r="P338" s="175"/>
      <c r="Q338" s="175"/>
      <c r="R338" s="175"/>
      <c r="S338" s="175"/>
      <c r="T338" s="175"/>
      <c r="U338" s="175"/>
      <c r="V338" s="175"/>
      <c r="W338" s="175"/>
      <c r="X338" s="175"/>
      <c r="Y338" s="175"/>
      <c r="Z338" s="175"/>
      <c r="AA338" s="175"/>
    </row>
    <row r="339">
      <c r="A339" s="187"/>
      <c r="D339" s="187"/>
      <c r="O339" s="175"/>
      <c r="P339" s="175"/>
      <c r="Q339" s="175"/>
      <c r="R339" s="175"/>
      <c r="S339" s="175"/>
      <c r="T339" s="175"/>
      <c r="U339" s="175"/>
      <c r="V339" s="175"/>
      <c r="W339" s="175"/>
      <c r="X339" s="175"/>
      <c r="Y339" s="175"/>
      <c r="Z339" s="175"/>
      <c r="AA339" s="175"/>
    </row>
    <row r="340">
      <c r="A340" s="187"/>
      <c r="D340" s="187"/>
      <c r="O340" s="175"/>
      <c r="P340" s="175"/>
      <c r="Q340" s="175"/>
      <c r="R340" s="175"/>
      <c r="S340" s="175"/>
      <c r="T340" s="175"/>
      <c r="U340" s="175"/>
      <c r="V340" s="175"/>
      <c r="W340" s="175"/>
      <c r="X340" s="175"/>
      <c r="Y340" s="175"/>
      <c r="Z340" s="175"/>
      <c r="AA340" s="175"/>
    </row>
    <row r="341">
      <c r="A341" s="187"/>
      <c r="D341" s="187"/>
      <c r="O341" s="175"/>
      <c r="P341" s="175"/>
      <c r="Q341" s="175"/>
      <c r="R341" s="175"/>
      <c r="S341" s="175"/>
      <c r="T341" s="175"/>
      <c r="U341" s="175"/>
      <c r="V341" s="175"/>
      <c r="W341" s="175"/>
      <c r="X341" s="175"/>
      <c r="Y341" s="175"/>
      <c r="Z341" s="175"/>
      <c r="AA341" s="175"/>
    </row>
    <row r="342">
      <c r="A342" s="187"/>
      <c r="D342" s="187"/>
      <c r="O342" s="175"/>
      <c r="P342" s="175"/>
      <c r="Q342" s="175"/>
      <c r="R342" s="175"/>
      <c r="S342" s="175"/>
      <c r="T342" s="175"/>
      <c r="U342" s="175"/>
      <c r="V342" s="175"/>
      <c r="W342" s="175"/>
      <c r="X342" s="175"/>
      <c r="Y342" s="175"/>
      <c r="Z342" s="175"/>
      <c r="AA342" s="175"/>
    </row>
    <row r="343">
      <c r="A343" s="187"/>
      <c r="D343" s="187"/>
      <c r="O343" s="175"/>
      <c r="P343" s="175"/>
      <c r="Q343" s="175"/>
      <c r="R343" s="175"/>
      <c r="S343" s="175"/>
      <c r="T343" s="175"/>
      <c r="U343" s="175"/>
      <c r="V343" s="175"/>
      <c r="W343" s="175"/>
      <c r="X343" s="175"/>
      <c r="Y343" s="175"/>
      <c r="Z343" s="175"/>
      <c r="AA343" s="175"/>
    </row>
    <row r="344">
      <c r="A344" s="187"/>
      <c r="D344" s="187"/>
      <c r="O344" s="175"/>
      <c r="P344" s="175"/>
      <c r="Q344" s="175"/>
      <c r="R344" s="175"/>
      <c r="S344" s="175"/>
      <c r="T344" s="175"/>
      <c r="U344" s="175"/>
      <c r="V344" s="175"/>
      <c r="W344" s="175"/>
      <c r="X344" s="175"/>
      <c r="Y344" s="175"/>
      <c r="Z344" s="175"/>
      <c r="AA344" s="175"/>
    </row>
    <row r="345">
      <c r="A345" s="187"/>
      <c r="D345" s="187"/>
      <c r="O345" s="175"/>
      <c r="P345" s="175"/>
      <c r="Q345" s="175"/>
      <c r="R345" s="175"/>
      <c r="S345" s="175"/>
      <c r="T345" s="175"/>
      <c r="U345" s="175"/>
      <c r="V345" s="175"/>
      <c r="W345" s="175"/>
      <c r="X345" s="175"/>
      <c r="Y345" s="175"/>
      <c r="Z345" s="175"/>
      <c r="AA345" s="175"/>
    </row>
    <row r="346">
      <c r="A346" s="187"/>
      <c r="D346" s="187"/>
      <c r="O346" s="175"/>
      <c r="P346" s="175"/>
      <c r="Q346" s="175"/>
      <c r="R346" s="175"/>
      <c r="S346" s="175"/>
      <c r="T346" s="175"/>
      <c r="U346" s="175"/>
      <c r="V346" s="175"/>
      <c r="W346" s="175"/>
      <c r="X346" s="175"/>
      <c r="Y346" s="175"/>
      <c r="Z346" s="175"/>
      <c r="AA346" s="175"/>
    </row>
    <row r="347">
      <c r="A347" s="187"/>
      <c r="D347" s="187"/>
      <c r="O347" s="175"/>
      <c r="P347" s="175"/>
      <c r="Q347" s="175"/>
      <c r="R347" s="175"/>
      <c r="S347" s="175"/>
      <c r="T347" s="175"/>
      <c r="U347" s="175"/>
      <c r="V347" s="175"/>
      <c r="W347" s="175"/>
      <c r="X347" s="175"/>
      <c r="Y347" s="175"/>
      <c r="Z347" s="175"/>
      <c r="AA347" s="175"/>
    </row>
    <row r="348">
      <c r="A348" s="187"/>
      <c r="D348" s="187"/>
      <c r="O348" s="175"/>
      <c r="P348" s="175"/>
      <c r="Q348" s="175"/>
      <c r="R348" s="175"/>
      <c r="S348" s="175"/>
      <c r="T348" s="175"/>
      <c r="U348" s="175"/>
      <c r="V348" s="175"/>
      <c r="W348" s="175"/>
      <c r="X348" s="175"/>
      <c r="Y348" s="175"/>
      <c r="Z348" s="175"/>
      <c r="AA348" s="175"/>
    </row>
    <row r="349">
      <c r="A349" s="187"/>
      <c r="D349" s="187"/>
      <c r="O349" s="175"/>
      <c r="P349" s="175"/>
      <c r="Q349" s="175"/>
      <c r="R349" s="175"/>
      <c r="S349" s="175"/>
      <c r="T349" s="175"/>
      <c r="U349" s="175"/>
      <c r="V349" s="175"/>
      <c r="W349" s="175"/>
      <c r="X349" s="175"/>
      <c r="Y349" s="175"/>
      <c r="Z349" s="175"/>
      <c r="AA349" s="175"/>
    </row>
    <row r="350">
      <c r="A350" s="187"/>
      <c r="D350" s="187"/>
      <c r="O350" s="175"/>
      <c r="P350" s="175"/>
      <c r="Q350" s="175"/>
      <c r="R350" s="175"/>
      <c r="S350" s="175"/>
      <c r="T350" s="175"/>
      <c r="U350" s="175"/>
      <c r="V350" s="175"/>
      <c r="W350" s="175"/>
      <c r="X350" s="175"/>
      <c r="Y350" s="175"/>
      <c r="Z350" s="175"/>
      <c r="AA350" s="175"/>
    </row>
    <row r="351">
      <c r="A351" s="187"/>
      <c r="D351" s="187"/>
      <c r="O351" s="175"/>
      <c r="P351" s="175"/>
      <c r="Q351" s="175"/>
      <c r="R351" s="175"/>
      <c r="S351" s="175"/>
      <c r="T351" s="175"/>
      <c r="U351" s="175"/>
      <c r="V351" s="175"/>
      <c r="W351" s="175"/>
      <c r="X351" s="175"/>
      <c r="Y351" s="175"/>
      <c r="Z351" s="175"/>
      <c r="AA351" s="175"/>
    </row>
    <row r="352">
      <c r="A352" s="187"/>
      <c r="D352" s="187"/>
      <c r="O352" s="175"/>
      <c r="P352" s="175"/>
      <c r="Q352" s="175"/>
      <c r="R352" s="175"/>
      <c r="S352" s="175"/>
      <c r="T352" s="175"/>
      <c r="U352" s="175"/>
      <c r="V352" s="175"/>
      <c r="W352" s="175"/>
      <c r="X352" s="175"/>
      <c r="Y352" s="175"/>
      <c r="Z352" s="175"/>
      <c r="AA352" s="175"/>
    </row>
    <row r="353">
      <c r="A353" s="187"/>
      <c r="D353" s="187"/>
      <c r="O353" s="175"/>
      <c r="P353" s="175"/>
      <c r="Q353" s="175"/>
      <c r="R353" s="175"/>
      <c r="S353" s="175"/>
      <c r="T353" s="175"/>
      <c r="U353" s="175"/>
      <c r="V353" s="175"/>
      <c r="W353" s="175"/>
      <c r="X353" s="175"/>
      <c r="Y353" s="175"/>
      <c r="Z353" s="175"/>
      <c r="AA353" s="175"/>
    </row>
    <row r="354">
      <c r="A354" s="187"/>
      <c r="D354" s="187"/>
      <c r="O354" s="175"/>
      <c r="P354" s="175"/>
      <c r="Q354" s="175"/>
      <c r="R354" s="175"/>
      <c r="S354" s="175"/>
      <c r="T354" s="175"/>
      <c r="U354" s="175"/>
      <c r="V354" s="175"/>
      <c r="W354" s="175"/>
      <c r="X354" s="175"/>
      <c r="Y354" s="175"/>
      <c r="Z354" s="175"/>
      <c r="AA354" s="175"/>
    </row>
    <row r="355">
      <c r="A355" s="187"/>
      <c r="D355" s="187"/>
      <c r="O355" s="175"/>
      <c r="P355" s="175"/>
      <c r="Q355" s="175"/>
      <c r="R355" s="175"/>
      <c r="S355" s="175"/>
      <c r="T355" s="175"/>
      <c r="U355" s="175"/>
      <c r="V355" s="175"/>
      <c r="W355" s="175"/>
      <c r="X355" s="175"/>
      <c r="Y355" s="175"/>
      <c r="Z355" s="175"/>
      <c r="AA355" s="175"/>
    </row>
    <row r="356">
      <c r="A356" s="187"/>
      <c r="D356" s="187"/>
      <c r="O356" s="175"/>
      <c r="P356" s="175"/>
      <c r="Q356" s="175"/>
      <c r="R356" s="175"/>
      <c r="S356" s="175"/>
      <c r="T356" s="175"/>
      <c r="U356" s="175"/>
      <c r="V356" s="175"/>
      <c r="W356" s="175"/>
      <c r="X356" s="175"/>
      <c r="Y356" s="175"/>
      <c r="Z356" s="175"/>
      <c r="AA356" s="175"/>
    </row>
    <row r="357">
      <c r="A357" s="187"/>
      <c r="D357" s="187"/>
      <c r="O357" s="175"/>
      <c r="P357" s="175"/>
      <c r="Q357" s="175"/>
      <c r="R357" s="175"/>
      <c r="S357" s="175"/>
      <c r="T357" s="175"/>
      <c r="U357" s="175"/>
      <c r="V357" s="175"/>
      <c r="W357" s="175"/>
      <c r="X357" s="175"/>
      <c r="Y357" s="175"/>
      <c r="Z357" s="175"/>
      <c r="AA357" s="175"/>
    </row>
    <row r="358">
      <c r="A358" s="187"/>
      <c r="D358" s="187"/>
      <c r="O358" s="175"/>
      <c r="P358" s="175"/>
      <c r="Q358" s="175"/>
      <c r="R358" s="175"/>
      <c r="S358" s="175"/>
      <c r="T358" s="175"/>
      <c r="U358" s="175"/>
      <c r="V358" s="175"/>
      <c r="W358" s="175"/>
      <c r="X358" s="175"/>
      <c r="Y358" s="175"/>
      <c r="Z358" s="175"/>
      <c r="AA358" s="175"/>
    </row>
    <row r="359">
      <c r="A359" s="187"/>
      <c r="D359" s="187"/>
      <c r="O359" s="175"/>
      <c r="P359" s="175"/>
      <c r="Q359" s="175"/>
      <c r="R359" s="175"/>
      <c r="S359" s="175"/>
      <c r="T359" s="175"/>
      <c r="U359" s="175"/>
      <c r="V359" s="175"/>
      <c r="W359" s="175"/>
      <c r="X359" s="175"/>
      <c r="Y359" s="175"/>
      <c r="Z359" s="175"/>
      <c r="AA359" s="175"/>
    </row>
    <row r="360">
      <c r="A360" s="187"/>
      <c r="D360" s="187"/>
      <c r="O360" s="175"/>
      <c r="P360" s="175"/>
      <c r="Q360" s="175"/>
      <c r="R360" s="175"/>
      <c r="S360" s="175"/>
      <c r="T360" s="175"/>
      <c r="U360" s="175"/>
      <c r="V360" s="175"/>
      <c r="W360" s="175"/>
      <c r="X360" s="175"/>
      <c r="Y360" s="175"/>
      <c r="Z360" s="175"/>
      <c r="AA360" s="175"/>
    </row>
    <row r="361">
      <c r="A361" s="187"/>
      <c r="D361" s="187"/>
      <c r="O361" s="175"/>
      <c r="P361" s="175"/>
      <c r="Q361" s="175"/>
      <c r="R361" s="175"/>
      <c r="S361" s="175"/>
      <c r="T361" s="175"/>
      <c r="U361" s="175"/>
      <c r="V361" s="175"/>
      <c r="W361" s="175"/>
      <c r="X361" s="175"/>
      <c r="Y361" s="175"/>
      <c r="Z361" s="175"/>
      <c r="AA361" s="175"/>
    </row>
    <row r="362">
      <c r="A362" s="187"/>
      <c r="D362" s="187"/>
      <c r="O362" s="175"/>
      <c r="P362" s="175"/>
      <c r="Q362" s="175"/>
      <c r="R362" s="175"/>
      <c r="S362" s="175"/>
      <c r="T362" s="175"/>
      <c r="U362" s="175"/>
      <c r="V362" s="175"/>
      <c r="W362" s="175"/>
      <c r="X362" s="175"/>
      <c r="Y362" s="175"/>
      <c r="Z362" s="175"/>
      <c r="AA362" s="175"/>
    </row>
    <row r="363">
      <c r="A363" s="187"/>
      <c r="D363" s="187"/>
      <c r="O363" s="175"/>
      <c r="P363" s="175"/>
      <c r="Q363" s="175"/>
      <c r="R363" s="175"/>
      <c r="S363" s="175"/>
      <c r="T363" s="175"/>
      <c r="U363" s="175"/>
      <c r="V363" s="175"/>
      <c r="W363" s="175"/>
      <c r="X363" s="175"/>
      <c r="Y363" s="175"/>
      <c r="Z363" s="175"/>
      <c r="AA363" s="175"/>
    </row>
    <row r="364">
      <c r="A364" s="187"/>
      <c r="D364" s="187"/>
      <c r="O364" s="175"/>
      <c r="P364" s="175"/>
      <c r="Q364" s="175"/>
      <c r="R364" s="175"/>
      <c r="S364" s="175"/>
      <c r="T364" s="175"/>
      <c r="U364" s="175"/>
      <c r="V364" s="175"/>
      <c r="W364" s="175"/>
      <c r="X364" s="175"/>
      <c r="Y364" s="175"/>
      <c r="Z364" s="175"/>
      <c r="AA364" s="175"/>
    </row>
    <row r="365">
      <c r="A365" s="187"/>
      <c r="D365" s="187"/>
      <c r="O365" s="175"/>
      <c r="P365" s="175"/>
      <c r="Q365" s="175"/>
      <c r="R365" s="175"/>
      <c r="S365" s="175"/>
      <c r="T365" s="175"/>
      <c r="U365" s="175"/>
      <c r="V365" s="175"/>
      <c r="W365" s="175"/>
      <c r="X365" s="175"/>
      <c r="Y365" s="175"/>
      <c r="Z365" s="175"/>
      <c r="AA365" s="175"/>
    </row>
    <row r="366">
      <c r="A366" s="187"/>
      <c r="D366" s="187"/>
      <c r="O366" s="175"/>
      <c r="P366" s="175"/>
      <c r="Q366" s="175"/>
      <c r="R366" s="175"/>
      <c r="S366" s="175"/>
      <c r="T366" s="175"/>
      <c r="U366" s="175"/>
      <c r="V366" s="175"/>
      <c r="W366" s="175"/>
      <c r="X366" s="175"/>
      <c r="Y366" s="175"/>
      <c r="Z366" s="175"/>
      <c r="AA366" s="175"/>
    </row>
    <row r="367">
      <c r="A367" s="187"/>
      <c r="D367" s="187"/>
      <c r="O367" s="175"/>
      <c r="P367" s="175"/>
      <c r="Q367" s="175"/>
      <c r="R367" s="175"/>
      <c r="S367" s="175"/>
      <c r="T367" s="175"/>
      <c r="U367" s="175"/>
      <c r="V367" s="175"/>
      <c r="W367" s="175"/>
      <c r="X367" s="175"/>
      <c r="Y367" s="175"/>
      <c r="Z367" s="175"/>
      <c r="AA367" s="175"/>
    </row>
    <row r="368">
      <c r="A368" s="187"/>
      <c r="D368" s="187"/>
      <c r="O368" s="175"/>
      <c r="P368" s="175"/>
      <c r="Q368" s="175"/>
      <c r="R368" s="175"/>
      <c r="S368" s="175"/>
      <c r="T368" s="175"/>
      <c r="U368" s="175"/>
      <c r="V368" s="175"/>
      <c r="W368" s="175"/>
      <c r="X368" s="175"/>
      <c r="Y368" s="175"/>
      <c r="Z368" s="175"/>
      <c r="AA368" s="175"/>
    </row>
    <row r="369">
      <c r="A369" s="187"/>
      <c r="D369" s="187"/>
      <c r="O369" s="175"/>
      <c r="P369" s="175"/>
      <c r="Q369" s="175"/>
      <c r="R369" s="175"/>
      <c r="S369" s="175"/>
      <c r="T369" s="175"/>
      <c r="U369" s="175"/>
      <c r="V369" s="175"/>
      <c r="W369" s="175"/>
      <c r="X369" s="175"/>
      <c r="Y369" s="175"/>
      <c r="Z369" s="175"/>
      <c r="AA369" s="175"/>
    </row>
    <row r="370">
      <c r="A370" s="187"/>
      <c r="D370" s="187"/>
      <c r="O370" s="175"/>
      <c r="P370" s="175"/>
      <c r="Q370" s="175"/>
      <c r="R370" s="175"/>
      <c r="S370" s="175"/>
      <c r="T370" s="175"/>
      <c r="U370" s="175"/>
      <c r="V370" s="175"/>
      <c r="W370" s="175"/>
      <c r="X370" s="175"/>
      <c r="Y370" s="175"/>
      <c r="Z370" s="175"/>
      <c r="AA370" s="175"/>
    </row>
    <row r="371">
      <c r="A371" s="187"/>
      <c r="D371" s="187"/>
      <c r="O371" s="175"/>
      <c r="P371" s="175"/>
      <c r="Q371" s="175"/>
      <c r="R371" s="175"/>
      <c r="S371" s="175"/>
      <c r="T371" s="175"/>
      <c r="U371" s="175"/>
      <c r="V371" s="175"/>
      <c r="W371" s="175"/>
      <c r="X371" s="175"/>
      <c r="Y371" s="175"/>
      <c r="Z371" s="175"/>
      <c r="AA371" s="175"/>
    </row>
    <row r="372">
      <c r="A372" s="187"/>
      <c r="D372" s="187"/>
      <c r="O372" s="175"/>
      <c r="P372" s="175"/>
      <c r="Q372" s="175"/>
      <c r="R372" s="175"/>
      <c r="S372" s="175"/>
      <c r="T372" s="175"/>
      <c r="U372" s="175"/>
      <c r="V372" s="175"/>
      <c r="W372" s="175"/>
      <c r="X372" s="175"/>
      <c r="Y372" s="175"/>
      <c r="Z372" s="175"/>
      <c r="AA372" s="175"/>
    </row>
    <row r="373">
      <c r="A373" s="187"/>
      <c r="D373" s="187"/>
      <c r="O373" s="175"/>
      <c r="P373" s="175"/>
      <c r="Q373" s="175"/>
      <c r="R373" s="175"/>
      <c r="S373" s="175"/>
      <c r="T373" s="175"/>
      <c r="U373" s="175"/>
      <c r="V373" s="175"/>
      <c r="W373" s="175"/>
      <c r="X373" s="175"/>
      <c r="Y373" s="175"/>
      <c r="Z373" s="175"/>
      <c r="AA373" s="175"/>
    </row>
    <row r="374">
      <c r="A374" s="187"/>
      <c r="D374" s="187"/>
      <c r="O374" s="175"/>
      <c r="P374" s="175"/>
      <c r="Q374" s="175"/>
      <c r="R374" s="175"/>
      <c r="S374" s="175"/>
      <c r="T374" s="175"/>
      <c r="U374" s="175"/>
      <c r="V374" s="175"/>
      <c r="W374" s="175"/>
      <c r="X374" s="175"/>
      <c r="Y374" s="175"/>
      <c r="Z374" s="175"/>
      <c r="AA374" s="175"/>
    </row>
    <row r="375">
      <c r="A375" s="187"/>
      <c r="D375" s="187"/>
      <c r="O375" s="175"/>
      <c r="P375" s="175"/>
      <c r="Q375" s="175"/>
      <c r="R375" s="175"/>
      <c r="S375" s="175"/>
      <c r="T375" s="175"/>
      <c r="U375" s="175"/>
      <c r="V375" s="175"/>
      <c r="W375" s="175"/>
      <c r="X375" s="175"/>
      <c r="Y375" s="175"/>
      <c r="Z375" s="175"/>
      <c r="AA375" s="175"/>
    </row>
    <row r="376">
      <c r="A376" s="187"/>
      <c r="D376" s="187"/>
      <c r="O376" s="175"/>
      <c r="P376" s="175"/>
      <c r="Q376" s="175"/>
      <c r="R376" s="175"/>
      <c r="S376" s="175"/>
      <c r="T376" s="175"/>
      <c r="U376" s="175"/>
      <c r="V376" s="175"/>
      <c r="W376" s="175"/>
      <c r="X376" s="175"/>
      <c r="Y376" s="175"/>
      <c r="Z376" s="175"/>
      <c r="AA376" s="175"/>
    </row>
    <row r="377">
      <c r="A377" s="187"/>
      <c r="D377" s="187"/>
      <c r="O377" s="175"/>
      <c r="P377" s="175"/>
      <c r="Q377" s="175"/>
      <c r="R377" s="175"/>
      <c r="S377" s="175"/>
      <c r="T377" s="175"/>
      <c r="U377" s="175"/>
      <c r="V377" s="175"/>
      <c r="W377" s="175"/>
      <c r="X377" s="175"/>
      <c r="Y377" s="175"/>
      <c r="Z377" s="175"/>
      <c r="AA377" s="175"/>
    </row>
    <row r="378">
      <c r="A378" s="187"/>
      <c r="D378" s="187"/>
      <c r="O378" s="175"/>
      <c r="P378" s="175"/>
      <c r="Q378" s="175"/>
      <c r="R378" s="175"/>
      <c r="S378" s="175"/>
      <c r="T378" s="175"/>
      <c r="U378" s="175"/>
      <c r="V378" s="175"/>
      <c r="W378" s="175"/>
      <c r="X378" s="175"/>
      <c r="Y378" s="175"/>
      <c r="Z378" s="175"/>
      <c r="AA378" s="175"/>
    </row>
    <row r="379">
      <c r="A379" s="187"/>
      <c r="D379" s="187"/>
      <c r="O379" s="175"/>
      <c r="P379" s="175"/>
      <c r="Q379" s="175"/>
      <c r="R379" s="175"/>
      <c r="S379" s="175"/>
      <c r="T379" s="175"/>
      <c r="U379" s="175"/>
      <c r="V379" s="175"/>
      <c r="W379" s="175"/>
      <c r="X379" s="175"/>
      <c r="Y379" s="175"/>
      <c r="Z379" s="175"/>
      <c r="AA379" s="175"/>
    </row>
    <row r="380">
      <c r="A380" s="187"/>
      <c r="D380" s="187"/>
      <c r="O380" s="175"/>
      <c r="P380" s="175"/>
      <c r="Q380" s="175"/>
      <c r="R380" s="175"/>
      <c r="S380" s="175"/>
      <c r="T380" s="175"/>
      <c r="U380" s="175"/>
      <c r="V380" s="175"/>
      <c r="W380" s="175"/>
      <c r="X380" s="175"/>
      <c r="Y380" s="175"/>
      <c r="Z380" s="175"/>
      <c r="AA380" s="175"/>
    </row>
    <row r="381">
      <c r="A381" s="187"/>
      <c r="D381" s="187"/>
      <c r="O381" s="175"/>
      <c r="P381" s="175"/>
      <c r="Q381" s="175"/>
      <c r="R381" s="175"/>
      <c r="S381" s="175"/>
      <c r="T381" s="175"/>
      <c r="U381" s="175"/>
      <c r="V381" s="175"/>
      <c r="W381" s="175"/>
      <c r="X381" s="175"/>
      <c r="Y381" s="175"/>
      <c r="Z381" s="175"/>
      <c r="AA381" s="175"/>
    </row>
    <row r="382">
      <c r="A382" s="187"/>
      <c r="D382" s="187"/>
      <c r="O382" s="175"/>
      <c r="P382" s="175"/>
      <c r="Q382" s="175"/>
      <c r="R382" s="175"/>
      <c r="S382" s="175"/>
      <c r="T382" s="175"/>
      <c r="U382" s="175"/>
      <c r="V382" s="175"/>
      <c r="W382" s="175"/>
      <c r="X382" s="175"/>
      <c r="Y382" s="175"/>
      <c r="Z382" s="175"/>
      <c r="AA382" s="175"/>
    </row>
    <row r="383">
      <c r="A383" s="187"/>
      <c r="D383" s="187"/>
      <c r="O383" s="175"/>
      <c r="P383" s="175"/>
      <c r="Q383" s="175"/>
      <c r="R383" s="175"/>
      <c r="S383" s="175"/>
      <c r="T383" s="175"/>
      <c r="U383" s="175"/>
      <c r="V383" s="175"/>
      <c r="W383" s="175"/>
      <c r="X383" s="175"/>
      <c r="Y383" s="175"/>
      <c r="Z383" s="175"/>
      <c r="AA383" s="175"/>
    </row>
    <row r="384">
      <c r="A384" s="187"/>
      <c r="D384" s="187"/>
      <c r="O384" s="175"/>
      <c r="P384" s="175"/>
      <c r="Q384" s="175"/>
      <c r="R384" s="175"/>
      <c r="S384" s="175"/>
      <c r="T384" s="175"/>
      <c r="U384" s="175"/>
      <c r="V384" s="175"/>
      <c r="W384" s="175"/>
      <c r="X384" s="175"/>
      <c r="Y384" s="175"/>
      <c r="Z384" s="175"/>
      <c r="AA384" s="175"/>
    </row>
    <row r="385">
      <c r="A385" s="187"/>
      <c r="D385" s="187"/>
      <c r="O385" s="175"/>
      <c r="P385" s="175"/>
      <c r="Q385" s="175"/>
      <c r="R385" s="175"/>
      <c r="S385" s="175"/>
      <c r="T385" s="175"/>
      <c r="U385" s="175"/>
      <c r="V385" s="175"/>
      <c r="W385" s="175"/>
      <c r="X385" s="175"/>
      <c r="Y385" s="175"/>
      <c r="Z385" s="175"/>
      <c r="AA385" s="175"/>
    </row>
    <row r="386">
      <c r="A386" s="187"/>
      <c r="D386" s="187"/>
      <c r="O386" s="175"/>
      <c r="P386" s="175"/>
      <c r="Q386" s="175"/>
      <c r="R386" s="175"/>
      <c r="S386" s="175"/>
      <c r="T386" s="175"/>
      <c r="U386" s="175"/>
      <c r="V386" s="175"/>
      <c r="W386" s="175"/>
      <c r="X386" s="175"/>
      <c r="Y386" s="175"/>
      <c r="Z386" s="175"/>
      <c r="AA386" s="175"/>
    </row>
    <row r="387">
      <c r="A387" s="187"/>
      <c r="D387" s="187"/>
      <c r="O387" s="175"/>
      <c r="P387" s="175"/>
      <c r="Q387" s="175"/>
      <c r="R387" s="175"/>
      <c r="S387" s="175"/>
      <c r="T387" s="175"/>
      <c r="U387" s="175"/>
      <c r="V387" s="175"/>
      <c r="W387" s="175"/>
      <c r="X387" s="175"/>
      <c r="Y387" s="175"/>
      <c r="Z387" s="175"/>
      <c r="AA387" s="175"/>
    </row>
    <row r="388">
      <c r="A388" s="187"/>
      <c r="D388" s="187"/>
      <c r="O388" s="175"/>
      <c r="P388" s="175"/>
      <c r="Q388" s="175"/>
      <c r="R388" s="175"/>
      <c r="S388" s="175"/>
      <c r="T388" s="175"/>
      <c r="U388" s="175"/>
      <c r="V388" s="175"/>
      <c r="W388" s="175"/>
      <c r="X388" s="175"/>
      <c r="Y388" s="175"/>
      <c r="Z388" s="175"/>
      <c r="AA388" s="175"/>
    </row>
    <row r="389">
      <c r="A389" s="187"/>
      <c r="D389" s="187"/>
      <c r="O389" s="175"/>
      <c r="P389" s="175"/>
      <c r="Q389" s="175"/>
      <c r="R389" s="175"/>
      <c r="S389" s="175"/>
      <c r="T389" s="175"/>
      <c r="U389" s="175"/>
      <c r="V389" s="175"/>
      <c r="W389" s="175"/>
      <c r="X389" s="175"/>
      <c r="Y389" s="175"/>
      <c r="Z389" s="175"/>
      <c r="AA389" s="175"/>
    </row>
    <row r="390">
      <c r="A390" s="187"/>
      <c r="D390" s="187"/>
      <c r="O390" s="175"/>
      <c r="P390" s="175"/>
      <c r="Q390" s="175"/>
      <c r="R390" s="175"/>
      <c r="S390" s="175"/>
      <c r="T390" s="175"/>
      <c r="U390" s="175"/>
      <c r="V390" s="175"/>
      <c r="W390" s="175"/>
      <c r="X390" s="175"/>
      <c r="Y390" s="175"/>
      <c r="Z390" s="175"/>
      <c r="AA390" s="175"/>
    </row>
    <row r="391">
      <c r="A391" s="187"/>
      <c r="D391" s="187"/>
      <c r="O391" s="175"/>
      <c r="P391" s="175"/>
      <c r="Q391" s="175"/>
      <c r="R391" s="175"/>
      <c r="S391" s="175"/>
      <c r="T391" s="175"/>
      <c r="U391" s="175"/>
      <c r="V391" s="175"/>
      <c r="W391" s="175"/>
      <c r="X391" s="175"/>
      <c r="Y391" s="175"/>
      <c r="Z391" s="175"/>
      <c r="AA391" s="175"/>
    </row>
    <row r="392">
      <c r="A392" s="187"/>
      <c r="D392" s="187"/>
      <c r="O392" s="175"/>
      <c r="P392" s="175"/>
      <c r="Q392" s="175"/>
      <c r="R392" s="175"/>
      <c r="S392" s="175"/>
      <c r="T392" s="175"/>
      <c r="U392" s="175"/>
      <c r="V392" s="175"/>
      <c r="W392" s="175"/>
      <c r="X392" s="175"/>
      <c r="Y392" s="175"/>
      <c r="Z392" s="175"/>
      <c r="AA392" s="175"/>
    </row>
    <row r="393">
      <c r="A393" s="187"/>
      <c r="D393" s="187"/>
      <c r="O393" s="175"/>
      <c r="P393" s="175"/>
      <c r="Q393" s="175"/>
      <c r="R393" s="175"/>
      <c r="S393" s="175"/>
      <c r="T393" s="175"/>
      <c r="U393" s="175"/>
      <c r="V393" s="175"/>
      <c r="W393" s="175"/>
      <c r="X393" s="175"/>
      <c r="Y393" s="175"/>
      <c r="Z393" s="175"/>
      <c r="AA393" s="175"/>
    </row>
    <row r="394">
      <c r="A394" s="187"/>
      <c r="D394" s="187"/>
      <c r="O394" s="175"/>
      <c r="P394" s="175"/>
      <c r="Q394" s="175"/>
      <c r="R394" s="175"/>
      <c r="S394" s="175"/>
      <c r="T394" s="175"/>
      <c r="U394" s="175"/>
      <c r="V394" s="175"/>
      <c r="W394" s="175"/>
      <c r="X394" s="175"/>
      <c r="Y394" s="175"/>
      <c r="Z394" s="175"/>
      <c r="AA394" s="175"/>
    </row>
    <row r="395">
      <c r="A395" s="187"/>
      <c r="D395" s="187"/>
      <c r="O395" s="175"/>
      <c r="P395" s="175"/>
      <c r="Q395" s="175"/>
      <c r="R395" s="175"/>
      <c r="S395" s="175"/>
      <c r="T395" s="175"/>
      <c r="U395" s="175"/>
      <c r="V395" s="175"/>
      <c r="W395" s="175"/>
      <c r="X395" s="175"/>
      <c r="Y395" s="175"/>
      <c r="Z395" s="175"/>
      <c r="AA395" s="175"/>
    </row>
    <row r="396">
      <c r="A396" s="187"/>
      <c r="D396" s="187"/>
      <c r="O396" s="175"/>
      <c r="P396" s="175"/>
      <c r="Q396" s="175"/>
      <c r="R396" s="175"/>
      <c r="S396" s="175"/>
      <c r="T396" s="175"/>
      <c r="U396" s="175"/>
      <c r="V396" s="175"/>
      <c r="W396" s="175"/>
      <c r="X396" s="175"/>
      <c r="Y396" s="175"/>
      <c r="Z396" s="175"/>
      <c r="AA396" s="175"/>
    </row>
    <row r="397">
      <c r="A397" s="187"/>
      <c r="D397" s="187"/>
      <c r="O397" s="175"/>
      <c r="P397" s="175"/>
      <c r="Q397" s="175"/>
      <c r="R397" s="175"/>
      <c r="S397" s="175"/>
      <c r="T397" s="175"/>
      <c r="U397" s="175"/>
      <c r="V397" s="175"/>
      <c r="W397" s="175"/>
      <c r="X397" s="175"/>
      <c r="Y397" s="175"/>
      <c r="Z397" s="175"/>
      <c r="AA397" s="175"/>
    </row>
    <row r="398">
      <c r="A398" s="187"/>
      <c r="D398" s="187"/>
      <c r="O398" s="175"/>
      <c r="P398" s="175"/>
      <c r="Q398" s="175"/>
      <c r="R398" s="175"/>
      <c r="S398" s="175"/>
      <c r="T398" s="175"/>
      <c r="U398" s="175"/>
      <c r="V398" s="175"/>
      <c r="W398" s="175"/>
      <c r="X398" s="175"/>
      <c r="Y398" s="175"/>
      <c r="Z398" s="175"/>
      <c r="AA398" s="175"/>
    </row>
    <row r="399">
      <c r="A399" s="187"/>
      <c r="D399" s="187"/>
      <c r="O399" s="175"/>
      <c r="P399" s="175"/>
      <c r="Q399" s="175"/>
      <c r="R399" s="175"/>
      <c r="S399" s="175"/>
      <c r="T399" s="175"/>
      <c r="U399" s="175"/>
      <c r="V399" s="175"/>
      <c r="W399" s="175"/>
      <c r="X399" s="175"/>
      <c r="Y399" s="175"/>
      <c r="Z399" s="175"/>
      <c r="AA399" s="175"/>
    </row>
    <row r="400">
      <c r="A400" s="187"/>
      <c r="D400" s="187"/>
      <c r="O400" s="175"/>
      <c r="P400" s="175"/>
      <c r="Q400" s="175"/>
      <c r="R400" s="175"/>
      <c r="S400" s="175"/>
      <c r="T400" s="175"/>
      <c r="U400" s="175"/>
      <c r="V400" s="175"/>
      <c r="W400" s="175"/>
      <c r="X400" s="175"/>
      <c r="Y400" s="175"/>
      <c r="Z400" s="175"/>
      <c r="AA400" s="175"/>
    </row>
    <row r="401">
      <c r="A401" s="187"/>
      <c r="D401" s="187"/>
      <c r="O401" s="175"/>
      <c r="P401" s="175"/>
      <c r="Q401" s="175"/>
      <c r="R401" s="175"/>
      <c r="S401" s="175"/>
      <c r="T401" s="175"/>
      <c r="U401" s="175"/>
      <c r="V401" s="175"/>
      <c r="W401" s="175"/>
      <c r="X401" s="175"/>
      <c r="Y401" s="175"/>
      <c r="Z401" s="175"/>
      <c r="AA401" s="175"/>
    </row>
    <row r="402">
      <c r="A402" s="187"/>
      <c r="D402" s="187"/>
      <c r="O402" s="175"/>
      <c r="P402" s="175"/>
      <c r="Q402" s="175"/>
      <c r="R402" s="175"/>
      <c r="S402" s="175"/>
      <c r="T402" s="175"/>
      <c r="U402" s="175"/>
      <c r="V402" s="175"/>
      <c r="W402" s="175"/>
      <c r="X402" s="175"/>
      <c r="Y402" s="175"/>
      <c r="Z402" s="175"/>
      <c r="AA402" s="175"/>
    </row>
    <row r="403">
      <c r="A403" s="187"/>
      <c r="D403" s="187"/>
      <c r="O403" s="175"/>
      <c r="P403" s="175"/>
      <c r="Q403" s="175"/>
      <c r="R403" s="175"/>
      <c r="S403" s="175"/>
      <c r="T403" s="175"/>
      <c r="U403" s="175"/>
      <c r="V403" s="175"/>
      <c r="W403" s="175"/>
      <c r="X403" s="175"/>
      <c r="Y403" s="175"/>
      <c r="Z403" s="175"/>
      <c r="AA403" s="175"/>
    </row>
    <row r="404">
      <c r="A404" s="187"/>
      <c r="D404" s="187"/>
      <c r="O404" s="175"/>
      <c r="P404" s="175"/>
      <c r="Q404" s="175"/>
      <c r="R404" s="175"/>
      <c r="S404" s="175"/>
      <c r="T404" s="175"/>
      <c r="U404" s="175"/>
      <c r="V404" s="175"/>
      <c r="W404" s="175"/>
      <c r="X404" s="175"/>
      <c r="Y404" s="175"/>
      <c r="Z404" s="175"/>
      <c r="AA404" s="175"/>
    </row>
    <row r="405">
      <c r="A405" s="187"/>
      <c r="D405" s="187"/>
      <c r="O405" s="175"/>
      <c r="P405" s="175"/>
      <c r="Q405" s="175"/>
      <c r="R405" s="175"/>
      <c r="S405" s="175"/>
      <c r="T405" s="175"/>
      <c r="U405" s="175"/>
      <c r="V405" s="175"/>
      <c r="W405" s="175"/>
      <c r="X405" s="175"/>
      <c r="Y405" s="175"/>
      <c r="Z405" s="175"/>
      <c r="AA405" s="175"/>
    </row>
    <row r="406">
      <c r="A406" s="187"/>
      <c r="D406" s="187"/>
      <c r="O406" s="175"/>
      <c r="P406" s="175"/>
      <c r="Q406" s="175"/>
      <c r="R406" s="175"/>
      <c r="S406" s="175"/>
      <c r="T406" s="175"/>
      <c r="U406" s="175"/>
      <c r="V406" s="175"/>
      <c r="W406" s="175"/>
      <c r="X406" s="175"/>
      <c r="Y406" s="175"/>
      <c r="Z406" s="175"/>
      <c r="AA406" s="175"/>
    </row>
    <row r="407">
      <c r="A407" s="187"/>
      <c r="D407" s="187"/>
      <c r="O407" s="175"/>
      <c r="P407" s="175"/>
      <c r="Q407" s="175"/>
      <c r="R407" s="175"/>
      <c r="S407" s="175"/>
      <c r="T407" s="175"/>
      <c r="U407" s="175"/>
      <c r="V407" s="175"/>
      <c r="W407" s="175"/>
      <c r="X407" s="175"/>
      <c r="Y407" s="175"/>
      <c r="Z407" s="175"/>
      <c r="AA407" s="175"/>
    </row>
    <row r="408">
      <c r="A408" s="187"/>
      <c r="D408" s="187"/>
      <c r="O408" s="175"/>
      <c r="P408" s="175"/>
      <c r="Q408" s="175"/>
      <c r="R408" s="175"/>
      <c r="S408" s="175"/>
      <c r="T408" s="175"/>
      <c r="U408" s="175"/>
      <c r="V408" s="175"/>
      <c r="W408" s="175"/>
      <c r="X408" s="175"/>
      <c r="Y408" s="175"/>
      <c r="Z408" s="175"/>
      <c r="AA408" s="175"/>
    </row>
    <row r="409">
      <c r="A409" s="187"/>
      <c r="D409" s="187"/>
      <c r="O409" s="175"/>
      <c r="P409" s="175"/>
      <c r="Q409" s="175"/>
      <c r="R409" s="175"/>
      <c r="S409" s="175"/>
      <c r="T409" s="175"/>
      <c r="U409" s="175"/>
      <c r="V409" s="175"/>
      <c r="W409" s="175"/>
      <c r="X409" s="175"/>
      <c r="Y409" s="175"/>
      <c r="Z409" s="175"/>
      <c r="AA409" s="175"/>
    </row>
    <row r="410">
      <c r="A410" s="187"/>
      <c r="D410" s="187"/>
      <c r="O410" s="175"/>
      <c r="P410" s="175"/>
      <c r="Q410" s="175"/>
      <c r="R410" s="175"/>
      <c r="S410" s="175"/>
      <c r="T410" s="175"/>
      <c r="U410" s="175"/>
      <c r="V410" s="175"/>
      <c r="W410" s="175"/>
      <c r="X410" s="175"/>
      <c r="Y410" s="175"/>
      <c r="Z410" s="175"/>
      <c r="AA410" s="175"/>
    </row>
    <row r="411">
      <c r="A411" s="187"/>
      <c r="D411" s="187"/>
      <c r="O411" s="175"/>
      <c r="P411" s="175"/>
      <c r="Q411" s="175"/>
      <c r="R411" s="175"/>
      <c r="S411" s="175"/>
      <c r="T411" s="175"/>
      <c r="U411" s="175"/>
      <c r="V411" s="175"/>
      <c r="W411" s="175"/>
      <c r="X411" s="175"/>
      <c r="Y411" s="175"/>
      <c r="Z411" s="175"/>
      <c r="AA411" s="175"/>
    </row>
    <row r="412">
      <c r="A412" s="187"/>
      <c r="D412" s="187"/>
      <c r="O412" s="175"/>
      <c r="P412" s="175"/>
      <c r="Q412" s="175"/>
      <c r="R412" s="175"/>
      <c r="S412" s="175"/>
      <c r="T412" s="175"/>
      <c r="U412" s="175"/>
      <c r="V412" s="175"/>
      <c r="W412" s="175"/>
      <c r="X412" s="175"/>
      <c r="Y412" s="175"/>
      <c r="Z412" s="175"/>
      <c r="AA412" s="175"/>
    </row>
    <row r="413">
      <c r="A413" s="187"/>
      <c r="D413" s="187"/>
      <c r="O413" s="175"/>
      <c r="P413" s="175"/>
      <c r="Q413" s="175"/>
      <c r="R413" s="175"/>
      <c r="S413" s="175"/>
      <c r="T413" s="175"/>
      <c r="U413" s="175"/>
      <c r="V413" s="175"/>
      <c r="W413" s="175"/>
      <c r="X413" s="175"/>
      <c r="Y413" s="175"/>
      <c r="Z413" s="175"/>
      <c r="AA413" s="175"/>
    </row>
    <row r="414">
      <c r="A414" s="187"/>
      <c r="D414" s="187"/>
      <c r="O414" s="175"/>
      <c r="P414" s="175"/>
      <c r="Q414" s="175"/>
      <c r="R414" s="175"/>
      <c r="S414" s="175"/>
      <c r="T414" s="175"/>
      <c r="U414" s="175"/>
      <c r="V414" s="175"/>
      <c r="W414" s="175"/>
      <c r="X414" s="175"/>
      <c r="Y414" s="175"/>
      <c r="Z414" s="175"/>
      <c r="AA414" s="175"/>
    </row>
    <row r="415">
      <c r="A415" s="187"/>
      <c r="D415" s="187"/>
      <c r="O415" s="175"/>
      <c r="P415" s="175"/>
      <c r="Q415" s="175"/>
      <c r="R415" s="175"/>
      <c r="S415" s="175"/>
      <c r="T415" s="175"/>
      <c r="U415" s="175"/>
      <c r="V415" s="175"/>
      <c r="W415" s="175"/>
      <c r="X415" s="175"/>
      <c r="Y415" s="175"/>
      <c r="Z415" s="175"/>
      <c r="AA415" s="175"/>
    </row>
    <row r="416">
      <c r="A416" s="187"/>
      <c r="D416" s="187"/>
      <c r="O416" s="175"/>
      <c r="P416" s="175"/>
      <c r="Q416" s="175"/>
      <c r="R416" s="175"/>
      <c r="S416" s="175"/>
      <c r="T416" s="175"/>
      <c r="U416" s="175"/>
      <c r="V416" s="175"/>
      <c r="W416" s="175"/>
      <c r="X416" s="175"/>
      <c r="Y416" s="175"/>
      <c r="Z416" s="175"/>
      <c r="AA416" s="175"/>
    </row>
    <row r="417">
      <c r="A417" s="187"/>
      <c r="D417" s="187"/>
      <c r="O417" s="175"/>
      <c r="P417" s="175"/>
      <c r="Q417" s="175"/>
      <c r="R417" s="175"/>
      <c r="S417" s="175"/>
      <c r="T417" s="175"/>
      <c r="U417" s="175"/>
      <c r="V417" s="175"/>
      <c r="W417" s="175"/>
      <c r="X417" s="175"/>
      <c r="Y417" s="175"/>
      <c r="Z417" s="175"/>
      <c r="AA417" s="175"/>
    </row>
    <row r="418">
      <c r="A418" s="187"/>
      <c r="D418" s="187"/>
      <c r="O418" s="175"/>
      <c r="P418" s="175"/>
      <c r="Q418" s="175"/>
      <c r="R418" s="175"/>
      <c r="S418" s="175"/>
      <c r="T418" s="175"/>
      <c r="U418" s="175"/>
      <c r="V418" s="175"/>
      <c r="W418" s="175"/>
      <c r="X418" s="175"/>
      <c r="Y418" s="175"/>
      <c r="Z418" s="175"/>
      <c r="AA418" s="175"/>
    </row>
    <row r="419">
      <c r="A419" s="187"/>
      <c r="D419" s="187"/>
      <c r="O419" s="175"/>
      <c r="P419" s="175"/>
      <c r="Q419" s="175"/>
      <c r="R419" s="175"/>
      <c r="S419" s="175"/>
      <c r="T419" s="175"/>
      <c r="U419" s="175"/>
      <c r="V419" s="175"/>
      <c r="W419" s="175"/>
      <c r="X419" s="175"/>
      <c r="Y419" s="175"/>
      <c r="Z419" s="175"/>
      <c r="AA419" s="175"/>
    </row>
    <row r="420">
      <c r="A420" s="187"/>
      <c r="D420" s="187"/>
      <c r="O420" s="175"/>
      <c r="P420" s="175"/>
      <c r="Q420" s="175"/>
      <c r="R420" s="175"/>
      <c r="S420" s="175"/>
      <c r="T420" s="175"/>
      <c r="U420" s="175"/>
      <c r="V420" s="175"/>
      <c r="W420" s="175"/>
      <c r="X420" s="175"/>
      <c r="Y420" s="175"/>
      <c r="Z420" s="175"/>
      <c r="AA420" s="175"/>
    </row>
    <row r="421">
      <c r="A421" s="187"/>
      <c r="D421" s="187"/>
      <c r="O421" s="175"/>
      <c r="P421" s="175"/>
      <c r="Q421" s="175"/>
      <c r="R421" s="175"/>
      <c r="S421" s="175"/>
      <c r="T421" s="175"/>
      <c r="U421" s="175"/>
      <c r="V421" s="175"/>
      <c r="W421" s="175"/>
      <c r="X421" s="175"/>
      <c r="Y421" s="175"/>
      <c r="Z421" s="175"/>
      <c r="AA421" s="175"/>
    </row>
    <row r="422">
      <c r="A422" s="187"/>
      <c r="D422" s="187"/>
      <c r="O422" s="175"/>
      <c r="P422" s="175"/>
      <c r="Q422" s="175"/>
      <c r="R422" s="175"/>
      <c r="S422" s="175"/>
      <c r="T422" s="175"/>
      <c r="U422" s="175"/>
      <c r="V422" s="175"/>
      <c r="W422" s="175"/>
      <c r="X422" s="175"/>
      <c r="Y422" s="175"/>
      <c r="Z422" s="175"/>
      <c r="AA422" s="175"/>
    </row>
    <row r="423">
      <c r="A423" s="187"/>
      <c r="D423" s="187"/>
      <c r="O423" s="175"/>
      <c r="P423" s="175"/>
      <c r="Q423" s="175"/>
      <c r="R423" s="175"/>
      <c r="S423" s="175"/>
      <c r="T423" s="175"/>
      <c r="U423" s="175"/>
      <c r="V423" s="175"/>
      <c r="W423" s="175"/>
      <c r="X423" s="175"/>
      <c r="Y423" s="175"/>
      <c r="Z423" s="175"/>
      <c r="AA423" s="175"/>
    </row>
    <row r="424">
      <c r="A424" s="187"/>
      <c r="D424" s="187"/>
      <c r="O424" s="175"/>
      <c r="P424" s="175"/>
      <c r="Q424" s="175"/>
      <c r="R424" s="175"/>
      <c r="S424" s="175"/>
      <c r="T424" s="175"/>
      <c r="U424" s="175"/>
      <c r="V424" s="175"/>
      <c r="W424" s="175"/>
      <c r="X424" s="175"/>
      <c r="Y424" s="175"/>
      <c r="Z424" s="175"/>
      <c r="AA424" s="175"/>
    </row>
    <row r="425">
      <c r="A425" s="187"/>
      <c r="D425" s="187"/>
      <c r="O425" s="175"/>
      <c r="P425" s="175"/>
      <c r="Q425" s="175"/>
      <c r="R425" s="175"/>
      <c r="S425" s="175"/>
      <c r="T425" s="175"/>
      <c r="U425" s="175"/>
      <c r="V425" s="175"/>
      <c r="W425" s="175"/>
      <c r="X425" s="175"/>
      <c r="Y425" s="175"/>
      <c r="Z425" s="175"/>
      <c r="AA425" s="175"/>
    </row>
    <row r="426">
      <c r="A426" s="187"/>
      <c r="D426" s="187"/>
      <c r="O426" s="175"/>
      <c r="P426" s="175"/>
      <c r="Q426" s="175"/>
      <c r="R426" s="175"/>
      <c r="S426" s="175"/>
      <c r="T426" s="175"/>
      <c r="U426" s="175"/>
      <c r="V426" s="175"/>
      <c r="W426" s="175"/>
      <c r="X426" s="175"/>
      <c r="Y426" s="175"/>
      <c r="Z426" s="175"/>
      <c r="AA426" s="175"/>
    </row>
    <row r="427">
      <c r="A427" s="187"/>
      <c r="D427" s="187"/>
      <c r="O427" s="175"/>
      <c r="P427" s="175"/>
      <c r="Q427" s="175"/>
      <c r="R427" s="175"/>
      <c r="S427" s="175"/>
      <c r="T427" s="175"/>
      <c r="U427" s="175"/>
      <c r="V427" s="175"/>
      <c r="W427" s="175"/>
      <c r="X427" s="175"/>
      <c r="Y427" s="175"/>
      <c r="Z427" s="175"/>
      <c r="AA427" s="175"/>
    </row>
    <row r="428">
      <c r="A428" s="187"/>
      <c r="D428" s="187"/>
      <c r="O428" s="175"/>
      <c r="P428" s="175"/>
      <c r="Q428" s="175"/>
      <c r="R428" s="175"/>
      <c r="S428" s="175"/>
      <c r="T428" s="175"/>
      <c r="U428" s="175"/>
      <c r="V428" s="175"/>
      <c r="W428" s="175"/>
      <c r="X428" s="175"/>
      <c r="Y428" s="175"/>
      <c r="Z428" s="175"/>
      <c r="AA428" s="175"/>
    </row>
    <row r="429">
      <c r="A429" s="187"/>
      <c r="D429" s="187"/>
      <c r="O429" s="175"/>
      <c r="P429" s="175"/>
      <c r="Q429" s="175"/>
      <c r="R429" s="175"/>
      <c r="S429" s="175"/>
      <c r="T429" s="175"/>
      <c r="U429" s="175"/>
      <c r="V429" s="175"/>
      <c r="W429" s="175"/>
      <c r="X429" s="175"/>
      <c r="Y429" s="175"/>
      <c r="Z429" s="175"/>
      <c r="AA429" s="175"/>
    </row>
    <row r="430">
      <c r="A430" s="187"/>
      <c r="D430" s="187"/>
      <c r="O430" s="175"/>
      <c r="P430" s="175"/>
      <c r="Q430" s="175"/>
      <c r="R430" s="175"/>
      <c r="S430" s="175"/>
      <c r="T430" s="175"/>
      <c r="U430" s="175"/>
      <c r="V430" s="175"/>
      <c r="W430" s="175"/>
      <c r="X430" s="175"/>
      <c r="Y430" s="175"/>
      <c r="Z430" s="175"/>
      <c r="AA430" s="175"/>
    </row>
    <row r="431">
      <c r="A431" s="187"/>
      <c r="D431" s="187"/>
      <c r="O431" s="175"/>
      <c r="P431" s="175"/>
      <c r="Q431" s="175"/>
      <c r="R431" s="175"/>
      <c r="S431" s="175"/>
      <c r="T431" s="175"/>
      <c r="U431" s="175"/>
      <c r="V431" s="175"/>
      <c r="W431" s="175"/>
      <c r="X431" s="175"/>
      <c r="Y431" s="175"/>
      <c r="Z431" s="175"/>
      <c r="AA431" s="175"/>
    </row>
    <row r="432">
      <c r="A432" s="187"/>
      <c r="D432" s="187"/>
      <c r="O432" s="175"/>
      <c r="P432" s="175"/>
      <c r="Q432" s="175"/>
      <c r="R432" s="175"/>
      <c r="S432" s="175"/>
      <c r="T432" s="175"/>
      <c r="U432" s="175"/>
      <c r="V432" s="175"/>
      <c r="W432" s="175"/>
      <c r="X432" s="175"/>
      <c r="Y432" s="175"/>
      <c r="Z432" s="175"/>
      <c r="AA432" s="175"/>
    </row>
    <row r="433">
      <c r="A433" s="187"/>
      <c r="D433" s="187"/>
      <c r="O433" s="175"/>
      <c r="P433" s="175"/>
      <c r="Q433" s="175"/>
      <c r="R433" s="175"/>
      <c r="S433" s="175"/>
      <c r="T433" s="175"/>
      <c r="U433" s="175"/>
      <c r="V433" s="175"/>
      <c r="W433" s="175"/>
      <c r="X433" s="175"/>
      <c r="Y433" s="175"/>
      <c r="Z433" s="175"/>
      <c r="AA433" s="175"/>
    </row>
    <row r="434">
      <c r="A434" s="187"/>
      <c r="D434" s="187"/>
      <c r="O434" s="175"/>
      <c r="P434" s="175"/>
      <c r="Q434" s="175"/>
      <c r="R434" s="175"/>
      <c r="S434" s="175"/>
      <c r="T434" s="175"/>
      <c r="U434" s="175"/>
      <c r="V434" s="175"/>
      <c r="W434" s="175"/>
      <c r="X434" s="175"/>
      <c r="Y434" s="175"/>
      <c r="Z434" s="175"/>
      <c r="AA434" s="175"/>
    </row>
    <row r="435">
      <c r="A435" s="187"/>
      <c r="D435" s="187"/>
      <c r="O435" s="175"/>
      <c r="P435" s="175"/>
      <c r="Q435" s="175"/>
      <c r="R435" s="175"/>
      <c r="S435" s="175"/>
      <c r="T435" s="175"/>
      <c r="U435" s="175"/>
      <c r="V435" s="175"/>
      <c r="W435" s="175"/>
      <c r="X435" s="175"/>
      <c r="Y435" s="175"/>
      <c r="Z435" s="175"/>
      <c r="AA435" s="175"/>
    </row>
    <row r="436">
      <c r="A436" s="187"/>
      <c r="D436" s="187"/>
      <c r="O436" s="175"/>
      <c r="P436" s="175"/>
      <c r="Q436" s="175"/>
      <c r="R436" s="175"/>
      <c r="S436" s="175"/>
      <c r="T436" s="175"/>
      <c r="U436" s="175"/>
      <c r="V436" s="175"/>
      <c r="W436" s="175"/>
      <c r="X436" s="175"/>
      <c r="Y436" s="175"/>
      <c r="Z436" s="175"/>
      <c r="AA436" s="175"/>
    </row>
    <row r="437">
      <c r="A437" s="187"/>
      <c r="D437" s="187"/>
      <c r="O437" s="175"/>
      <c r="P437" s="175"/>
      <c r="Q437" s="175"/>
      <c r="R437" s="175"/>
      <c r="S437" s="175"/>
      <c r="T437" s="175"/>
      <c r="U437" s="175"/>
      <c r="V437" s="175"/>
      <c r="W437" s="175"/>
      <c r="X437" s="175"/>
      <c r="Y437" s="175"/>
      <c r="Z437" s="175"/>
      <c r="AA437" s="175"/>
    </row>
    <row r="438">
      <c r="A438" s="187"/>
      <c r="D438" s="187"/>
      <c r="O438" s="175"/>
      <c r="P438" s="175"/>
      <c r="Q438" s="175"/>
      <c r="R438" s="175"/>
      <c r="S438" s="175"/>
      <c r="T438" s="175"/>
      <c r="U438" s="175"/>
      <c r="V438" s="175"/>
      <c r="W438" s="175"/>
      <c r="X438" s="175"/>
      <c r="Y438" s="175"/>
      <c r="Z438" s="175"/>
      <c r="AA438" s="175"/>
    </row>
    <row r="439">
      <c r="A439" s="187"/>
      <c r="D439" s="187"/>
      <c r="O439" s="175"/>
      <c r="P439" s="175"/>
      <c r="Q439" s="175"/>
      <c r="R439" s="175"/>
      <c r="S439" s="175"/>
      <c r="T439" s="175"/>
      <c r="U439" s="175"/>
      <c r="V439" s="175"/>
      <c r="W439" s="175"/>
      <c r="X439" s="175"/>
      <c r="Y439" s="175"/>
      <c r="Z439" s="175"/>
      <c r="AA439" s="175"/>
    </row>
    <row r="440">
      <c r="A440" s="187"/>
      <c r="D440" s="187"/>
      <c r="O440" s="175"/>
      <c r="P440" s="175"/>
      <c r="Q440" s="175"/>
      <c r="R440" s="175"/>
      <c r="S440" s="175"/>
      <c r="T440" s="175"/>
      <c r="U440" s="175"/>
      <c r="V440" s="175"/>
      <c r="W440" s="175"/>
      <c r="X440" s="175"/>
      <c r="Y440" s="175"/>
      <c r="Z440" s="175"/>
      <c r="AA440" s="175"/>
    </row>
    <row r="441">
      <c r="A441" s="187"/>
      <c r="D441" s="187"/>
      <c r="O441" s="175"/>
      <c r="P441" s="175"/>
      <c r="Q441" s="175"/>
      <c r="R441" s="175"/>
      <c r="S441" s="175"/>
      <c r="T441" s="175"/>
      <c r="U441" s="175"/>
      <c r="V441" s="175"/>
      <c r="W441" s="175"/>
      <c r="X441" s="175"/>
      <c r="Y441" s="175"/>
      <c r="Z441" s="175"/>
      <c r="AA441" s="175"/>
    </row>
    <row r="442">
      <c r="A442" s="187"/>
      <c r="D442" s="187"/>
      <c r="O442" s="175"/>
      <c r="P442" s="175"/>
      <c r="Q442" s="175"/>
      <c r="R442" s="175"/>
      <c r="S442" s="175"/>
      <c r="T442" s="175"/>
      <c r="U442" s="175"/>
      <c r="V442" s="175"/>
      <c r="W442" s="175"/>
      <c r="X442" s="175"/>
      <c r="Y442" s="175"/>
      <c r="Z442" s="175"/>
      <c r="AA442" s="175"/>
    </row>
    <row r="443">
      <c r="A443" s="187"/>
      <c r="D443" s="187"/>
      <c r="O443" s="175"/>
      <c r="P443" s="175"/>
      <c r="Q443" s="175"/>
      <c r="R443" s="175"/>
      <c r="S443" s="175"/>
      <c r="T443" s="175"/>
      <c r="U443" s="175"/>
      <c r="V443" s="175"/>
      <c r="W443" s="175"/>
      <c r="X443" s="175"/>
      <c r="Y443" s="175"/>
      <c r="Z443" s="175"/>
      <c r="AA443" s="175"/>
    </row>
    <row r="444">
      <c r="A444" s="187"/>
      <c r="D444" s="187"/>
      <c r="O444" s="175"/>
      <c r="P444" s="175"/>
      <c r="Q444" s="175"/>
      <c r="R444" s="175"/>
      <c r="S444" s="175"/>
      <c r="T444" s="175"/>
      <c r="U444" s="175"/>
      <c r="V444" s="175"/>
      <c r="W444" s="175"/>
      <c r="X444" s="175"/>
      <c r="Y444" s="175"/>
      <c r="Z444" s="175"/>
      <c r="AA444" s="175"/>
    </row>
    <row r="445">
      <c r="A445" s="187"/>
      <c r="D445" s="187"/>
      <c r="O445" s="175"/>
      <c r="P445" s="175"/>
      <c r="Q445" s="175"/>
      <c r="R445" s="175"/>
      <c r="S445" s="175"/>
      <c r="T445" s="175"/>
      <c r="U445" s="175"/>
      <c r="V445" s="175"/>
      <c r="W445" s="175"/>
      <c r="X445" s="175"/>
      <c r="Y445" s="175"/>
      <c r="Z445" s="175"/>
      <c r="AA445" s="175"/>
    </row>
    <row r="446">
      <c r="A446" s="187"/>
      <c r="D446" s="187"/>
      <c r="O446" s="175"/>
      <c r="P446" s="175"/>
      <c r="Q446" s="175"/>
      <c r="R446" s="175"/>
      <c r="S446" s="175"/>
      <c r="T446" s="175"/>
      <c r="U446" s="175"/>
      <c r="V446" s="175"/>
      <c r="W446" s="175"/>
      <c r="X446" s="175"/>
      <c r="Y446" s="175"/>
      <c r="Z446" s="175"/>
      <c r="AA446" s="175"/>
    </row>
    <row r="447">
      <c r="A447" s="187"/>
      <c r="D447" s="187"/>
      <c r="O447" s="175"/>
      <c r="P447" s="175"/>
      <c r="Q447" s="175"/>
      <c r="R447" s="175"/>
      <c r="S447" s="175"/>
      <c r="T447" s="175"/>
      <c r="U447" s="175"/>
      <c r="V447" s="175"/>
      <c r="W447" s="175"/>
      <c r="X447" s="175"/>
      <c r="Y447" s="175"/>
      <c r="Z447" s="175"/>
      <c r="AA447" s="175"/>
    </row>
    <row r="448">
      <c r="A448" s="187"/>
      <c r="D448" s="187"/>
      <c r="O448" s="175"/>
      <c r="P448" s="175"/>
      <c r="Q448" s="175"/>
      <c r="R448" s="175"/>
      <c r="S448" s="175"/>
      <c r="T448" s="175"/>
      <c r="U448" s="175"/>
      <c r="V448" s="175"/>
      <c r="W448" s="175"/>
      <c r="X448" s="175"/>
      <c r="Y448" s="175"/>
      <c r="Z448" s="175"/>
      <c r="AA448" s="175"/>
    </row>
    <row r="449">
      <c r="A449" s="187"/>
      <c r="D449" s="187"/>
      <c r="O449" s="175"/>
      <c r="P449" s="175"/>
      <c r="Q449" s="175"/>
      <c r="R449" s="175"/>
      <c r="S449" s="175"/>
      <c r="T449" s="175"/>
      <c r="U449" s="175"/>
      <c r="V449" s="175"/>
      <c r="W449" s="175"/>
      <c r="X449" s="175"/>
      <c r="Y449" s="175"/>
      <c r="Z449" s="175"/>
      <c r="AA449" s="175"/>
    </row>
    <row r="450">
      <c r="A450" s="187"/>
      <c r="D450" s="187"/>
      <c r="O450" s="175"/>
      <c r="P450" s="175"/>
      <c r="Q450" s="175"/>
      <c r="R450" s="175"/>
      <c r="S450" s="175"/>
      <c r="T450" s="175"/>
      <c r="U450" s="175"/>
      <c r="V450" s="175"/>
      <c r="W450" s="175"/>
      <c r="X450" s="175"/>
      <c r="Y450" s="175"/>
      <c r="Z450" s="175"/>
      <c r="AA450" s="175"/>
    </row>
    <row r="451">
      <c r="A451" s="187"/>
      <c r="D451" s="187"/>
      <c r="O451" s="175"/>
      <c r="P451" s="175"/>
      <c r="Q451" s="175"/>
      <c r="R451" s="175"/>
      <c r="S451" s="175"/>
      <c r="T451" s="175"/>
      <c r="U451" s="175"/>
      <c r="V451" s="175"/>
      <c r="W451" s="175"/>
      <c r="X451" s="175"/>
      <c r="Y451" s="175"/>
      <c r="Z451" s="175"/>
      <c r="AA451" s="175"/>
    </row>
    <row r="452">
      <c r="A452" s="187"/>
      <c r="D452" s="187"/>
      <c r="O452" s="175"/>
      <c r="P452" s="175"/>
      <c r="Q452" s="175"/>
      <c r="R452" s="175"/>
      <c r="S452" s="175"/>
      <c r="T452" s="175"/>
      <c r="U452" s="175"/>
      <c r="V452" s="175"/>
      <c r="W452" s="175"/>
      <c r="X452" s="175"/>
      <c r="Y452" s="175"/>
      <c r="Z452" s="175"/>
      <c r="AA452" s="175"/>
    </row>
    <row r="453">
      <c r="A453" s="187"/>
      <c r="D453" s="187"/>
      <c r="O453" s="175"/>
      <c r="P453" s="175"/>
      <c r="Q453" s="175"/>
      <c r="R453" s="175"/>
      <c r="S453" s="175"/>
      <c r="T453" s="175"/>
      <c r="U453" s="175"/>
      <c r="V453" s="175"/>
      <c r="W453" s="175"/>
      <c r="X453" s="175"/>
      <c r="Y453" s="175"/>
      <c r="Z453" s="175"/>
      <c r="AA453" s="175"/>
    </row>
    <row r="454">
      <c r="A454" s="187"/>
      <c r="D454" s="187"/>
      <c r="O454" s="175"/>
      <c r="P454" s="175"/>
      <c r="Q454" s="175"/>
      <c r="R454" s="175"/>
      <c r="S454" s="175"/>
      <c r="T454" s="175"/>
      <c r="U454" s="175"/>
      <c r="V454" s="175"/>
      <c r="W454" s="175"/>
      <c r="X454" s="175"/>
      <c r="Y454" s="175"/>
      <c r="Z454" s="175"/>
      <c r="AA454" s="175"/>
    </row>
    <row r="455">
      <c r="A455" s="187"/>
      <c r="D455" s="187"/>
      <c r="O455" s="175"/>
      <c r="P455" s="175"/>
      <c r="Q455" s="175"/>
      <c r="R455" s="175"/>
      <c r="S455" s="175"/>
      <c r="T455" s="175"/>
      <c r="U455" s="175"/>
      <c r="V455" s="175"/>
      <c r="W455" s="175"/>
      <c r="X455" s="175"/>
      <c r="Y455" s="175"/>
      <c r="Z455" s="175"/>
      <c r="AA455" s="175"/>
    </row>
    <row r="456">
      <c r="A456" s="187"/>
      <c r="D456" s="187"/>
      <c r="O456" s="175"/>
      <c r="P456" s="175"/>
      <c r="Q456" s="175"/>
      <c r="R456" s="175"/>
      <c r="S456" s="175"/>
      <c r="T456" s="175"/>
      <c r="U456" s="175"/>
      <c r="V456" s="175"/>
      <c r="W456" s="175"/>
      <c r="X456" s="175"/>
      <c r="Y456" s="175"/>
      <c r="Z456" s="175"/>
      <c r="AA456" s="175"/>
    </row>
    <row r="457">
      <c r="A457" s="187"/>
      <c r="D457" s="187"/>
      <c r="O457" s="175"/>
      <c r="P457" s="175"/>
      <c r="Q457" s="175"/>
      <c r="R457" s="175"/>
      <c r="S457" s="175"/>
      <c r="T457" s="175"/>
      <c r="U457" s="175"/>
      <c r="V457" s="175"/>
      <c r="W457" s="175"/>
      <c r="X457" s="175"/>
      <c r="Y457" s="175"/>
      <c r="Z457" s="175"/>
      <c r="AA457" s="175"/>
    </row>
    <row r="458">
      <c r="A458" s="187"/>
      <c r="D458" s="187"/>
      <c r="O458" s="175"/>
      <c r="P458" s="175"/>
      <c r="Q458" s="175"/>
      <c r="R458" s="175"/>
      <c r="S458" s="175"/>
      <c r="T458" s="175"/>
      <c r="U458" s="175"/>
      <c r="V458" s="175"/>
      <c r="W458" s="175"/>
      <c r="X458" s="175"/>
      <c r="Y458" s="175"/>
      <c r="Z458" s="175"/>
      <c r="AA458" s="175"/>
    </row>
    <row r="459">
      <c r="A459" s="187"/>
      <c r="D459" s="187"/>
      <c r="O459" s="175"/>
      <c r="P459" s="175"/>
      <c r="Q459" s="175"/>
      <c r="R459" s="175"/>
      <c r="S459" s="175"/>
      <c r="T459" s="175"/>
      <c r="U459" s="175"/>
      <c r="V459" s="175"/>
      <c r="W459" s="175"/>
      <c r="X459" s="175"/>
      <c r="Y459" s="175"/>
      <c r="Z459" s="175"/>
      <c r="AA459" s="175"/>
    </row>
    <row r="460">
      <c r="A460" s="187"/>
      <c r="D460" s="187"/>
      <c r="O460" s="175"/>
      <c r="P460" s="175"/>
      <c r="Q460" s="175"/>
      <c r="R460" s="175"/>
      <c r="S460" s="175"/>
      <c r="T460" s="175"/>
      <c r="U460" s="175"/>
      <c r="V460" s="175"/>
      <c r="W460" s="175"/>
      <c r="X460" s="175"/>
      <c r="Y460" s="175"/>
      <c r="Z460" s="175"/>
      <c r="AA460" s="175"/>
    </row>
    <row r="461">
      <c r="A461" s="187"/>
      <c r="D461" s="187"/>
      <c r="O461" s="175"/>
      <c r="P461" s="175"/>
      <c r="Q461" s="175"/>
      <c r="R461" s="175"/>
      <c r="S461" s="175"/>
      <c r="T461" s="175"/>
      <c r="U461" s="175"/>
      <c r="V461" s="175"/>
      <c r="W461" s="175"/>
      <c r="X461" s="175"/>
      <c r="Y461" s="175"/>
      <c r="Z461" s="175"/>
      <c r="AA461" s="175"/>
    </row>
    <row r="462">
      <c r="A462" s="187"/>
      <c r="D462" s="187"/>
      <c r="O462" s="175"/>
      <c r="P462" s="175"/>
      <c r="Q462" s="175"/>
      <c r="R462" s="175"/>
      <c r="S462" s="175"/>
      <c r="T462" s="175"/>
      <c r="U462" s="175"/>
      <c r="V462" s="175"/>
      <c r="W462" s="175"/>
      <c r="X462" s="175"/>
      <c r="Y462" s="175"/>
      <c r="Z462" s="175"/>
      <c r="AA462" s="175"/>
    </row>
    <row r="463">
      <c r="A463" s="187"/>
      <c r="D463" s="187"/>
      <c r="O463" s="175"/>
      <c r="P463" s="175"/>
      <c r="Q463" s="175"/>
      <c r="R463" s="175"/>
      <c r="S463" s="175"/>
      <c r="T463" s="175"/>
      <c r="U463" s="175"/>
      <c r="V463" s="175"/>
      <c r="W463" s="175"/>
      <c r="X463" s="175"/>
      <c r="Y463" s="175"/>
      <c r="Z463" s="175"/>
      <c r="AA463" s="175"/>
    </row>
    <row r="464">
      <c r="A464" s="187"/>
      <c r="D464" s="187"/>
      <c r="O464" s="175"/>
      <c r="P464" s="175"/>
      <c r="Q464" s="175"/>
      <c r="R464" s="175"/>
      <c r="S464" s="175"/>
      <c r="T464" s="175"/>
      <c r="U464" s="175"/>
      <c r="V464" s="175"/>
      <c r="W464" s="175"/>
      <c r="X464" s="175"/>
      <c r="Y464" s="175"/>
      <c r="Z464" s="175"/>
      <c r="AA464" s="175"/>
    </row>
    <row r="465">
      <c r="A465" s="187"/>
      <c r="D465" s="187"/>
      <c r="O465" s="175"/>
      <c r="P465" s="175"/>
      <c r="Q465" s="175"/>
      <c r="R465" s="175"/>
      <c r="S465" s="175"/>
      <c r="T465" s="175"/>
      <c r="U465" s="175"/>
      <c r="V465" s="175"/>
      <c r="W465" s="175"/>
      <c r="X465" s="175"/>
      <c r="Y465" s="175"/>
      <c r="Z465" s="175"/>
      <c r="AA465" s="175"/>
    </row>
    <row r="466">
      <c r="A466" s="187"/>
      <c r="D466" s="187"/>
      <c r="O466" s="175"/>
      <c r="P466" s="175"/>
      <c r="Q466" s="175"/>
      <c r="R466" s="175"/>
      <c r="S466" s="175"/>
      <c r="T466" s="175"/>
      <c r="U466" s="175"/>
      <c r="V466" s="175"/>
      <c r="W466" s="175"/>
      <c r="X466" s="175"/>
      <c r="Y466" s="175"/>
      <c r="Z466" s="175"/>
      <c r="AA466" s="175"/>
    </row>
    <row r="467">
      <c r="A467" s="187"/>
      <c r="D467" s="187"/>
      <c r="O467" s="175"/>
      <c r="P467" s="175"/>
      <c r="Q467" s="175"/>
      <c r="R467" s="175"/>
      <c r="S467" s="175"/>
      <c r="T467" s="175"/>
      <c r="U467" s="175"/>
      <c r="V467" s="175"/>
      <c r="W467" s="175"/>
      <c r="X467" s="175"/>
      <c r="Y467" s="175"/>
      <c r="Z467" s="175"/>
      <c r="AA467" s="175"/>
    </row>
    <row r="468">
      <c r="A468" s="187"/>
      <c r="D468" s="187"/>
      <c r="O468" s="175"/>
      <c r="P468" s="175"/>
      <c r="Q468" s="175"/>
      <c r="R468" s="175"/>
      <c r="S468" s="175"/>
      <c r="T468" s="175"/>
      <c r="U468" s="175"/>
      <c r="V468" s="175"/>
      <c r="W468" s="175"/>
      <c r="X468" s="175"/>
      <c r="Y468" s="175"/>
      <c r="Z468" s="175"/>
      <c r="AA468" s="175"/>
    </row>
    <row r="469">
      <c r="A469" s="187"/>
      <c r="D469" s="187"/>
      <c r="O469" s="175"/>
      <c r="P469" s="175"/>
      <c r="Q469" s="175"/>
      <c r="R469" s="175"/>
      <c r="S469" s="175"/>
      <c r="T469" s="175"/>
      <c r="U469" s="175"/>
      <c r="V469" s="175"/>
      <c r="W469" s="175"/>
      <c r="X469" s="175"/>
      <c r="Y469" s="175"/>
      <c r="Z469" s="175"/>
      <c r="AA469" s="175"/>
    </row>
    <row r="470">
      <c r="A470" s="187"/>
      <c r="D470" s="187"/>
      <c r="O470" s="175"/>
      <c r="P470" s="175"/>
      <c r="Q470" s="175"/>
      <c r="R470" s="175"/>
      <c r="S470" s="175"/>
      <c r="T470" s="175"/>
      <c r="U470" s="175"/>
      <c r="V470" s="175"/>
      <c r="W470" s="175"/>
      <c r="X470" s="175"/>
      <c r="Y470" s="175"/>
      <c r="Z470" s="175"/>
      <c r="AA470" s="175"/>
    </row>
    <row r="471">
      <c r="A471" s="187"/>
      <c r="D471" s="187"/>
      <c r="O471" s="175"/>
      <c r="P471" s="175"/>
      <c r="Q471" s="175"/>
      <c r="R471" s="175"/>
      <c r="S471" s="175"/>
      <c r="T471" s="175"/>
      <c r="U471" s="175"/>
      <c r="V471" s="175"/>
      <c r="W471" s="175"/>
      <c r="X471" s="175"/>
      <c r="Y471" s="175"/>
      <c r="Z471" s="175"/>
      <c r="AA471" s="175"/>
    </row>
    <row r="472">
      <c r="A472" s="187"/>
      <c r="D472" s="187"/>
      <c r="O472" s="175"/>
      <c r="P472" s="175"/>
      <c r="Q472" s="175"/>
      <c r="R472" s="175"/>
      <c r="S472" s="175"/>
      <c r="T472" s="175"/>
      <c r="U472" s="175"/>
      <c r="V472" s="175"/>
      <c r="W472" s="175"/>
      <c r="X472" s="175"/>
      <c r="Y472" s="175"/>
      <c r="Z472" s="175"/>
      <c r="AA472" s="175"/>
    </row>
    <row r="473">
      <c r="A473" s="187"/>
      <c r="D473" s="187"/>
      <c r="O473" s="175"/>
      <c r="P473" s="175"/>
      <c r="Q473" s="175"/>
      <c r="R473" s="175"/>
      <c r="S473" s="175"/>
      <c r="T473" s="175"/>
      <c r="U473" s="175"/>
      <c r="V473" s="175"/>
      <c r="W473" s="175"/>
      <c r="X473" s="175"/>
      <c r="Y473" s="175"/>
      <c r="Z473" s="175"/>
      <c r="AA473" s="175"/>
    </row>
    <row r="474">
      <c r="A474" s="187"/>
      <c r="D474" s="187"/>
      <c r="O474" s="175"/>
      <c r="P474" s="175"/>
      <c r="Q474" s="175"/>
      <c r="R474" s="175"/>
      <c r="S474" s="175"/>
      <c r="T474" s="175"/>
      <c r="U474" s="175"/>
      <c r="V474" s="175"/>
      <c r="W474" s="175"/>
      <c r="X474" s="175"/>
      <c r="Y474" s="175"/>
      <c r="Z474" s="175"/>
      <c r="AA474" s="175"/>
    </row>
    <row r="475">
      <c r="A475" s="187"/>
      <c r="D475" s="187"/>
      <c r="O475" s="175"/>
      <c r="P475" s="175"/>
      <c r="Q475" s="175"/>
      <c r="R475" s="175"/>
      <c r="S475" s="175"/>
      <c r="T475" s="175"/>
      <c r="U475" s="175"/>
      <c r="V475" s="175"/>
      <c r="W475" s="175"/>
      <c r="X475" s="175"/>
      <c r="Y475" s="175"/>
      <c r="Z475" s="175"/>
      <c r="AA475" s="175"/>
    </row>
    <row r="476">
      <c r="A476" s="187"/>
      <c r="D476" s="187"/>
      <c r="O476" s="175"/>
      <c r="P476" s="175"/>
      <c r="Q476" s="175"/>
      <c r="R476" s="175"/>
      <c r="S476" s="175"/>
      <c r="T476" s="175"/>
      <c r="U476" s="175"/>
      <c r="V476" s="175"/>
      <c r="W476" s="175"/>
      <c r="X476" s="175"/>
      <c r="Y476" s="175"/>
      <c r="Z476" s="175"/>
      <c r="AA476" s="175"/>
    </row>
    <row r="477">
      <c r="A477" s="187"/>
      <c r="D477" s="187"/>
      <c r="O477" s="175"/>
      <c r="P477" s="175"/>
      <c r="Q477" s="175"/>
      <c r="R477" s="175"/>
      <c r="S477" s="175"/>
      <c r="T477" s="175"/>
      <c r="U477" s="175"/>
      <c r="V477" s="175"/>
      <c r="W477" s="175"/>
      <c r="X477" s="175"/>
      <c r="Y477" s="175"/>
      <c r="Z477" s="175"/>
      <c r="AA477" s="175"/>
    </row>
    <row r="478">
      <c r="A478" s="187"/>
      <c r="D478" s="187"/>
      <c r="O478" s="175"/>
      <c r="P478" s="175"/>
      <c r="Q478" s="175"/>
      <c r="R478" s="175"/>
      <c r="S478" s="175"/>
      <c r="T478" s="175"/>
      <c r="U478" s="175"/>
      <c r="V478" s="175"/>
      <c r="W478" s="175"/>
      <c r="X478" s="175"/>
      <c r="Y478" s="175"/>
      <c r="Z478" s="175"/>
      <c r="AA478" s="175"/>
    </row>
    <row r="479">
      <c r="A479" s="187"/>
      <c r="D479" s="187"/>
      <c r="O479" s="175"/>
      <c r="P479" s="175"/>
      <c r="Q479" s="175"/>
      <c r="R479" s="175"/>
      <c r="S479" s="175"/>
      <c r="T479" s="175"/>
      <c r="U479" s="175"/>
      <c r="V479" s="175"/>
      <c r="W479" s="175"/>
      <c r="X479" s="175"/>
      <c r="Y479" s="175"/>
      <c r="Z479" s="175"/>
      <c r="AA479" s="175"/>
    </row>
    <row r="480">
      <c r="A480" s="187"/>
      <c r="D480" s="187"/>
      <c r="O480" s="175"/>
      <c r="P480" s="175"/>
      <c r="Q480" s="175"/>
      <c r="R480" s="175"/>
      <c r="S480" s="175"/>
      <c r="T480" s="175"/>
      <c r="U480" s="175"/>
      <c r="V480" s="175"/>
      <c r="W480" s="175"/>
      <c r="X480" s="175"/>
      <c r="Y480" s="175"/>
      <c r="Z480" s="175"/>
      <c r="AA480" s="175"/>
    </row>
    <row r="481">
      <c r="A481" s="187"/>
      <c r="D481" s="187"/>
      <c r="O481" s="175"/>
      <c r="P481" s="175"/>
      <c r="Q481" s="175"/>
      <c r="R481" s="175"/>
      <c r="S481" s="175"/>
      <c r="T481" s="175"/>
      <c r="U481" s="175"/>
      <c r="V481" s="175"/>
      <c r="W481" s="175"/>
      <c r="X481" s="175"/>
      <c r="Y481" s="175"/>
      <c r="Z481" s="175"/>
      <c r="AA481" s="175"/>
    </row>
    <row r="482">
      <c r="A482" s="187"/>
      <c r="D482" s="187"/>
      <c r="O482" s="175"/>
      <c r="P482" s="175"/>
      <c r="Q482" s="175"/>
      <c r="R482" s="175"/>
      <c r="S482" s="175"/>
      <c r="T482" s="175"/>
      <c r="U482" s="175"/>
      <c r="V482" s="175"/>
      <c r="W482" s="175"/>
      <c r="X482" s="175"/>
      <c r="Y482" s="175"/>
      <c r="Z482" s="175"/>
      <c r="AA482" s="175"/>
    </row>
    <row r="483">
      <c r="A483" s="187"/>
      <c r="D483" s="187"/>
      <c r="O483" s="175"/>
      <c r="P483" s="175"/>
      <c r="Q483" s="175"/>
      <c r="R483" s="175"/>
      <c r="S483" s="175"/>
      <c r="T483" s="175"/>
      <c r="U483" s="175"/>
      <c r="V483" s="175"/>
      <c r="W483" s="175"/>
      <c r="X483" s="175"/>
      <c r="Y483" s="175"/>
      <c r="Z483" s="175"/>
      <c r="AA483" s="175"/>
    </row>
    <row r="484">
      <c r="A484" s="187"/>
      <c r="D484" s="187"/>
      <c r="O484" s="175"/>
      <c r="P484" s="175"/>
      <c r="Q484" s="175"/>
      <c r="R484" s="175"/>
      <c r="S484" s="175"/>
      <c r="T484" s="175"/>
      <c r="U484" s="175"/>
      <c r="V484" s="175"/>
      <c r="W484" s="175"/>
      <c r="X484" s="175"/>
      <c r="Y484" s="175"/>
      <c r="Z484" s="175"/>
      <c r="AA484" s="175"/>
    </row>
    <row r="485">
      <c r="A485" s="187"/>
      <c r="D485" s="187"/>
      <c r="O485" s="175"/>
      <c r="P485" s="175"/>
      <c r="Q485" s="175"/>
      <c r="R485" s="175"/>
      <c r="S485" s="175"/>
      <c r="T485" s="175"/>
      <c r="U485" s="175"/>
      <c r="V485" s="175"/>
      <c r="W485" s="175"/>
      <c r="X485" s="175"/>
      <c r="Y485" s="175"/>
      <c r="Z485" s="175"/>
      <c r="AA485" s="175"/>
    </row>
    <row r="486">
      <c r="A486" s="187"/>
      <c r="D486" s="187"/>
      <c r="O486" s="175"/>
      <c r="P486" s="175"/>
      <c r="Q486" s="175"/>
      <c r="R486" s="175"/>
      <c r="S486" s="175"/>
      <c r="T486" s="175"/>
      <c r="U486" s="175"/>
      <c r="V486" s="175"/>
      <c r="W486" s="175"/>
      <c r="X486" s="175"/>
      <c r="Y486" s="175"/>
      <c r="Z486" s="175"/>
      <c r="AA486" s="175"/>
    </row>
    <row r="487">
      <c r="A487" s="187"/>
      <c r="D487" s="187"/>
      <c r="O487" s="175"/>
      <c r="P487" s="175"/>
      <c r="Q487" s="175"/>
      <c r="R487" s="175"/>
      <c r="S487" s="175"/>
      <c r="T487" s="175"/>
      <c r="U487" s="175"/>
      <c r="V487" s="175"/>
      <c r="W487" s="175"/>
      <c r="X487" s="175"/>
      <c r="Y487" s="175"/>
      <c r="Z487" s="175"/>
      <c r="AA487" s="175"/>
    </row>
    <row r="488">
      <c r="A488" s="187"/>
      <c r="D488" s="187"/>
      <c r="O488" s="175"/>
      <c r="P488" s="175"/>
      <c r="Q488" s="175"/>
      <c r="R488" s="175"/>
      <c r="S488" s="175"/>
      <c r="T488" s="175"/>
      <c r="U488" s="175"/>
      <c r="V488" s="175"/>
      <c r="W488" s="175"/>
      <c r="X488" s="175"/>
      <c r="Y488" s="175"/>
      <c r="Z488" s="175"/>
      <c r="AA488" s="175"/>
    </row>
    <row r="489">
      <c r="A489" s="187"/>
      <c r="D489" s="187"/>
      <c r="O489" s="175"/>
      <c r="P489" s="175"/>
      <c r="Q489" s="175"/>
      <c r="R489" s="175"/>
      <c r="S489" s="175"/>
      <c r="T489" s="175"/>
      <c r="U489" s="175"/>
      <c r="V489" s="175"/>
      <c r="W489" s="175"/>
      <c r="X489" s="175"/>
      <c r="Y489" s="175"/>
      <c r="Z489" s="175"/>
      <c r="AA489" s="175"/>
    </row>
    <row r="490">
      <c r="A490" s="187"/>
      <c r="D490" s="187"/>
      <c r="O490" s="175"/>
      <c r="P490" s="175"/>
      <c r="Q490" s="175"/>
      <c r="R490" s="175"/>
      <c r="S490" s="175"/>
      <c r="T490" s="175"/>
      <c r="U490" s="175"/>
      <c r="V490" s="175"/>
      <c r="W490" s="175"/>
      <c r="X490" s="175"/>
      <c r="Y490" s="175"/>
      <c r="Z490" s="175"/>
      <c r="AA490" s="175"/>
    </row>
    <row r="491">
      <c r="A491" s="187"/>
      <c r="D491" s="187"/>
      <c r="O491" s="175"/>
      <c r="P491" s="175"/>
      <c r="Q491" s="175"/>
      <c r="R491" s="175"/>
      <c r="S491" s="175"/>
      <c r="T491" s="175"/>
      <c r="U491" s="175"/>
      <c r="V491" s="175"/>
      <c r="W491" s="175"/>
      <c r="X491" s="175"/>
      <c r="Y491" s="175"/>
      <c r="Z491" s="175"/>
      <c r="AA491" s="175"/>
    </row>
    <row r="492">
      <c r="A492" s="187"/>
      <c r="D492" s="187"/>
      <c r="O492" s="175"/>
      <c r="P492" s="175"/>
      <c r="Q492" s="175"/>
      <c r="R492" s="175"/>
      <c r="S492" s="175"/>
      <c r="T492" s="175"/>
      <c r="U492" s="175"/>
      <c r="V492" s="175"/>
      <c r="W492" s="175"/>
      <c r="X492" s="175"/>
      <c r="Y492" s="175"/>
      <c r="Z492" s="175"/>
      <c r="AA492" s="175"/>
    </row>
    <row r="493">
      <c r="A493" s="187"/>
      <c r="D493" s="187"/>
      <c r="O493" s="175"/>
      <c r="P493" s="175"/>
      <c r="Q493" s="175"/>
      <c r="R493" s="175"/>
      <c r="S493" s="175"/>
      <c r="T493" s="175"/>
      <c r="U493" s="175"/>
      <c r="V493" s="175"/>
      <c r="W493" s="175"/>
      <c r="X493" s="175"/>
      <c r="Y493" s="175"/>
      <c r="Z493" s="175"/>
      <c r="AA493" s="175"/>
    </row>
    <row r="494">
      <c r="A494" s="187"/>
      <c r="D494" s="187"/>
      <c r="O494" s="175"/>
      <c r="P494" s="175"/>
      <c r="Q494" s="175"/>
      <c r="R494" s="175"/>
      <c r="S494" s="175"/>
      <c r="T494" s="175"/>
      <c r="U494" s="175"/>
      <c r="V494" s="175"/>
      <c r="W494" s="175"/>
      <c r="X494" s="175"/>
      <c r="Y494" s="175"/>
      <c r="Z494" s="175"/>
      <c r="AA494" s="175"/>
    </row>
    <row r="495">
      <c r="A495" s="187"/>
      <c r="D495" s="187"/>
      <c r="O495" s="175"/>
      <c r="P495" s="175"/>
      <c r="Q495" s="175"/>
      <c r="R495" s="175"/>
      <c r="S495" s="175"/>
      <c r="T495" s="175"/>
      <c r="U495" s="175"/>
      <c r="V495" s="175"/>
      <c r="W495" s="175"/>
      <c r="X495" s="175"/>
      <c r="Y495" s="175"/>
      <c r="Z495" s="175"/>
      <c r="AA495" s="175"/>
    </row>
    <row r="496">
      <c r="A496" s="187"/>
      <c r="D496" s="187"/>
      <c r="O496" s="175"/>
      <c r="P496" s="175"/>
      <c r="Q496" s="175"/>
      <c r="R496" s="175"/>
      <c r="S496" s="175"/>
      <c r="T496" s="175"/>
      <c r="U496" s="175"/>
      <c r="V496" s="175"/>
      <c r="W496" s="175"/>
      <c r="X496" s="175"/>
      <c r="Y496" s="175"/>
      <c r="Z496" s="175"/>
      <c r="AA496" s="175"/>
    </row>
    <row r="497">
      <c r="A497" s="187"/>
      <c r="D497" s="187"/>
      <c r="O497" s="175"/>
      <c r="P497" s="175"/>
      <c r="Q497" s="175"/>
      <c r="R497" s="175"/>
      <c r="S497" s="175"/>
      <c r="T497" s="175"/>
      <c r="U497" s="175"/>
      <c r="V497" s="175"/>
      <c r="W497" s="175"/>
      <c r="X497" s="175"/>
      <c r="Y497" s="175"/>
      <c r="Z497" s="175"/>
      <c r="AA497" s="175"/>
    </row>
    <row r="498">
      <c r="A498" s="187"/>
      <c r="D498" s="187"/>
      <c r="O498" s="175"/>
      <c r="P498" s="175"/>
      <c r="Q498" s="175"/>
      <c r="R498" s="175"/>
      <c r="S498" s="175"/>
      <c r="T498" s="175"/>
      <c r="U498" s="175"/>
      <c r="V498" s="175"/>
      <c r="W498" s="175"/>
      <c r="X498" s="175"/>
      <c r="Y498" s="175"/>
      <c r="Z498" s="175"/>
      <c r="AA498" s="175"/>
    </row>
    <row r="499">
      <c r="A499" s="187"/>
      <c r="D499" s="187"/>
      <c r="O499" s="175"/>
      <c r="P499" s="175"/>
      <c r="Q499" s="175"/>
      <c r="R499" s="175"/>
      <c r="S499" s="175"/>
      <c r="T499" s="175"/>
      <c r="U499" s="175"/>
      <c r="V499" s="175"/>
      <c r="W499" s="175"/>
      <c r="X499" s="175"/>
      <c r="Y499" s="175"/>
      <c r="Z499" s="175"/>
      <c r="AA499" s="175"/>
    </row>
    <row r="500">
      <c r="A500" s="187"/>
      <c r="D500" s="187"/>
      <c r="O500" s="175"/>
      <c r="P500" s="175"/>
      <c r="Q500" s="175"/>
      <c r="R500" s="175"/>
      <c r="S500" s="175"/>
      <c r="T500" s="175"/>
      <c r="U500" s="175"/>
      <c r="V500" s="175"/>
      <c r="W500" s="175"/>
      <c r="X500" s="175"/>
      <c r="Y500" s="175"/>
      <c r="Z500" s="175"/>
      <c r="AA500" s="175"/>
    </row>
    <row r="501">
      <c r="A501" s="187"/>
      <c r="D501" s="187"/>
      <c r="O501" s="175"/>
      <c r="P501" s="175"/>
      <c r="Q501" s="175"/>
      <c r="R501" s="175"/>
      <c r="S501" s="175"/>
      <c r="T501" s="175"/>
      <c r="U501" s="175"/>
      <c r="V501" s="175"/>
      <c r="W501" s="175"/>
      <c r="X501" s="175"/>
      <c r="Y501" s="175"/>
      <c r="Z501" s="175"/>
      <c r="AA501" s="175"/>
    </row>
    <row r="502">
      <c r="A502" s="187"/>
      <c r="D502" s="187"/>
      <c r="O502" s="175"/>
      <c r="P502" s="175"/>
      <c r="Q502" s="175"/>
      <c r="R502" s="175"/>
      <c r="S502" s="175"/>
      <c r="T502" s="175"/>
      <c r="U502" s="175"/>
      <c r="V502" s="175"/>
      <c r="W502" s="175"/>
      <c r="X502" s="175"/>
      <c r="Y502" s="175"/>
      <c r="Z502" s="175"/>
      <c r="AA502" s="175"/>
    </row>
    <row r="503">
      <c r="A503" s="187"/>
      <c r="D503" s="187"/>
      <c r="O503" s="175"/>
      <c r="P503" s="175"/>
      <c r="Q503" s="175"/>
      <c r="R503" s="175"/>
      <c r="S503" s="175"/>
      <c r="T503" s="175"/>
      <c r="U503" s="175"/>
      <c r="V503" s="175"/>
      <c r="W503" s="175"/>
      <c r="X503" s="175"/>
      <c r="Y503" s="175"/>
      <c r="Z503" s="175"/>
      <c r="AA503" s="175"/>
    </row>
    <row r="504">
      <c r="A504" s="187"/>
      <c r="D504" s="187"/>
      <c r="O504" s="175"/>
      <c r="P504" s="175"/>
      <c r="Q504" s="175"/>
      <c r="R504" s="175"/>
      <c r="S504" s="175"/>
      <c r="T504" s="175"/>
      <c r="U504" s="175"/>
      <c r="V504" s="175"/>
      <c r="W504" s="175"/>
      <c r="X504" s="175"/>
      <c r="Y504" s="175"/>
      <c r="Z504" s="175"/>
      <c r="AA504" s="175"/>
    </row>
    <row r="505">
      <c r="A505" s="187"/>
      <c r="D505" s="187"/>
      <c r="O505" s="175"/>
      <c r="P505" s="175"/>
      <c r="Q505" s="175"/>
      <c r="R505" s="175"/>
      <c r="S505" s="175"/>
      <c r="T505" s="175"/>
      <c r="U505" s="175"/>
      <c r="V505" s="175"/>
      <c r="W505" s="175"/>
      <c r="X505" s="175"/>
      <c r="Y505" s="175"/>
      <c r="Z505" s="175"/>
      <c r="AA505" s="175"/>
    </row>
    <row r="506">
      <c r="A506" s="187"/>
      <c r="D506" s="187"/>
      <c r="O506" s="175"/>
      <c r="P506" s="175"/>
      <c r="Q506" s="175"/>
      <c r="R506" s="175"/>
      <c r="S506" s="175"/>
      <c r="T506" s="175"/>
      <c r="U506" s="175"/>
      <c r="V506" s="175"/>
      <c r="W506" s="175"/>
      <c r="X506" s="175"/>
      <c r="Y506" s="175"/>
      <c r="Z506" s="175"/>
      <c r="AA506" s="175"/>
    </row>
    <row r="507">
      <c r="A507" s="187"/>
      <c r="D507" s="187"/>
      <c r="O507" s="175"/>
      <c r="P507" s="175"/>
      <c r="Q507" s="175"/>
      <c r="R507" s="175"/>
      <c r="S507" s="175"/>
      <c r="T507" s="175"/>
      <c r="U507" s="175"/>
      <c r="V507" s="175"/>
      <c r="W507" s="175"/>
      <c r="X507" s="175"/>
      <c r="Y507" s="175"/>
      <c r="Z507" s="175"/>
      <c r="AA507" s="175"/>
    </row>
    <row r="508">
      <c r="A508" s="187"/>
      <c r="D508" s="187"/>
      <c r="O508" s="175"/>
      <c r="P508" s="175"/>
      <c r="Q508" s="175"/>
      <c r="R508" s="175"/>
      <c r="S508" s="175"/>
      <c r="T508" s="175"/>
      <c r="U508" s="175"/>
      <c r="V508" s="175"/>
      <c r="W508" s="175"/>
      <c r="X508" s="175"/>
      <c r="Y508" s="175"/>
      <c r="Z508" s="175"/>
      <c r="AA508" s="175"/>
    </row>
    <row r="509">
      <c r="A509" s="187"/>
      <c r="D509" s="187"/>
      <c r="O509" s="175"/>
      <c r="P509" s="175"/>
      <c r="Q509" s="175"/>
      <c r="R509" s="175"/>
      <c r="S509" s="175"/>
      <c r="T509" s="175"/>
      <c r="U509" s="175"/>
      <c r="V509" s="175"/>
      <c r="W509" s="175"/>
      <c r="X509" s="175"/>
      <c r="Y509" s="175"/>
      <c r="Z509" s="175"/>
      <c r="AA509" s="175"/>
    </row>
    <row r="510">
      <c r="A510" s="187"/>
      <c r="D510" s="187"/>
      <c r="O510" s="175"/>
      <c r="P510" s="175"/>
      <c r="Q510" s="175"/>
      <c r="R510" s="175"/>
      <c r="S510" s="175"/>
      <c r="T510" s="175"/>
      <c r="U510" s="175"/>
      <c r="V510" s="175"/>
      <c r="W510" s="175"/>
      <c r="X510" s="175"/>
      <c r="Y510" s="175"/>
      <c r="Z510" s="175"/>
      <c r="AA510" s="175"/>
    </row>
    <row r="511">
      <c r="A511" s="187"/>
      <c r="D511" s="187"/>
      <c r="O511" s="175"/>
      <c r="P511" s="175"/>
      <c r="Q511" s="175"/>
      <c r="R511" s="175"/>
      <c r="S511" s="175"/>
      <c r="T511" s="175"/>
      <c r="U511" s="175"/>
      <c r="V511" s="175"/>
      <c r="W511" s="175"/>
      <c r="X511" s="175"/>
      <c r="Y511" s="175"/>
      <c r="Z511" s="175"/>
      <c r="AA511" s="175"/>
    </row>
    <row r="512">
      <c r="A512" s="187"/>
      <c r="D512" s="187"/>
      <c r="O512" s="175"/>
      <c r="P512" s="175"/>
      <c r="Q512" s="175"/>
      <c r="R512" s="175"/>
      <c r="S512" s="175"/>
      <c r="T512" s="175"/>
      <c r="U512" s="175"/>
      <c r="V512" s="175"/>
      <c r="W512" s="175"/>
      <c r="X512" s="175"/>
      <c r="Y512" s="175"/>
      <c r="Z512" s="175"/>
      <c r="AA512" s="175"/>
    </row>
    <row r="513">
      <c r="A513" s="187"/>
      <c r="D513" s="187"/>
      <c r="O513" s="175"/>
      <c r="P513" s="175"/>
      <c r="Q513" s="175"/>
      <c r="R513" s="175"/>
      <c r="S513" s="175"/>
      <c r="T513" s="175"/>
      <c r="U513" s="175"/>
      <c r="V513" s="175"/>
      <c r="W513" s="175"/>
      <c r="X513" s="175"/>
      <c r="Y513" s="175"/>
      <c r="Z513" s="175"/>
      <c r="AA513" s="175"/>
    </row>
    <row r="514">
      <c r="A514" s="187"/>
      <c r="D514" s="187"/>
      <c r="O514" s="175"/>
      <c r="P514" s="175"/>
      <c r="Q514" s="175"/>
      <c r="R514" s="175"/>
      <c r="S514" s="175"/>
      <c r="T514" s="175"/>
      <c r="U514" s="175"/>
      <c r="V514" s="175"/>
      <c r="W514" s="175"/>
      <c r="X514" s="175"/>
      <c r="Y514" s="175"/>
      <c r="Z514" s="175"/>
      <c r="AA514" s="175"/>
    </row>
    <row r="515">
      <c r="A515" s="187"/>
      <c r="D515" s="187"/>
      <c r="O515" s="175"/>
      <c r="P515" s="175"/>
      <c r="Q515" s="175"/>
      <c r="R515" s="175"/>
      <c r="S515" s="175"/>
      <c r="T515" s="175"/>
      <c r="U515" s="175"/>
      <c r="V515" s="175"/>
      <c r="W515" s="175"/>
      <c r="X515" s="175"/>
      <c r="Y515" s="175"/>
      <c r="Z515" s="175"/>
      <c r="AA515" s="175"/>
    </row>
    <row r="516">
      <c r="A516" s="187"/>
      <c r="D516" s="187"/>
      <c r="O516" s="175"/>
      <c r="P516" s="175"/>
      <c r="Q516" s="175"/>
      <c r="R516" s="175"/>
      <c r="S516" s="175"/>
      <c r="T516" s="175"/>
      <c r="U516" s="175"/>
      <c r="V516" s="175"/>
      <c r="W516" s="175"/>
      <c r="X516" s="175"/>
      <c r="Y516" s="175"/>
      <c r="Z516" s="175"/>
      <c r="AA516" s="175"/>
    </row>
    <row r="517">
      <c r="A517" s="187"/>
      <c r="D517" s="187"/>
      <c r="O517" s="175"/>
      <c r="P517" s="175"/>
      <c r="Q517" s="175"/>
      <c r="R517" s="175"/>
      <c r="S517" s="175"/>
      <c r="T517" s="175"/>
      <c r="U517" s="175"/>
      <c r="V517" s="175"/>
      <c r="W517" s="175"/>
      <c r="X517" s="175"/>
      <c r="Y517" s="175"/>
      <c r="Z517" s="175"/>
      <c r="AA517" s="175"/>
    </row>
    <row r="518">
      <c r="A518" s="187"/>
      <c r="D518" s="187"/>
      <c r="O518" s="175"/>
      <c r="P518" s="175"/>
      <c r="Q518" s="175"/>
      <c r="R518" s="175"/>
      <c r="S518" s="175"/>
      <c r="T518" s="175"/>
      <c r="U518" s="175"/>
      <c r="V518" s="175"/>
      <c r="W518" s="175"/>
      <c r="X518" s="175"/>
      <c r="Y518" s="175"/>
      <c r="Z518" s="175"/>
      <c r="AA518" s="175"/>
    </row>
    <row r="519">
      <c r="A519" s="187"/>
      <c r="D519" s="187"/>
      <c r="O519" s="175"/>
      <c r="P519" s="175"/>
      <c r="Q519" s="175"/>
      <c r="R519" s="175"/>
      <c r="S519" s="175"/>
      <c r="T519" s="175"/>
      <c r="U519" s="175"/>
      <c r="V519" s="175"/>
      <c r="W519" s="175"/>
      <c r="X519" s="175"/>
      <c r="Y519" s="175"/>
      <c r="Z519" s="175"/>
      <c r="AA519" s="175"/>
    </row>
    <row r="520">
      <c r="A520" s="187"/>
      <c r="D520" s="187"/>
      <c r="O520" s="175"/>
      <c r="P520" s="175"/>
      <c r="Q520" s="175"/>
      <c r="R520" s="175"/>
      <c r="S520" s="175"/>
      <c r="T520" s="175"/>
      <c r="U520" s="175"/>
      <c r="V520" s="175"/>
      <c r="W520" s="175"/>
      <c r="X520" s="175"/>
      <c r="Y520" s="175"/>
      <c r="Z520" s="175"/>
      <c r="AA520" s="175"/>
    </row>
    <row r="521">
      <c r="A521" s="187"/>
      <c r="D521" s="187"/>
      <c r="O521" s="175"/>
      <c r="P521" s="175"/>
      <c r="Q521" s="175"/>
      <c r="R521" s="175"/>
      <c r="S521" s="175"/>
      <c r="T521" s="175"/>
      <c r="U521" s="175"/>
      <c r="V521" s="175"/>
      <c r="W521" s="175"/>
      <c r="X521" s="175"/>
      <c r="Y521" s="175"/>
      <c r="Z521" s="175"/>
      <c r="AA521" s="175"/>
    </row>
    <row r="522">
      <c r="A522" s="187"/>
      <c r="D522" s="187"/>
      <c r="O522" s="175"/>
      <c r="P522" s="175"/>
      <c r="Q522" s="175"/>
      <c r="R522" s="175"/>
      <c r="S522" s="175"/>
      <c r="T522" s="175"/>
      <c r="U522" s="175"/>
      <c r="V522" s="175"/>
      <c r="W522" s="175"/>
      <c r="X522" s="175"/>
      <c r="Y522" s="175"/>
      <c r="Z522" s="175"/>
      <c r="AA522" s="175"/>
    </row>
    <row r="523">
      <c r="A523" s="187"/>
      <c r="D523" s="187"/>
      <c r="O523" s="175"/>
      <c r="P523" s="175"/>
      <c r="Q523" s="175"/>
      <c r="R523" s="175"/>
      <c r="S523" s="175"/>
      <c r="T523" s="175"/>
      <c r="U523" s="175"/>
      <c r="V523" s="175"/>
      <c r="W523" s="175"/>
      <c r="X523" s="175"/>
      <c r="Y523" s="175"/>
      <c r="Z523" s="175"/>
      <c r="AA523" s="175"/>
    </row>
    <row r="524">
      <c r="A524" s="187"/>
      <c r="D524" s="187"/>
      <c r="O524" s="175"/>
      <c r="P524" s="175"/>
      <c r="Q524" s="175"/>
      <c r="R524" s="175"/>
      <c r="S524" s="175"/>
      <c r="T524" s="175"/>
      <c r="U524" s="175"/>
      <c r="V524" s="175"/>
      <c r="W524" s="175"/>
      <c r="X524" s="175"/>
      <c r="Y524" s="175"/>
      <c r="Z524" s="175"/>
      <c r="AA524" s="175"/>
    </row>
    <row r="525">
      <c r="A525" s="187"/>
      <c r="D525" s="187"/>
      <c r="O525" s="175"/>
      <c r="P525" s="175"/>
      <c r="Q525" s="175"/>
      <c r="R525" s="175"/>
      <c r="S525" s="175"/>
      <c r="T525" s="175"/>
      <c r="U525" s="175"/>
      <c r="V525" s="175"/>
      <c r="W525" s="175"/>
      <c r="X525" s="175"/>
      <c r="Y525" s="175"/>
      <c r="Z525" s="175"/>
      <c r="AA525" s="175"/>
    </row>
    <row r="526">
      <c r="A526" s="187"/>
      <c r="D526" s="187"/>
      <c r="O526" s="175"/>
      <c r="P526" s="175"/>
      <c r="Q526" s="175"/>
      <c r="R526" s="175"/>
      <c r="S526" s="175"/>
      <c r="T526" s="175"/>
      <c r="U526" s="175"/>
      <c r="V526" s="175"/>
      <c r="W526" s="175"/>
      <c r="X526" s="175"/>
      <c r="Y526" s="175"/>
      <c r="Z526" s="175"/>
      <c r="AA526" s="175"/>
    </row>
    <row r="527">
      <c r="A527" s="187"/>
      <c r="D527" s="187"/>
      <c r="O527" s="175"/>
      <c r="P527" s="175"/>
      <c r="Q527" s="175"/>
      <c r="R527" s="175"/>
      <c r="S527" s="175"/>
      <c r="T527" s="175"/>
      <c r="U527" s="175"/>
      <c r="V527" s="175"/>
      <c r="W527" s="175"/>
      <c r="X527" s="175"/>
      <c r="Y527" s="175"/>
      <c r="Z527" s="175"/>
      <c r="AA527" s="175"/>
    </row>
    <row r="528">
      <c r="A528" s="187"/>
      <c r="D528" s="187"/>
      <c r="O528" s="175"/>
      <c r="P528" s="175"/>
      <c r="Q528" s="175"/>
      <c r="R528" s="175"/>
      <c r="S528" s="175"/>
      <c r="T528" s="175"/>
      <c r="U528" s="175"/>
      <c r="V528" s="175"/>
      <c r="W528" s="175"/>
      <c r="X528" s="175"/>
      <c r="Y528" s="175"/>
      <c r="Z528" s="175"/>
      <c r="AA528" s="175"/>
    </row>
    <row r="529">
      <c r="A529" s="187"/>
      <c r="D529" s="187"/>
      <c r="O529" s="175"/>
      <c r="P529" s="175"/>
      <c r="Q529" s="175"/>
      <c r="R529" s="175"/>
      <c r="S529" s="175"/>
      <c r="T529" s="175"/>
      <c r="U529" s="175"/>
      <c r="V529" s="175"/>
      <c r="W529" s="175"/>
      <c r="X529" s="175"/>
      <c r="Y529" s="175"/>
      <c r="Z529" s="175"/>
      <c r="AA529" s="175"/>
    </row>
    <row r="530">
      <c r="A530" s="187"/>
      <c r="D530" s="187"/>
      <c r="O530" s="175"/>
      <c r="P530" s="175"/>
      <c r="Q530" s="175"/>
      <c r="R530" s="175"/>
      <c r="S530" s="175"/>
      <c r="T530" s="175"/>
      <c r="U530" s="175"/>
      <c r="V530" s="175"/>
      <c r="W530" s="175"/>
      <c r="X530" s="175"/>
      <c r="Y530" s="175"/>
      <c r="Z530" s="175"/>
      <c r="AA530" s="175"/>
    </row>
    <row r="531">
      <c r="A531" s="187"/>
      <c r="D531" s="187"/>
      <c r="O531" s="175"/>
      <c r="P531" s="175"/>
      <c r="Q531" s="175"/>
      <c r="R531" s="175"/>
      <c r="S531" s="175"/>
      <c r="T531" s="175"/>
      <c r="U531" s="175"/>
      <c r="V531" s="175"/>
      <c r="W531" s="175"/>
      <c r="X531" s="175"/>
      <c r="Y531" s="175"/>
      <c r="Z531" s="175"/>
      <c r="AA531" s="175"/>
    </row>
    <row r="532">
      <c r="A532" s="187"/>
      <c r="D532" s="187"/>
      <c r="O532" s="175"/>
      <c r="P532" s="175"/>
      <c r="Q532" s="175"/>
      <c r="R532" s="175"/>
      <c r="S532" s="175"/>
      <c r="T532" s="175"/>
      <c r="U532" s="175"/>
      <c r="V532" s="175"/>
      <c r="W532" s="175"/>
      <c r="X532" s="175"/>
      <c r="Y532" s="175"/>
      <c r="Z532" s="175"/>
      <c r="AA532" s="175"/>
    </row>
    <row r="533">
      <c r="A533" s="187"/>
      <c r="D533" s="187"/>
      <c r="O533" s="175"/>
      <c r="P533" s="175"/>
      <c r="Q533" s="175"/>
      <c r="R533" s="175"/>
      <c r="S533" s="175"/>
      <c r="T533" s="175"/>
      <c r="U533" s="175"/>
      <c r="V533" s="175"/>
      <c r="W533" s="175"/>
      <c r="X533" s="175"/>
      <c r="Y533" s="175"/>
      <c r="Z533" s="175"/>
      <c r="AA533" s="175"/>
    </row>
    <row r="534">
      <c r="A534" s="187"/>
      <c r="D534" s="187"/>
      <c r="O534" s="175"/>
      <c r="P534" s="175"/>
      <c r="Q534" s="175"/>
      <c r="R534" s="175"/>
      <c r="S534" s="175"/>
      <c r="T534" s="175"/>
      <c r="U534" s="175"/>
      <c r="V534" s="175"/>
      <c r="W534" s="175"/>
      <c r="X534" s="175"/>
      <c r="Y534" s="175"/>
      <c r="Z534" s="175"/>
      <c r="AA534" s="175"/>
    </row>
    <row r="535">
      <c r="A535" s="187"/>
      <c r="D535" s="187"/>
      <c r="O535" s="175"/>
      <c r="P535" s="175"/>
      <c r="Q535" s="175"/>
      <c r="R535" s="175"/>
      <c r="S535" s="175"/>
      <c r="T535" s="175"/>
      <c r="U535" s="175"/>
      <c r="V535" s="175"/>
      <c r="W535" s="175"/>
      <c r="X535" s="175"/>
      <c r="Y535" s="175"/>
      <c r="Z535" s="175"/>
      <c r="AA535" s="175"/>
    </row>
    <row r="536">
      <c r="A536" s="187"/>
      <c r="D536" s="187"/>
      <c r="O536" s="175"/>
      <c r="P536" s="175"/>
      <c r="Q536" s="175"/>
      <c r="R536" s="175"/>
      <c r="S536" s="175"/>
      <c r="T536" s="175"/>
      <c r="U536" s="175"/>
      <c r="V536" s="175"/>
      <c r="W536" s="175"/>
      <c r="X536" s="175"/>
      <c r="Y536" s="175"/>
      <c r="Z536" s="175"/>
      <c r="AA536" s="175"/>
    </row>
    <row r="537">
      <c r="A537" s="187"/>
      <c r="D537" s="187"/>
      <c r="O537" s="175"/>
      <c r="P537" s="175"/>
      <c r="Q537" s="175"/>
      <c r="R537" s="175"/>
      <c r="S537" s="175"/>
      <c r="T537" s="175"/>
      <c r="U537" s="175"/>
      <c r="V537" s="175"/>
      <c r="W537" s="175"/>
      <c r="X537" s="175"/>
      <c r="Y537" s="175"/>
      <c r="Z537" s="175"/>
      <c r="AA537" s="175"/>
    </row>
    <row r="538">
      <c r="A538" s="187"/>
      <c r="D538" s="187"/>
      <c r="O538" s="175"/>
      <c r="P538" s="175"/>
      <c r="Q538" s="175"/>
      <c r="R538" s="175"/>
      <c r="S538" s="175"/>
      <c r="T538" s="175"/>
      <c r="U538" s="175"/>
      <c r="V538" s="175"/>
      <c r="W538" s="175"/>
      <c r="X538" s="175"/>
      <c r="Y538" s="175"/>
      <c r="Z538" s="175"/>
      <c r="AA538" s="175"/>
    </row>
    <row r="539">
      <c r="A539" s="187"/>
      <c r="D539" s="187"/>
      <c r="O539" s="175"/>
      <c r="P539" s="175"/>
      <c r="Q539" s="175"/>
      <c r="R539" s="175"/>
      <c r="S539" s="175"/>
      <c r="T539" s="175"/>
      <c r="U539" s="175"/>
      <c r="V539" s="175"/>
      <c r="W539" s="175"/>
      <c r="X539" s="175"/>
      <c r="Y539" s="175"/>
      <c r="Z539" s="175"/>
      <c r="AA539" s="175"/>
    </row>
    <row r="540">
      <c r="A540" s="187"/>
      <c r="D540" s="187"/>
      <c r="O540" s="175"/>
      <c r="P540" s="175"/>
      <c r="Q540" s="175"/>
      <c r="R540" s="175"/>
      <c r="S540" s="175"/>
      <c r="T540" s="175"/>
      <c r="U540" s="175"/>
      <c r="V540" s="175"/>
      <c r="W540" s="175"/>
      <c r="X540" s="175"/>
      <c r="Y540" s="175"/>
      <c r="Z540" s="175"/>
      <c r="AA540" s="175"/>
    </row>
    <row r="541">
      <c r="A541" s="187"/>
      <c r="D541" s="187"/>
      <c r="O541" s="175"/>
      <c r="P541" s="175"/>
      <c r="Q541" s="175"/>
      <c r="R541" s="175"/>
      <c r="S541" s="175"/>
      <c r="T541" s="175"/>
      <c r="U541" s="175"/>
      <c r="V541" s="175"/>
      <c r="W541" s="175"/>
      <c r="X541" s="175"/>
      <c r="Y541" s="175"/>
      <c r="Z541" s="175"/>
      <c r="AA541" s="175"/>
    </row>
    <row r="542">
      <c r="A542" s="187"/>
      <c r="D542" s="187"/>
      <c r="O542" s="175"/>
      <c r="P542" s="175"/>
      <c r="Q542" s="175"/>
      <c r="R542" s="175"/>
      <c r="S542" s="175"/>
      <c r="T542" s="175"/>
      <c r="U542" s="175"/>
      <c r="V542" s="175"/>
      <c r="W542" s="175"/>
      <c r="X542" s="175"/>
      <c r="Y542" s="175"/>
      <c r="Z542" s="175"/>
      <c r="AA542" s="175"/>
    </row>
    <row r="543">
      <c r="A543" s="187"/>
      <c r="D543" s="187"/>
      <c r="O543" s="175"/>
      <c r="P543" s="175"/>
      <c r="Q543" s="175"/>
      <c r="R543" s="175"/>
      <c r="S543" s="175"/>
      <c r="T543" s="175"/>
      <c r="U543" s="175"/>
      <c r="V543" s="175"/>
      <c r="W543" s="175"/>
      <c r="X543" s="175"/>
      <c r="Y543" s="175"/>
      <c r="Z543" s="175"/>
      <c r="AA543" s="175"/>
    </row>
    <row r="544">
      <c r="A544" s="187"/>
      <c r="D544" s="187"/>
      <c r="O544" s="175"/>
      <c r="P544" s="175"/>
      <c r="Q544" s="175"/>
      <c r="R544" s="175"/>
      <c r="S544" s="175"/>
      <c r="T544" s="175"/>
      <c r="U544" s="175"/>
      <c r="V544" s="175"/>
      <c r="W544" s="175"/>
      <c r="X544" s="175"/>
      <c r="Y544" s="175"/>
      <c r="Z544" s="175"/>
      <c r="AA544" s="175"/>
    </row>
    <row r="545">
      <c r="A545" s="187"/>
      <c r="D545" s="187"/>
      <c r="O545" s="175"/>
      <c r="P545" s="175"/>
      <c r="Q545" s="175"/>
      <c r="R545" s="175"/>
      <c r="S545" s="175"/>
      <c r="T545" s="175"/>
      <c r="U545" s="175"/>
      <c r="V545" s="175"/>
      <c r="W545" s="175"/>
      <c r="X545" s="175"/>
      <c r="Y545" s="175"/>
      <c r="Z545" s="175"/>
      <c r="AA545" s="175"/>
    </row>
    <row r="546">
      <c r="A546" s="187"/>
      <c r="D546" s="187"/>
      <c r="O546" s="175"/>
      <c r="P546" s="175"/>
      <c r="Q546" s="175"/>
      <c r="R546" s="175"/>
      <c r="S546" s="175"/>
      <c r="T546" s="175"/>
      <c r="U546" s="175"/>
      <c r="V546" s="175"/>
      <c r="W546" s="175"/>
      <c r="X546" s="175"/>
      <c r="Y546" s="175"/>
      <c r="Z546" s="175"/>
      <c r="AA546" s="175"/>
    </row>
    <row r="547">
      <c r="A547" s="187"/>
      <c r="D547" s="187"/>
      <c r="O547" s="175"/>
      <c r="P547" s="175"/>
      <c r="Q547" s="175"/>
      <c r="R547" s="175"/>
      <c r="S547" s="175"/>
      <c r="T547" s="175"/>
      <c r="U547" s="175"/>
      <c r="V547" s="175"/>
      <c r="W547" s="175"/>
      <c r="X547" s="175"/>
      <c r="Y547" s="175"/>
      <c r="Z547" s="175"/>
      <c r="AA547" s="175"/>
    </row>
    <row r="548">
      <c r="A548" s="187"/>
      <c r="D548" s="187"/>
      <c r="O548" s="175"/>
      <c r="P548" s="175"/>
      <c r="Q548" s="175"/>
      <c r="R548" s="175"/>
      <c r="S548" s="175"/>
      <c r="T548" s="175"/>
      <c r="U548" s="175"/>
      <c r="V548" s="175"/>
      <c r="W548" s="175"/>
      <c r="X548" s="175"/>
      <c r="Y548" s="175"/>
      <c r="Z548" s="175"/>
      <c r="AA548" s="175"/>
    </row>
    <row r="549">
      <c r="A549" s="187"/>
      <c r="D549" s="187"/>
      <c r="O549" s="175"/>
      <c r="P549" s="175"/>
      <c r="Q549" s="175"/>
      <c r="R549" s="175"/>
      <c r="S549" s="175"/>
      <c r="T549" s="175"/>
      <c r="U549" s="175"/>
      <c r="V549" s="175"/>
      <c r="W549" s="175"/>
      <c r="X549" s="175"/>
      <c r="Y549" s="175"/>
      <c r="Z549" s="175"/>
      <c r="AA549" s="175"/>
    </row>
    <row r="550">
      <c r="A550" s="187"/>
      <c r="D550" s="187"/>
      <c r="O550" s="175"/>
      <c r="P550" s="175"/>
      <c r="Q550" s="175"/>
      <c r="R550" s="175"/>
      <c r="S550" s="175"/>
      <c r="T550" s="175"/>
      <c r="U550" s="175"/>
      <c r="V550" s="175"/>
      <c r="W550" s="175"/>
      <c r="X550" s="175"/>
      <c r="Y550" s="175"/>
      <c r="Z550" s="175"/>
      <c r="AA550" s="175"/>
    </row>
    <row r="551">
      <c r="A551" s="187"/>
      <c r="D551" s="187"/>
      <c r="O551" s="175"/>
      <c r="P551" s="175"/>
      <c r="Q551" s="175"/>
      <c r="R551" s="175"/>
      <c r="S551" s="175"/>
      <c r="T551" s="175"/>
      <c r="U551" s="175"/>
      <c r="V551" s="175"/>
      <c r="W551" s="175"/>
      <c r="X551" s="175"/>
      <c r="Y551" s="175"/>
      <c r="Z551" s="175"/>
      <c r="AA551" s="175"/>
    </row>
    <row r="552">
      <c r="A552" s="187"/>
      <c r="D552" s="187"/>
      <c r="O552" s="175"/>
      <c r="P552" s="175"/>
      <c r="Q552" s="175"/>
      <c r="R552" s="175"/>
      <c r="S552" s="175"/>
      <c r="T552" s="175"/>
      <c r="U552" s="175"/>
      <c r="V552" s="175"/>
      <c r="W552" s="175"/>
      <c r="X552" s="175"/>
      <c r="Y552" s="175"/>
      <c r="Z552" s="175"/>
      <c r="AA552" s="175"/>
    </row>
    <row r="553">
      <c r="A553" s="187"/>
      <c r="D553" s="187"/>
      <c r="O553" s="175"/>
      <c r="P553" s="175"/>
      <c r="Q553" s="175"/>
      <c r="R553" s="175"/>
      <c r="S553" s="175"/>
      <c r="T553" s="175"/>
      <c r="U553" s="175"/>
      <c r="V553" s="175"/>
      <c r="W553" s="175"/>
      <c r="X553" s="175"/>
      <c r="Y553" s="175"/>
      <c r="Z553" s="175"/>
      <c r="AA553" s="175"/>
    </row>
    <row r="554">
      <c r="A554" s="187"/>
      <c r="D554" s="187"/>
      <c r="O554" s="175"/>
      <c r="P554" s="175"/>
      <c r="Q554" s="175"/>
      <c r="R554" s="175"/>
      <c r="S554" s="175"/>
      <c r="T554" s="175"/>
      <c r="U554" s="175"/>
      <c r="V554" s="175"/>
      <c r="W554" s="175"/>
      <c r="X554" s="175"/>
      <c r="Y554" s="175"/>
      <c r="Z554" s="175"/>
      <c r="AA554" s="175"/>
    </row>
    <row r="555">
      <c r="A555" s="187"/>
      <c r="D555" s="187"/>
      <c r="O555" s="175"/>
      <c r="P555" s="175"/>
      <c r="Q555" s="175"/>
      <c r="R555" s="175"/>
      <c r="S555" s="175"/>
      <c r="T555" s="175"/>
      <c r="U555" s="175"/>
      <c r="V555" s="175"/>
      <c r="W555" s="175"/>
      <c r="X555" s="175"/>
      <c r="Y555" s="175"/>
      <c r="Z555" s="175"/>
      <c r="AA555" s="175"/>
    </row>
    <row r="556">
      <c r="A556" s="187"/>
      <c r="D556" s="187"/>
      <c r="O556" s="175"/>
      <c r="P556" s="175"/>
      <c r="Q556" s="175"/>
      <c r="R556" s="175"/>
      <c r="S556" s="175"/>
      <c r="T556" s="175"/>
      <c r="U556" s="175"/>
      <c r="V556" s="175"/>
      <c r="W556" s="175"/>
      <c r="X556" s="175"/>
      <c r="Y556" s="175"/>
      <c r="Z556" s="175"/>
      <c r="AA556" s="175"/>
    </row>
    <row r="557">
      <c r="A557" s="187"/>
      <c r="D557" s="187"/>
      <c r="O557" s="175"/>
      <c r="P557" s="175"/>
      <c r="Q557" s="175"/>
      <c r="R557" s="175"/>
      <c r="S557" s="175"/>
      <c r="T557" s="175"/>
      <c r="U557" s="175"/>
      <c r="V557" s="175"/>
      <c r="W557" s="175"/>
      <c r="X557" s="175"/>
      <c r="Y557" s="175"/>
      <c r="Z557" s="175"/>
      <c r="AA557" s="175"/>
    </row>
    <row r="558">
      <c r="A558" s="187"/>
      <c r="D558" s="187"/>
      <c r="O558" s="175"/>
      <c r="P558" s="175"/>
      <c r="Q558" s="175"/>
      <c r="R558" s="175"/>
      <c r="S558" s="175"/>
      <c r="T558" s="175"/>
      <c r="U558" s="175"/>
      <c r="V558" s="175"/>
      <c r="W558" s="175"/>
      <c r="X558" s="175"/>
      <c r="Y558" s="175"/>
      <c r="Z558" s="175"/>
      <c r="AA558" s="175"/>
    </row>
    <row r="559">
      <c r="A559" s="187"/>
      <c r="D559" s="187"/>
      <c r="O559" s="175"/>
      <c r="P559" s="175"/>
      <c r="Q559" s="175"/>
      <c r="R559" s="175"/>
      <c r="S559" s="175"/>
      <c r="T559" s="175"/>
      <c r="U559" s="175"/>
      <c r="V559" s="175"/>
      <c r="W559" s="175"/>
      <c r="X559" s="175"/>
      <c r="Y559" s="175"/>
      <c r="Z559" s="175"/>
      <c r="AA559" s="175"/>
    </row>
    <row r="560">
      <c r="A560" s="187"/>
      <c r="D560" s="187"/>
      <c r="O560" s="175"/>
      <c r="P560" s="175"/>
      <c r="Q560" s="175"/>
      <c r="R560" s="175"/>
      <c r="S560" s="175"/>
      <c r="T560" s="175"/>
      <c r="U560" s="175"/>
      <c r="V560" s="175"/>
      <c r="W560" s="175"/>
      <c r="X560" s="175"/>
      <c r="Y560" s="175"/>
      <c r="Z560" s="175"/>
      <c r="AA560" s="175"/>
    </row>
    <row r="561">
      <c r="A561" s="187"/>
      <c r="D561" s="187"/>
      <c r="O561" s="175"/>
      <c r="P561" s="175"/>
      <c r="Q561" s="175"/>
      <c r="R561" s="175"/>
      <c r="S561" s="175"/>
      <c r="T561" s="175"/>
      <c r="U561" s="175"/>
      <c r="V561" s="175"/>
      <c r="W561" s="175"/>
      <c r="X561" s="175"/>
      <c r="Y561" s="175"/>
      <c r="Z561" s="175"/>
      <c r="AA561" s="175"/>
    </row>
    <row r="562">
      <c r="A562" s="187"/>
      <c r="D562" s="187"/>
      <c r="O562" s="175"/>
      <c r="P562" s="175"/>
      <c r="Q562" s="175"/>
      <c r="R562" s="175"/>
      <c r="S562" s="175"/>
      <c r="T562" s="175"/>
      <c r="U562" s="175"/>
      <c r="V562" s="175"/>
      <c r="W562" s="175"/>
      <c r="X562" s="175"/>
      <c r="Y562" s="175"/>
      <c r="Z562" s="175"/>
      <c r="AA562" s="175"/>
    </row>
    <row r="563">
      <c r="A563" s="187"/>
      <c r="D563" s="187"/>
      <c r="O563" s="175"/>
      <c r="P563" s="175"/>
      <c r="Q563" s="175"/>
      <c r="R563" s="175"/>
      <c r="S563" s="175"/>
      <c r="T563" s="175"/>
      <c r="U563" s="175"/>
      <c r="V563" s="175"/>
      <c r="W563" s="175"/>
      <c r="X563" s="175"/>
      <c r="Y563" s="175"/>
      <c r="Z563" s="175"/>
      <c r="AA563" s="175"/>
    </row>
    <row r="564">
      <c r="A564" s="187"/>
      <c r="D564" s="187"/>
      <c r="O564" s="175"/>
      <c r="P564" s="175"/>
      <c r="Q564" s="175"/>
      <c r="R564" s="175"/>
      <c r="S564" s="175"/>
      <c r="T564" s="175"/>
      <c r="U564" s="175"/>
      <c r="V564" s="175"/>
      <c r="W564" s="175"/>
      <c r="X564" s="175"/>
      <c r="Y564" s="175"/>
      <c r="Z564" s="175"/>
      <c r="AA564" s="175"/>
    </row>
    <row r="565">
      <c r="A565" s="187"/>
      <c r="D565" s="187"/>
      <c r="O565" s="175"/>
      <c r="P565" s="175"/>
      <c r="Q565" s="175"/>
      <c r="R565" s="175"/>
      <c r="S565" s="175"/>
      <c r="T565" s="175"/>
      <c r="U565" s="175"/>
      <c r="V565" s="175"/>
      <c r="W565" s="175"/>
      <c r="X565" s="175"/>
      <c r="Y565" s="175"/>
      <c r="Z565" s="175"/>
      <c r="AA565" s="175"/>
    </row>
    <row r="566">
      <c r="A566" s="187"/>
      <c r="D566" s="187"/>
      <c r="O566" s="175"/>
      <c r="P566" s="175"/>
      <c r="Q566" s="175"/>
      <c r="R566" s="175"/>
      <c r="S566" s="175"/>
      <c r="T566" s="175"/>
      <c r="U566" s="175"/>
      <c r="V566" s="175"/>
      <c r="W566" s="175"/>
      <c r="X566" s="175"/>
      <c r="Y566" s="175"/>
      <c r="Z566" s="175"/>
      <c r="AA566" s="175"/>
    </row>
    <row r="567">
      <c r="A567" s="187"/>
      <c r="D567" s="187"/>
      <c r="O567" s="175"/>
      <c r="P567" s="175"/>
      <c r="Q567" s="175"/>
      <c r="R567" s="175"/>
      <c r="S567" s="175"/>
      <c r="T567" s="175"/>
      <c r="U567" s="175"/>
      <c r="V567" s="175"/>
      <c r="W567" s="175"/>
      <c r="X567" s="175"/>
      <c r="Y567" s="175"/>
      <c r="Z567" s="175"/>
      <c r="AA567" s="175"/>
    </row>
    <row r="568">
      <c r="A568" s="187"/>
      <c r="D568" s="187"/>
      <c r="O568" s="175"/>
      <c r="P568" s="175"/>
      <c r="Q568" s="175"/>
      <c r="R568" s="175"/>
      <c r="S568" s="175"/>
      <c r="T568" s="175"/>
      <c r="U568" s="175"/>
      <c r="V568" s="175"/>
      <c r="W568" s="175"/>
      <c r="X568" s="175"/>
      <c r="Y568" s="175"/>
      <c r="Z568" s="175"/>
      <c r="AA568" s="175"/>
    </row>
    <row r="569">
      <c r="A569" s="187"/>
      <c r="D569" s="187"/>
      <c r="O569" s="175"/>
      <c r="P569" s="175"/>
      <c r="Q569" s="175"/>
      <c r="R569" s="175"/>
      <c r="S569" s="175"/>
      <c r="T569" s="175"/>
      <c r="U569" s="175"/>
      <c r="V569" s="175"/>
      <c r="W569" s="175"/>
      <c r="X569" s="175"/>
      <c r="Y569" s="175"/>
      <c r="Z569" s="175"/>
      <c r="AA569" s="175"/>
    </row>
    <row r="570">
      <c r="A570" s="187"/>
      <c r="D570" s="187"/>
      <c r="O570" s="175"/>
      <c r="P570" s="175"/>
      <c r="Q570" s="175"/>
      <c r="R570" s="175"/>
      <c r="S570" s="175"/>
      <c r="T570" s="175"/>
      <c r="U570" s="175"/>
      <c r="V570" s="175"/>
      <c r="W570" s="175"/>
      <c r="X570" s="175"/>
      <c r="Y570" s="175"/>
      <c r="Z570" s="175"/>
      <c r="AA570" s="175"/>
    </row>
    <row r="571">
      <c r="A571" s="187"/>
      <c r="D571" s="187"/>
      <c r="O571" s="175"/>
      <c r="P571" s="175"/>
      <c r="Q571" s="175"/>
      <c r="R571" s="175"/>
      <c r="S571" s="175"/>
      <c r="T571" s="175"/>
      <c r="U571" s="175"/>
      <c r="V571" s="175"/>
      <c r="W571" s="175"/>
      <c r="X571" s="175"/>
      <c r="Y571" s="175"/>
      <c r="Z571" s="175"/>
      <c r="AA571" s="175"/>
    </row>
    <row r="572">
      <c r="A572" s="187"/>
      <c r="D572" s="187"/>
      <c r="O572" s="175"/>
      <c r="P572" s="175"/>
      <c r="Q572" s="175"/>
      <c r="R572" s="175"/>
      <c r="S572" s="175"/>
      <c r="T572" s="175"/>
      <c r="U572" s="175"/>
      <c r="V572" s="175"/>
      <c r="W572" s="175"/>
      <c r="X572" s="175"/>
      <c r="Y572" s="175"/>
      <c r="Z572" s="175"/>
      <c r="AA572" s="175"/>
    </row>
    <row r="573">
      <c r="A573" s="187"/>
      <c r="D573" s="187"/>
      <c r="O573" s="175"/>
      <c r="P573" s="175"/>
      <c r="Q573" s="175"/>
      <c r="R573" s="175"/>
      <c r="S573" s="175"/>
      <c r="T573" s="175"/>
      <c r="U573" s="175"/>
      <c r="V573" s="175"/>
      <c r="W573" s="175"/>
      <c r="X573" s="175"/>
      <c r="Y573" s="175"/>
      <c r="Z573" s="175"/>
      <c r="AA573" s="175"/>
    </row>
    <row r="574">
      <c r="A574" s="187"/>
      <c r="D574" s="187"/>
      <c r="O574" s="175"/>
      <c r="P574" s="175"/>
      <c r="Q574" s="175"/>
      <c r="R574" s="175"/>
      <c r="S574" s="175"/>
      <c r="T574" s="175"/>
      <c r="U574" s="175"/>
      <c r="V574" s="175"/>
      <c r="W574" s="175"/>
      <c r="X574" s="175"/>
      <c r="Y574" s="175"/>
      <c r="Z574" s="175"/>
      <c r="AA574" s="175"/>
    </row>
    <row r="575">
      <c r="A575" s="187"/>
      <c r="D575" s="187"/>
      <c r="O575" s="175"/>
      <c r="P575" s="175"/>
      <c r="Q575" s="175"/>
      <c r="R575" s="175"/>
      <c r="S575" s="175"/>
      <c r="T575" s="175"/>
      <c r="U575" s="175"/>
      <c r="V575" s="175"/>
      <c r="W575" s="175"/>
      <c r="X575" s="175"/>
      <c r="Y575" s="175"/>
      <c r="Z575" s="175"/>
      <c r="AA575" s="175"/>
    </row>
    <row r="576">
      <c r="A576" s="187"/>
      <c r="D576" s="187"/>
      <c r="O576" s="175"/>
      <c r="P576" s="175"/>
      <c r="Q576" s="175"/>
      <c r="R576" s="175"/>
      <c r="S576" s="175"/>
      <c r="T576" s="175"/>
      <c r="U576" s="175"/>
      <c r="V576" s="175"/>
      <c r="W576" s="175"/>
      <c r="X576" s="175"/>
      <c r="Y576" s="175"/>
      <c r="Z576" s="175"/>
      <c r="AA576" s="175"/>
    </row>
    <row r="577">
      <c r="A577" s="187"/>
      <c r="D577" s="187"/>
      <c r="O577" s="175"/>
      <c r="P577" s="175"/>
      <c r="Q577" s="175"/>
      <c r="R577" s="175"/>
      <c r="S577" s="175"/>
      <c r="T577" s="175"/>
      <c r="U577" s="175"/>
      <c r="V577" s="175"/>
      <c r="W577" s="175"/>
      <c r="X577" s="175"/>
      <c r="Y577" s="175"/>
      <c r="Z577" s="175"/>
      <c r="AA577" s="175"/>
    </row>
    <row r="578">
      <c r="A578" s="187"/>
      <c r="D578" s="187"/>
      <c r="O578" s="175"/>
      <c r="P578" s="175"/>
      <c r="Q578" s="175"/>
      <c r="R578" s="175"/>
      <c r="S578" s="175"/>
      <c r="T578" s="175"/>
      <c r="U578" s="175"/>
      <c r="V578" s="175"/>
      <c r="W578" s="175"/>
      <c r="X578" s="175"/>
      <c r="Y578" s="175"/>
      <c r="Z578" s="175"/>
      <c r="AA578" s="175"/>
    </row>
    <row r="579">
      <c r="A579" s="187"/>
      <c r="D579" s="187"/>
      <c r="O579" s="175"/>
      <c r="P579" s="175"/>
      <c r="Q579" s="175"/>
      <c r="R579" s="175"/>
      <c r="S579" s="175"/>
      <c r="T579" s="175"/>
      <c r="U579" s="175"/>
      <c r="V579" s="175"/>
      <c r="W579" s="175"/>
      <c r="X579" s="175"/>
      <c r="Y579" s="175"/>
      <c r="Z579" s="175"/>
      <c r="AA579" s="175"/>
    </row>
    <row r="580">
      <c r="A580" s="187"/>
      <c r="D580" s="187"/>
      <c r="O580" s="175"/>
      <c r="P580" s="175"/>
      <c r="Q580" s="175"/>
      <c r="R580" s="175"/>
      <c r="S580" s="175"/>
      <c r="T580" s="175"/>
      <c r="U580" s="175"/>
      <c r="V580" s="175"/>
      <c r="W580" s="175"/>
      <c r="X580" s="175"/>
      <c r="Y580" s="175"/>
      <c r="Z580" s="175"/>
      <c r="AA580" s="175"/>
    </row>
    <row r="581">
      <c r="A581" s="187"/>
      <c r="D581" s="187"/>
      <c r="O581" s="175"/>
      <c r="P581" s="175"/>
      <c r="Q581" s="175"/>
      <c r="R581" s="175"/>
      <c r="S581" s="175"/>
      <c r="T581" s="175"/>
      <c r="U581" s="175"/>
      <c r="V581" s="175"/>
      <c r="W581" s="175"/>
      <c r="X581" s="175"/>
      <c r="Y581" s="175"/>
      <c r="Z581" s="175"/>
      <c r="AA581" s="175"/>
    </row>
    <row r="582">
      <c r="A582" s="187"/>
      <c r="D582" s="187"/>
      <c r="O582" s="175"/>
      <c r="P582" s="175"/>
      <c r="Q582" s="175"/>
      <c r="R582" s="175"/>
      <c r="S582" s="175"/>
      <c r="T582" s="175"/>
      <c r="U582" s="175"/>
      <c r="V582" s="175"/>
      <c r="W582" s="175"/>
      <c r="X582" s="175"/>
      <c r="Y582" s="175"/>
      <c r="Z582" s="175"/>
      <c r="AA582" s="175"/>
    </row>
    <row r="583">
      <c r="A583" s="187"/>
      <c r="D583" s="187"/>
      <c r="O583" s="175"/>
      <c r="P583" s="175"/>
      <c r="Q583" s="175"/>
      <c r="R583" s="175"/>
      <c r="S583" s="175"/>
      <c r="T583" s="175"/>
      <c r="U583" s="175"/>
      <c r="V583" s="175"/>
      <c r="W583" s="175"/>
      <c r="X583" s="175"/>
      <c r="Y583" s="175"/>
      <c r="Z583" s="175"/>
      <c r="AA583" s="175"/>
    </row>
    <row r="584">
      <c r="A584" s="187"/>
      <c r="D584" s="187"/>
      <c r="O584" s="175"/>
      <c r="P584" s="175"/>
      <c r="Q584" s="175"/>
      <c r="R584" s="175"/>
      <c r="S584" s="175"/>
      <c r="T584" s="175"/>
      <c r="U584" s="175"/>
      <c r="V584" s="175"/>
      <c r="W584" s="175"/>
      <c r="X584" s="175"/>
      <c r="Y584" s="175"/>
      <c r="Z584" s="175"/>
      <c r="AA584" s="175"/>
    </row>
    <row r="585">
      <c r="A585" s="187"/>
      <c r="D585" s="187"/>
      <c r="O585" s="175"/>
      <c r="P585" s="175"/>
      <c r="Q585" s="175"/>
      <c r="R585" s="175"/>
      <c r="S585" s="175"/>
      <c r="T585" s="175"/>
      <c r="U585" s="175"/>
      <c r="V585" s="175"/>
      <c r="W585" s="175"/>
      <c r="X585" s="175"/>
      <c r="Y585" s="175"/>
      <c r="Z585" s="175"/>
      <c r="AA585" s="175"/>
    </row>
    <row r="586">
      <c r="A586" s="187"/>
      <c r="D586" s="187"/>
      <c r="O586" s="175"/>
      <c r="P586" s="175"/>
      <c r="Q586" s="175"/>
      <c r="R586" s="175"/>
      <c r="S586" s="175"/>
      <c r="T586" s="175"/>
      <c r="U586" s="175"/>
      <c r="V586" s="175"/>
      <c r="W586" s="175"/>
      <c r="X586" s="175"/>
      <c r="Y586" s="175"/>
      <c r="Z586" s="175"/>
      <c r="AA586" s="175"/>
    </row>
    <row r="587">
      <c r="A587" s="187"/>
      <c r="D587" s="187"/>
      <c r="O587" s="175"/>
      <c r="P587" s="175"/>
      <c r="Q587" s="175"/>
      <c r="R587" s="175"/>
      <c r="S587" s="175"/>
      <c r="T587" s="175"/>
      <c r="U587" s="175"/>
      <c r="V587" s="175"/>
      <c r="W587" s="175"/>
      <c r="X587" s="175"/>
      <c r="Y587" s="175"/>
      <c r="Z587" s="175"/>
      <c r="AA587" s="175"/>
    </row>
    <row r="588">
      <c r="A588" s="187"/>
      <c r="D588" s="187"/>
      <c r="O588" s="175"/>
      <c r="P588" s="175"/>
      <c r="Q588" s="175"/>
      <c r="R588" s="175"/>
      <c r="S588" s="175"/>
      <c r="T588" s="175"/>
      <c r="U588" s="175"/>
      <c r="V588" s="175"/>
      <c r="W588" s="175"/>
      <c r="X588" s="175"/>
      <c r="Y588" s="175"/>
      <c r="Z588" s="175"/>
      <c r="AA588" s="175"/>
    </row>
    <row r="589">
      <c r="A589" s="187"/>
      <c r="D589" s="187"/>
      <c r="O589" s="175"/>
      <c r="P589" s="175"/>
      <c r="Q589" s="175"/>
      <c r="R589" s="175"/>
      <c r="S589" s="175"/>
      <c r="T589" s="175"/>
      <c r="U589" s="175"/>
      <c r="V589" s="175"/>
      <c r="W589" s="175"/>
      <c r="X589" s="175"/>
      <c r="Y589" s="175"/>
      <c r="Z589" s="175"/>
      <c r="AA589" s="175"/>
    </row>
    <row r="590">
      <c r="A590" s="187"/>
      <c r="D590" s="187"/>
      <c r="O590" s="175"/>
      <c r="P590" s="175"/>
      <c r="Q590" s="175"/>
      <c r="R590" s="175"/>
      <c r="S590" s="175"/>
      <c r="T590" s="175"/>
      <c r="U590" s="175"/>
      <c r="V590" s="175"/>
      <c r="W590" s="175"/>
      <c r="X590" s="175"/>
      <c r="Y590" s="175"/>
      <c r="Z590" s="175"/>
      <c r="AA590" s="175"/>
    </row>
    <row r="591">
      <c r="A591" s="187"/>
      <c r="D591" s="187"/>
      <c r="O591" s="175"/>
      <c r="P591" s="175"/>
      <c r="Q591" s="175"/>
      <c r="R591" s="175"/>
      <c r="S591" s="175"/>
      <c r="T591" s="175"/>
      <c r="U591" s="175"/>
      <c r="V591" s="175"/>
      <c r="W591" s="175"/>
      <c r="X591" s="175"/>
      <c r="Y591" s="175"/>
      <c r="Z591" s="175"/>
      <c r="AA591" s="175"/>
    </row>
    <row r="592">
      <c r="A592" s="187"/>
      <c r="D592" s="187"/>
      <c r="O592" s="175"/>
      <c r="P592" s="175"/>
      <c r="Q592" s="175"/>
      <c r="R592" s="175"/>
      <c r="S592" s="175"/>
      <c r="T592" s="175"/>
      <c r="U592" s="175"/>
      <c r="V592" s="175"/>
      <c r="W592" s="175"/>
      <c r="X592" s="175"/>
      <c r="Y592" s="175"/>
      <c r="Z592" s="175"/>
      <c r="AA592" s="175"/>
    </row>
    <row r="593">
      <c r="A593" s="187"/>
      <c r="D593" s="187"/>
      <c r="O593" s="175"/>
      <c r="P593" s="175"/>
      <c r="Q593" s="175"/>
      <c r="R593" s="175"/>
      <c r="S593" s="175"/>
      <c r="T593" s="175"/>
      <c r="U593" s="175"/>
      <c r="V593" s="175"/>
      <c r="W593" s="175"/>
      <c r="X593" s="175"/>
      <c r="Y593" s="175"/>
      <c r="Z593" s="175"/>
      <c r="AA593" s="175"/>
    </row>
    <row r="594">
      <c r="A594" s="187"/>
      <c r="D594" s="187"/>
      <c r="O594" s="175"/>
      <c r="P594" s="175"/>
      <c r="Q594" s="175"/>
      <c r="R594" s="175"/>
      <c r="S594" s="175"/>
      <c r="T594" s="175"/>
      <c r="U594" s="175"/>
      <c r="V594" s="175"/>
      <c r="W594" s="175"/>
      <c r="X594" s="175"/>
      <c r="Y594" s="175"/>
      <c r="Z594" s="175"/>
      <c r="AA594" s="175"/>
    </row>
    <row r="595">
      <c r="A595" s="187"/>
      <c r="D595" s="187"/>
      <c r="O595" s="175"/>
      <c r="P595" s="175"/>
      <c r="Q595" s="175"/>
      <c r="R595" s="175"/>
      <c r="S595" s="175"/>
      <c r="T595" s="175"/>
      <c r="U595" s="175"/>
      <c r="V595" s="175"/>
      <c r="W595" s="175"/>
      <c r="X595" s="175"/>
      <c r="Y595" s="175"/>
      <c r="Z595" s="175"/>
      <c r="AA595" s="175"/>
    </row>
    <row r="596">
      <c r="A596" s="187"/>
      <c r="D596" s="187"/>
      <c r="O596" s="175"/>
      <c r="P596" s="175"/>
      <c r="Q596" s="175"/>
      <c r="R596" s="175"/>
      <c r="S596" s="175"/>
      <c r="T596" s="175"/>
      <c r="U596" s="175"/>
      <c r="V596" s="175"/>
      <c r="W596" s="175"/>
      <c r="X596" s="175"/>
      <c r="Y596" s="175"/>
      <c r="Z596" s="175"/>
      <c r="AA596" s="175"/>
    </row>
    <row r="597">
      <c r="A597" s="187"/>
      <c r="D597" s="187"/>
      <c r="O597" s="175"/>
      <c r="P597" s="175"/>
      <c r="Q597" s="175"/>
      <c r="R597" s="175"/>
      <c r="S597" s="175"/>
      <c r="T597" s="175"/>
      <c r="U597" s="175"/>
      <c r="V597" s="175"/>
      <c r="W597" s="175"/>
      <c r="X597" s="175"/>
      <c r="Y597" s="175"/>
      <c r="Z597" s="175"/>
      <c r="AA597" s="175"/>
    </row>
    <row r="598">
      <c r="A598" s="187"/>
      <c r="D598" s="187"/>
      <c r="O598" s="175"/>
      <c r="P598" s="175"/>
      <c r="Q598" s="175"/>
      <c r="R598" s="175"/>
      <c r="S598" s="175"/>
      <c r="T598" s="175"/>
      <c r="U598" s="175"/>
      <c r="V598" s="175"/>
      <c r="W598" s="175"/>
      <c r="X598" s="175"/>
      <c r="Y598" s="175"/>
      <c r="Z598" s="175"/>
      <c r="AA598" s="175"/>
    </row>
    <row r="599">
      <c r="A599" s="187"/>
      <c r="D599" s="187"/>
      <c r="O599" s="175"/>
      <c r="P599" s="175"/>
      <c r="Q599" s="175"/>
      <c r="R599" s="175"/>
      <c r="S599" s="175"/>
      <c r="T599" s="175"/>
      <c r="U599" s="175"/>
      <c r="V599" s="175"/>
      <c r="W599" s="175"/>
      <c r="X599" s="175"/>
      <c r="Y599" s="175"/>
      <c r="Z599" s="175"/>
      <c r="AA599" s="175"/>
    </row>
    <row r="600">
      <c r="A600" s="187"/>
      <c r="D600" s="187"/>
      <c r="O600" s="175"/>
      <c r="P600" s="175"/>
      <c r="Q600" s="175"/>
      <c r="R600" s="175"/>
      <c r="S600" s="175"/>
      <c r="T600" s="175"/>
      <c r="U600" s="175"/>
      <c r="V600" s="175"/>
      <c r="W600" s="175"/>
      <c r="X600" s="175"/>
      <c r="Y600" s="175"/>
      <c r="Z600" s="175"/>
      <c r="AA600" s="175"/>
    </row>
    <row r="601">
      <c r="A601" s="187"/>
      <c r="D601" s="187"/>
      <c r="O601" s="175"/>
      <c r="P601" s="175"/>
      <c r="Q601" s="175"/>
      <c r="R601" s="175"/>
      <c r="S601" s="175"/>
      <c r="T601" s="175"/>
      <c r="U601" s="175"/>
      <c r="V601" s="175"/>
      <c r="W601" s="175"/>
      <c r="X601" s="175"/>
      <c r="Y601" s="175"/>
      <c r="Z601" s="175"/>
      <c r="AA601" s="175"/>
    </row>
    <row r="602">
      <c r="A602" s="187"/>
      <c r="D602" s="187"/>
      <c r="O602" s="175"/>
      <c r="P602" s="175"/>
      <c r="Q602" s="175"/>
      <c r="R602" s="175"/>
      <c r="S602" s="175"/>
      <c r="T602" s="175"/>
      <c r="U602" s="175"/>
      <c r="V602" s="175"/>
      <c r="W602" s="175"/>
      <c r="X602" s="175"/>
      <c r="Y602" s="175"/>
      <c r="Z602" s="175"/>
      <c r="AA602" s="175"/>
    </row>
    <row r="603">
      <c r="A603" s="187"/>
      <c r="D603" s="187"/>
      <c r="O603" s="175"/>
      <c r="P603" s="175"/>
      <c r="Q603" s="175"/>
      <c r="R603" s="175"/>
      <c r="S603" s="175"/>
      <c r="T603" s="175"/>
      <c r="U603" s="175"/>
      <c r="V603" s="175"/>
      <c r="W603" s="175"/>
      <c r="X603" s="175"/>
      <c r="Y603" s="175"/>
      <c r="Z603" s="175"/>
      <c r="AA603" s="175"/>
    </row>
    <row r="604">
      <c r="A604" s="187"/>
      <c r="D604" s="187"/>
      <c r="O604" s="175"/>
      <c r="P604" s="175"/>
      <c r="Q604" s="175"/>
      <c r="R604" s="175"/>
      <c r="S604" s="175"/>
      <c r="T604" s="175"/>
      <c r="U604" s="175"/>
      <c r="V604" s="175"/>
      <c r="W604" s="175"/>
      <c r="X604" s="175"/>
      <c r="Y604" s="175"/>
      <c r="Z604" s="175"/>
      <c r="AA604" s="175"/>
    </row>
    <row r="605">
      <c r="A605" s="187"/>
      <c r="D605" s="187"/>
      <c r="O605" s="175"/>
      <c r="P605" s="175"/>
      <c r="Q605" s="175"/>
      <c r="R605" s="175"/>
      <c r="S605" s="175"/>
      <c r="T605" s="175"/>
      <c r="U605" s="175"/>
      <c r="V605" s="175"/>
      <c r="W605" s="175"/>
      <c r="X605" s="175"/>
      <c r="Y605" s="175"/>
      <c r="Z605" s="175"/>
      <c r="AA605" s="175"/>
    </row>
    <row r="606">
      <c r="A606" s="187"/>
      <c r="D606" s="187"/>
      <c r="O606" s="175"/>
      <c r="P606" s="175"/>
      <c r="Q606" s="175"/>
      <c r="R606" s="175"/>
      <c r="S606" s="175"/>
      <c r="T606" s="175"/>
      <c r="U606" s="175"/>
      <c r="V606" s="175"/>
      <c r="W606" s="175"/>
      <c r="X606" s="175"/>
      <c r="Y606" s="175"/>
      <c r="Z606" s="175"/>
      <c r="AA606" s="175"/>
    </row>
    <row r="607">
      <c r="A607" s="187"/>
      <c r="D607" s="187"/>
      <c r="O607" s="175"/>
      <c r="P607" s="175"/>
      <c r="Q607" s="175"/>
      <c r="R607" s="175"/>
      <c r="S607" s="175"/>
      <c r="T607" s="175"/>
      <c r="U607" s="175"/>
      <c r="V607" s="175"/>
      <c r="W607" s="175"/>
      <c r="X607" s="175"/>
      <c r="Y607" s="175"/>
      <c r="Z607" s="175"/>
      <c r="AA607" s="175"/>
    </row>
    <row r="608">
      <c r="A608" s="187"/>
      <c r="D608" s="187"/>
      <c r="O608" s="175"/>
      <c r="P608" s="175"/>
      <c r="Q608" s="175"/>
      <c r="R608" s="175"/>
      <c r="S608" s="175"/>
      <c r="T608" s="175"/>
      <c r="U608" s="175"/>
      <c r="V608" s="175"/>
      <c r="W608" s="175"/>
      <c r="X608" s="175"/>
      <c r="Y608" s="175"/>
      <c r="Z608" s="175"/>
      <c r="AA608" s="175"/>
    </row>
    <row r="609">
      <c r="A609" s="187"/>
      <c r="D609" s="187"/>
      <c r="O609" s="175"/>
      <c r="P609" s="175"/>
      <c r="Q609" s="175"/>
      <c r="R609" s="175"/>
      <c r="S609" s="175"/>
      <c r="T609" s="175"/>
      <c r="U609" s="175"/>
      <c r="V609" s="175"/>
      <c r="W609" s="175"/>
      <c r="X609" s="175"/>
      <c r="Y609" s="175"/>
      <c r="Z609" s="175"/>
      <c r="AA609" s="175"/>
    </row>
    <row r="610">
      <c r="A610" s="187"/>
      <c r="D610" s="187"/>
      <c r="O610" s="175"/>
      <c r="P610" s="175"/>
      <c r="Q610" s="175"/>
      <c r="R610" s="175"/>
      <c r="S610" s="175"/>
      <c r="T610" s="175"/>
      <c r="U610" s="175"/>
      <c r="V610" s="175"/>
      <c r="W610" s="175"/>
      <c r="X610" s="175"/>
      <c r="Y610" s="175"/>
      <c r="Z610" s="175"/>
      <c r="AA610" s="175"/>
    </row>
    <row r="611">
      <c r="A611" s="187"/>
      <c r="D611" s="187"/>
      <c r="O611" s="175"/>
      <c r="P611" s="175"/>
      <c r="Q611" s="175"/>
      <c r="R611" s="175"/>
      <c r="S611" s="175"/>
      <c r="T611" s="175"/>
      <c r="U611" s="175"/>
      <c r="V611" s="175"/>
      <c r="W611" s="175"/>
      <c r="X611" s="175"/>
      <c r="Y611" s="175"/>
      <c r="Z611" s="175"/>
      <c r="AA611" s="175"/>
    </row>
    <row r="612">
      <c r="A612" s="187"/>
      <c r="D612" s="187"/>
      <c r="O612" s="175"/>
      <c r="P612" s="175"/>
      <c r="Q612" s="175"/>
      <c r="R612" s="175"/>
      <c r="S612" s="175"/>
      <c r="T612" s="175"/>
      <c r="U612" s="175"/>
      <c r="V612" s="175"/>
      <c r="W612" s="175"/>
      <c r="X612" s="175"/>
      <c r="Y612" s="175"/>
      <c r="Z612" s="175"/>
      <c r="AA612" s="175"/>
    </row>
    <row r="613">
      <c r="A613" s="187"/>
      <c r="D613" s="187"/>
      <c r="O613" s="175"/>
      <c r="P613" s="175"/>
      <c r="Q613" s="175"/>
      <c r="R613" s="175"/>
      <c r="S613" s="175"/>
      <c r="T613" s="175"/>
      <c r="U613" s="175"/>
      <c r="V613" s="175"/>
      <c r="W613" s="175"/>
      <c r="X613" s="175"/>
      <c r="Y613" s="175"/>
      <c r="Z613" s="175"/>
      <c r="AA613" s="175"/>
    </row>
    <row r="614">
      <c r="A614" s="187"/>
      <c r="D614" s="187"/>
      <c r="O614" s="175"/>
      <c r="P614" s="175"/>
      <c r="Q614" s="175"/>
      <c r="R614" s="175"/>
      <c r="S614" s="175"/>
      <c r="T614" s="175"/>
      <c r="U614" s="175"/>
      <c r="V614" s="175"/>
      <c r="W614" s="175"/>
      <c r="X614" s="175"/>
      <c r="Y614" s="175"/>
      <c r="Z614" s="175"/>
      <c r="AA614" s="175"/>
    </row>
    <row r="615">
      <c r="A615" s="187"/>
      <c r="D615" s="187"/>
      <c r="O615" s="175"/>
      <c r="P615" s="175"/>
      <c r="Q615" s="175"/>
      <c r="R615" s="175"/>
      <c r="S615" s="175"/>
      <c r="T615" s="175"/>
      <c r="U615" s="175"/>
      <c r="V615" s="175"/>
      <c r="W615" s="175"/>
      <c r="X615" s="175"/>
      <c r="Y615" s="175"/>
      <c r="Z615" s="175"/>
      <c r="AA615" s="175"/>
    </row>
    <row r="616">
      <c r="A616" s="187"/>
      <c r="D616" s="187"/>
      <c r="O616" s="175"/>
      <c r="P616" s="175"/>
      <c r="Q616" s="175"/>
      <c r="R616" s="175"/>
      <c r="S616" s="175"/>
      <c r="T616" s="175"/>
      <c r="U616" s="175"/>
      <c r="V616" s="175"/>
      <c r="W616" s="175"/>
      <c r="X616" s="175"/>
      <c r="Y616" s="175"/>
      <c r="Z616" s="175"/>
      <c r="AA616" s="175"/>
    </row>
    <row r="617">
      <c r="A617" s="187"/>
      <c r="D617" s="187"/>
      <c r="O617" s="175"/>
      <c r="P617" s="175"/>
      <c r="Q617" s="175"/>
      <c r="R617" s="175"/>
      <c r="S617" s="175"/>
      <c r="T617" s="175"/>
      <c r="U617" s="175"/>
      <c r="V617" s="175"/>
      <c r="W617" s="175"/>
      <c r="X617" s="175"/>
      <c r="Y617" s="175"/>
      <c r="Z617" s="175"/>
      <c r="AA617" s="175"/>
    </row>
    <row r="618">
      <c r="A618" s="187"/>
      <c r="D618" s="187"/>
      <c r="O618" s="175"/>
      <c r="P618" s="175"/>
      <c r="Q618" s="175"/>
      <c r="R618" s="175"/>
      <c r="S618" s="175"/>
      <c r="T618" s="175"/>
      <c r="U618" s="175"/>
      <c r="V618" s="175"/>
      <c r="W618" s="175"/>
      <c r="X618" s="175"/>
      <c r="Y618" s="175"/>
      <c r="Z618" s="175"/>
      <c r="AA618" s="175"/>
    </row>
    <row r="619">
      <c r="A619" s="187"/>
      <c r="D619" s="187"/>
      <c r="O619" s="175"/>
      <c r="P619" s="175"/>
      <c r="Q619" s="175"/>
      <c r="R619" s="175"/>
      <c r="S619" s="175"/>
      <c r="T619" s="175"/>
      <c r="U619" s="175"/>
      <c r="V619" s="175"/>
      <c r="W619" s="175"/>
      <c r="X619" s="175"/>
      <c r="Y619" s="175"/>
      <c r="Z619" s="175"/>
      <c r="AA619" s="175"/>
    </row>
    <row r="620">
      <c r="A620" s="187"/>
      <c r="D620" s="187"/>
      <c r="O620" s="175"/>
      <c r="P620" s="175"/>
      <c r="Q620" s="175"/>
      <c r="R620" s="175"/>
      <c r="S620" s="175"/>
      <c r="T620" s="175"/>
      <c r="U620" s="175"/>
      <c r="V620" s="175"/>
      <c r="W620" s="175"/>
      <c r="X620" s="175"/>
      <c r="Y620" s="175"/>
      <c r="Z620" s="175"/>
      <c r="AA620" s="175"/>
    </row>
    <row r="621">
      <c r="A621" s="187"/>
      <c r="D621" s="187"/>
      <c r="O621" s="175"/>
      <c r="P621" s="175"/>
      <c r="Q621" s="175"/>
      <c r="R621" s="175"/>
      <c r="S621" s="175"/>
      <c r="T621" s="175"/>
      <c r="U621" s="175"/>
      <c r="V621" s="175"/>
      <c r="W621" s="175"/>
      <c r="X621" s="175"/>
      <c r="Y621" s="175"/>
      <c r="Z621" s="175"/>
      <c r="AA621" s="175"/>
    </row>
    <row r="622">
      <c r="A622" s="187"/>
      <c r="D622" s="187"/>
      <c r="O622" s="175"/>
      <c r="P622" s="175"/>
      <c r="Q622" s="175"/>
      <c r="R622" s="175"/>
      <c r="S622" s="175"/>
      <c r="T622" s="175"/>
      <c r="U622" s="175"/>
      <c r="V622" s="175"/>
      <c r="W622" s="175"/>
      <c r="X622" s="175"/>
      <c r="Y622" s="175"/>
      <c r="Z622" s="175"/>
      <c r="AA622" s="175"/>
    </row>
    <row r="623">
      <c r="A623" s="187"/>
      <c r="D623" s="187"/>
      <c r="O623" s="175"/>
      <c r="P623" s="175"/>
      <c r="Q623" s="175"/>
      <c r="R623" s="175"/>
      <c r="S623" s="175"/>
      <c r="T623" s="175"/>
      <c r="U623" s="175"/>
      <c r="V623" s="175"/>
      <c r="W623" s="175"/>
      <c r="X623" s="175"/>
      <c r="Y623" s="175"/>
      <c r="Z623" s="175"/>
      <c r="AA623" s="175"/>
    </row>
    <row r="624">
      <c r="A624" s="187"/>
      <c r="D624" s="187"/>
      <c r="O624" s="175"/>
      <c r="P624" s="175"/>
      <c r="Q624" s="175"/>
      <c r="R624" s="175"/>
      <c r="S624" s="175"/>
      <c r="T624" s="175"/>
      <c r="U624" s="175"/>
      <c r="V624" s="175"/>
      <c r="W624" s="175"/>
      <c r="X624" s="175"/>
      <c r="Y624" s="175"/>
      <c r="Z624" s="175"/>
      <c r="AA624" s="175"/>
    </row>
    <row r="625">
      <c r="A625" s="187"/>
      <c r="D625" s="187"/>
      <c r="O625" s="175"/>
      <c r="P625" s="175"/>
      <c r="Q625" s="175"/>
      <c r="R625" s="175"/>
      <c r="S625" s="175"/>
      <c r="T625" s="175"/>
      <c r="U625" s="175"/>
      <c r="V625" s="175"/>
      <c r="W625" s="175"/>
      <c r="X625" s="175"/>
      <c r="Y625" s="175"/>
      <c r="Z625" s="175"/>
      <c r="AA625" s="175"/>
    </row>
    <row r="626">
      <c r="A626" s="187"/>
      <c r="D626" s="187"/>
      <c r="O626" s="175"/>
      <c r="P626" s="175"/>
      <c r="Q626" s="175"/>
      <c r="R626" s="175"/>
      <c r="S626" s="175"/>
      <c r="T626" s="175"/>
      <c r="U626" s="175"/>
      <c r="V626" s="175"/>
      <c r="W626" s="175"/>
      <c r="X626" s="175"/>
      <c r="Y626" s="175"/>
      <c r="Z626" s="175"/>
      <c r="AA626" s="175"/>
    </row>
    <row r="627">
      <c r="A627" s="187"/>
      <c r="D627" s="187"/>
      <c r="O627" s="175"/>
      <c r="P627" s="175"/>
      <c r="Q627" s="175"/>
      <c r="R627" s="175"/>
      <c r="S627" s="175"/>
      <c r="T627" s="175"/>
      <c r="U627" s="175"/>
      <c r="V627" s="175"/>
      <c r="W627" s="175"/>
      <c r="X627" s="175"/>
      <c r="Y627" s="175"/>
      <c r="Z627" s="175"/>
      <c r="AA627" s="175"/>
    </row>
    <row r="628">
      <c r="A628" s="187"/>
      <c r="D628" s="187"/>
      <c r="O628" s="175"/>
      <c r="P628" s="175"/>
      <c r="Q628" s="175"/>
      <c r="R628" s="175"/>
      <c r="S628" s="175"/>
      <c r="T628" s="175"/>
      <c r="U628" s="175"/>
      <c r="V628" s="175"/>
      <c r="W628" s="175"/>
      <c r="X628" s="175"/>
      <c r="Y628" s="175"/>
      <c r="Z628" s="175"/>
      <c r="AA628" s="175"/>
    </row>
    <row r="629">
      <c r="A629" s="187"/>
      <c r="D629" s="187"/>
      <c r="O629" s="175"/>
      <c r="P629" s="175"/>
      <c r="Q629" s="175"/>
      <c r="R629" s="175"/>
      <c r="S629" s="175"/>
      <c r="T629" s="175"/>
      <c r="U629" s="175"/>
      <c r="V629" s="175"/>
      <c r="W629" s="175"/>
      <c r="X629" s="175"/>
      <c r="Y629" s="175"/>
      <c r="Z629" s="175"/>
      <c r="AA629" s="175"/>
    </row>
    <row r="630">
      <c r="A630" s="187"/>
      <c r="D630" s="187"/>
      <c r="O630" s="175"/>
      <c r="P630" s="175"/>
      <c r="Q630" s="175"/>
      <c r="R630" s="175"/>
      <c r="S630" s="175"/>
      <c r="T630" s="175"/>
      <c r="U630" s="175"/>
      <c r="V630" s="175"/>
      <c r="W630" s="175"/>
      <c r="X630" s="175"/>
      <c r="Y630" s="175"/>
      <c r="Z630" s="175"/>
      <c r="AA630" s="175"/>
    </row>
    <row r="631">
      <c r="A631" s="187"/>
      <c r="D631" s="187"/>
      <c r="O631" s="175"/>
      <c r="P631" s="175"/>
      <c r="Q631" s="175"/>
      <c r="R631" s="175"/>
      <c r="S631" s="175"/>
      <c r="T631" s="175"/>
      <c r="U631" s="175"/>
      <c r="V631" s="175"/>
      <c r="W631" s="175"/>
      <c r="X631" s="175"/>
      <c r="Y631" s="175"/>
      <c r="Z631" s="175"/>
      <c r="AA631" s="175"/>
    </row>
    <row r="632">
      <c r="A632" s="187"/>
      <c r="D632" s="187"/>
      <c r="O632" s="175"/>
      <c r="P632" s="175"/>
      <c r="Q632" s="175"/>
      <c r="R632" s="175"/>
      <c r="S632" s="175"/>
      <c r="T632" s="175"/>
      <c r="U632" s="175"/>
      <c r="V632" s="175"/>
      <c r="W632" s="175"/>
      <c r="X632" s="175"/>
      <c r="Y632" s="175"/>
      <c r="Z632" s="175"/>
      <c r="AA632" s="175"/>
    </row>
    <row r="633">
      <c r="A633" s="187"/>
      <c r="D633" s="187"/>
      <c r="O633" s="175"/>
      <c r="P633" s="175"/>
      <c r="Q633" s="175"/>
      <c r="R633" s="175"/>
      <c r="S633" s="175"/>
      <c r="T633" s="175"/>
      <c r="U633" s="175"/>
      <c r="V633" s="175"/>
      <c r="W633" s="175"/>
      <c r="X633" s="175"/>
      <c r="Y633" s="175"/>
      <c r="Z633" s="175"/>
      <c r="AA633" s="175"/>
    </row>
    <row r="634">
      <c r="A634" s="187"/>
      <c r="D634" s="187"/>
      <c r="O634" s="175"/>
      <c r="P634" s="175"/>
      <c r="Q634" s="175"/>
      <c r="R634" s="175"/>
      <c r="S634" s="175"/>
      <c r="T634" s="175"/>
      <c r="U634" s="175"/>
      <c r="V634" s="175"/>
      <c r="W634" s="175"/>
      <c r="X634" s="175"/>
      <c r="Y634" s="175"/>
      <c r="Z634" s="175"/>
      <c r="AA634" s="175"/>
    </row>
    <row r="635">
      <c r="A635" s="187"/>
      <c r="D635" s="187"/>
      <c r="O635" s="175"/>
      <c r="P635" s="175"/>
      <c r="Q635" s="175"/>
      <c r="R635" s="175"/>
      <c r="S635" s="175"/>
      <c r="T635" s="175"/>
      <c r="U635" s="175"/>
      <c r="V635" s="175"/>
      <c r="W635" s="175"/>
      <c r="X635" s="175"/>
      <c r="Y635" s="175"/>
      <c r="Z635" s="175"/>
      <c r="AA635" s="175"/>
    </row>
    <row r="636">
      <c r="A636" s="187"/>
      <c r="D636" s="187"/>
      <c r="O636" s="175"/>
      <c r="P636" s="175"/>
      <c r="Q636" s="175"/>
      <c r="R636" s="175"/>
      <c r="S636" s="175"/>
      <c r="T636" s="175"/>
      <c r="U636" s="175"/>
      <c r="V636" s="175"/>
      <c r="W636" s="175"/>
      <c r="X636" s="175"/>
      <c r="Y636" s="175"/>
      <c r="Z636" s="175"/>
      <c r="AA636" s="175"/>
    </row>
    <row r="637">
      <c r="A637" s="187"/>
      <c r="D637" s="187"/>
      <c r="O637" s="175"/>
      <c r="P637" s="175"/>
      <c r="Q637" s="175"/>
      <c r="R637" s="175"/>
      <c r="S637" s="175"/>
      <c r="T637" s="175"/>
      <c r="U637" s="175"/>
      <c r="V637" s="175"/>
      <c r="W637" s="175"/>
      <c r="X637" s="175"/>
      <c r="Y637" s="175"/>
      <c r="Z637" s="175"/>
      <c r="AA637" s="175"/>
    </row>
    <row r="638">
      <c r="A638" s="187"/>
      <c r="D638" s="187"/>
      <c r="O638" s="175"/>
      <c r="P638" s="175"/>
      <c r="Q638" s="175"/>
      <c r="R638" s="175"/>
      <c r="S638" s="175"/>
      <c r="T638" s="175"/>
      <c r="U638" s="175"/>
      <c r="V638" s="175"/>
      <c r="W638" s="175"/>
      <c r="X638" s="175"/>
      <c r="Y638" s="175"/>
      <c r="Z638" s="175"/>
      <c r="AA638" s="175"/>
    </row>
    <row r="639">
      <c r="A639" s="187"/>
      <c r="D639" s="187"/>
      <c r="O639" s="175"/>
      <c r="P639" s="175"/>
      <c r="Q639" s="175"/>
      <c r="R639" s="175"/>
      <c r="S639" s="175"/>
      <c r="T639" s="175"/>
      <c r="U639" s="175"/>
      <c r="V639" s="175"/>
      <c r="W639" s="175"/>
      <c r="X639" s="175"/>
      <c r="Y639" s="175"/>
      <c r="Z639" s="175"/>
      <c r="AA639" s="175"/>
    </row>
    <row r="640">
      <c r="A640" s="187"/>
      <c r="D640" s="187"/>
      <c r="O640" s="175"/>
      <c r="P640" s="175"/>
      <c r="Q640" s="175"/>
      <c r="R640" s="175"/>
      <c r="S640" s="175"/>
      <c r="T640" s="175"/>
      <c r="U640" s="175"/>
      <c r="V640" s="175"/>
      <c r="W640" s="175"/>
      <c r="X640" s="175"/>
      <c r="Y640" s="175"/>
      <c r="Z640" s="175"/>
      <c r="AA640" s="175"/>
    </row>
    <row r="641">
      <c r="A641" s="187"/>
      <c r="D641" s="187"/>
      <c r="O641" s="175"/>
      <c r="P641" s="175"/>
      <c r="Q641" s="175"/>
      <c r="R641" s="175"/>
      <c r="S641" s="175"/>
      <c r="T641" s="175"/>
      <c r="U641" s="175"/>
      <c r="V641" s="175"/>
      <c r="W641" s="175"/>
      <c r="X641" s="175"/>
      <c r="Y641" s="175"/>
      <c r="Z641" s="175"/>
      <c r="AA641" s="175"/>
    </row>
    <row r="642">
      <c r="A642" s="187"/>
      <c r="D642" s="187"/>
      <c r="O642" s="175"/>
      <c r="P642" s="175"/>
      <c r="Q642" s="175"/>
      <c r="R642" s="175"/>
      <c r="S642" s="175"/>
      <c r="T642" s="175"/>
      <c r="U642" s="175"/>
      <c r="V642" s="175"/>
      <c r="W642" s="175"/>
      <c r="X642" s="175"/>
      <c r="Y642" s="175"/>
      <c r="Z642" s="175"/>
      <c r="AA642" s="175"/>
    </row>
    <row r="643">
      <c r="A643" s="187"/>
      <c r="D643" s="187"/>
      <c r="O643" s="175"/>
      <c r="P643" s="175"/>
      <c r="Q643" s="175"/>
      <c r="R643" s="175"/>
      <c r="S643" s="175"/>
      <c r="T643" s="175"/>
      <c r="U643" s="175"/>
      <c r="V643" s="175"/>
      <c r="W643" s="175"/>
      <c r="X643" s="175"/>
      <c r="Y643" s="175"/>
      <c r="Z643" s="175"/>
      <c r="AA643" s="175"/>
    </row>
    <row r="644">
      <c r="A644" s="187"/>
      <c r="D644" s="187"/>
      <c r="O644" s="175"/>
      <c r="P644" s="175"/>
      <c r="Q644" s="175"/>
      <c r="R644" s="175"/>
      <c r="S644" s="175"/>
      <c r="T644" s="175"/>
      <c r="U644" s="175"/>
      <c r="V644" s="175"/>
      <c r="W644" s="175"/>
      <c r="X644" s="175"/>
      <c r="Y644" s="175"/>
      <c r="Z644" s="175"/>
      <c r="AA644" s="175"/>
    </row>
    <row r="645">
      <c r="A645" s="187"/>
      <c r="D645" s="187"/>
      <c r="O645" s="175"/>
      <c r="P645" s="175"/>
      <c r="Q645" s="175"/>
      <c r="R645" s="175"/>
      <c r="S645" s="175"/>
      <c r="T645" s="175"/>
      <c r="U645" s="175"/>
      <c r="V645" s="175"/>
      <c r="W645" s="175"/>
      <c r="X645" s="175"/>
      <c r="Y645" s="175"/>
      <c r="Z645" s="175"/>
      <c r="AA645" s="175"/>
    </row>
    <row r="646">
      <c r="A646" s="187"/>
      <c r="D646" s="187"/>
      <c r="O646" s="175"/>
      <c r="P646" s="175"/>
      <c r="Q646" s="175"/>
      <c r="R646" s="175"/>
      <c r="S646" s="175"/>
      <c r="T646" s="175"/>
      <c r="U646" s="175"/>
      <c r="V646" s="175"/>
      <c r="W646" s="175"/>
      <c r="X646" s="175"/>
      <c r="Y646" s="175"/>
      <c r="Z646" s="175"/>
      <c r="AA646" s="175"/>
    </row>
    <row r="647">
      <c r="A647" s="187"/>
      <c r="D647" s="187"/>
      <c r="O647" s="175"/>
      <c r="P647" s="175"/>
      <c r="Q647" s="175"/>
      <c r="R647" s="175"/>
      <c r="S647" s="175"/>
      <c r="T647" s="175"/>
      <c r="U647" s="175"/>
      <c r="V647" s="175"/>
      <c r="W647" s="175"/>
      <c r="X647" s="175"/>
      <c r="Y647" s="175"/>
      <c r="Z647" s="175"/>
      <c r="AA647" s="175"/>
    </row>
    <row r="648">
      <c r="A648" s="187"/>
      <c r="D648" s="187"/>
      <c r="O648" s="175"/>
      <c r="P648" s="175"/>
      <c r="Q648" s="175"/>
      <c r="R648" s="175"/>
      <c r="S648" s="175"/>
      <c r="T648" s="175"/>
      <c r="U648" s="175"/>
      <c r="V648" s="175"/>
      <c r="W648" s="175"/>
      <c r="X648" s="175"/>
      <c r="Y648" s="175"/>
      <c r="Z648" s="175"/>
      <c r="AA648" s="175"/>
    </row>
    <row r="649">
      <c r="A649" s="187"/>
      <c r="D649" s="187"/>
      <c r="O649" s="175"/>
      <c r="P649" s="175"/>
      <c r="Q649" s="175"/>
      <c r="R649" s="175"/>
      <c r="S649" s="175"/>
      <c r="T649" s="175"/>
      <c r="U649" s="175"/>
      <c r="V649" s="175"/>
      <c r="W649" s="175"/>
      <c r="X649" s="175"/>
      <c r="Y649" s="175"/>
      <c r="Z649" s="175"/>
      <c r="AA649" s="175"/>
    </row>
    <row r="650">
      <c r="A650" s="187"/>
      <c r="D650" s="187"/>
      <c r="O650" s="175"/>
      <c r="P650" s="175"/>
      <c r="Q650" s="175"/>
      <c r="R650" s="175"/>
      <c r="S650" s="175"/>
      <c r="T650" s="175"/>
      <c r="U650" s="175"/>
      <c r="V650" s="175"/>
      <c r="W650" s="175"/>
      <c r="X650" s="175"/>
      <c r="Y650" s="175"/>
      <c r="Z650" s="175"/>
      <c r="AA650" s="175"/>
    </row>
    <row r="651">
      <c r="A651" s="187"/>
      <c r="D651" s="187"/>
      <c r="O651" s="175"/>
      <c r="P651" s="175"/>
      <c r="Q651" s="175"/>
      <c r="R651" s="175"/>
      <c r="S651" s="175"/>
      <c r="T651" s="175"/>
      <c r="U651" s="175"/>
      <c r="V651" s="175"/>
      <c r="W651" s="175"/>
      <c r="X651" s="175"/>
      <c r="Y651" s="175"/>
      <c r="Z651" s="175"/>
      <c r="AA651" s="175"/>
    </row>
    <row r="652">
      <c r="A652" s="187"/>
      <c r="D652" s="187"/>
      <c r="O652" s="175"/>
      <c r="P652" s="175"/>
      <c r="Q652" s="175"/>
      <c r="R652" s="175"/>
      <c r="S652" s="175"/>
      <c r="T652" s="175"/>
      <c r="U652" s="175"/>
      <c r="V652" s="175"/>
      <c r="W652" s="175"/>
      <c r="X652" s="175"/>
      <c r="Y652" s="175"/>
      <c r="Z652" s="175"/>
      <c r="AA652" s="175"/>
    </row>
    <row r="653">
      <c r="A653" s="187"/>
      <c r="D653" s="187"/>
      <c r="O653" s="175"/>
      <c r="P653" s="175"/>
      <c r="Q653" s="175"/>
      <c r="R653" s="175"/>
      <c r="S653" s="175"/>
      <c r="T653" s="175"/>
      <c r="U653" s="175"/>
      <c r="V653" s="175"/>
      <c r="W653" s="175"/>
      <c r="X653" s="175"/>
      <c r="Y653" s="175"/>
      <c r="Z653" s="175"/>
      <c r="AA653" s="175"/>
    </row>
    <row r="654">
      <c r="A654" s="187"/>
      <c r="D654" s="187"/>
      <c r="O654" s="175"/>
      <c r="P654" s="175"/>
      <c r="Q654" s="175"/>
      <c r="R654" s="175"/>
      <c r="S654" s="175"/>
      <c r="T654" s="175"/>
      <c r="U654" s="175"/>
      <c r="V654" s="175"/>
      <c r="W654" s="175"/>
      <c r="X654" s="175"/>
      <c r="Y654" s="175"/>
      <c r="Z654" s="175"/>
      <c r="AA654" s="175"/>
    </row>
    <row r="655">
      <c r="A655" s="187"/>
      <c r="D655" s="187"/>
      <c r="O655" s="175"/>
      <c r="P655" s="175"/>
      <c r="Q655" s="175"/>
      <c r="R655" s="175"/>
      <c r="S655" s="175"/>
      <c r="T655" s="175"/>
      <c r="U655" s="175"/>
      <c r="V655" s="175"/>
      <c r="W655" s="175"/>
      <c r="X655" s="175"/>
      <c r="Y655" s="175"/>
      <c r="Z655" s="175"/>
      <c r="AA655" s="175"/>
    </row>
    <row r="656">
      <c r="A656" s="187"/>
      <c r="D656" s="187"/>
      <c r="O656" s="175"/>
      <c r="P656" s="175"/>
      <c r="Q656" s="175"/>
      <c r="R656" s="175"/>
      <c r="S656" s="175"/>
      <c r="T656" s="175"/>
      <c r="U656" s="175"/>
      <c r="V656" s="175"/>
      <c r="W656" s="175"/>
      <c r="X656" s="175"/>
      <c r="Y656" s="175"/>
      <c r="Z656" s="175"/>
      <c r="AA656" s="175"/>
    </row>
    <row r="657">
      <c r="A657" s="187"/>
      <c r="D657" s="187"/>
      <c r="O657" s="175"/>
      <c r="P657" s="175"/>
      <c r="Q657" s="175"/>
      <c r="R657" s="175"/>
      <c r="S657" s="175"/>
      <c r="T657" s="175"/>
      <c r="U657" s="175"/>
      <c r="V657" s="175"/>
      <c r="W657" s="175"/>
      <c r="X657" s="175"/>
      <c r="Y657" s="175"/>
      <c r="Z657" s="175"/>
      <c r="AA657" s="175"/>
    </row>
    <row r="658">
      <c r="A658" s="187"/>
      <c r="D658" s="187"/>
      <c r="O658" s="175"/>
      <c r="P658" s="175"/>
      <c r="Q658" s="175"/>
      <c r="R658" s="175"/>
      <c r="S658" s="175"/>
      <c r="T658" s="175"/>
      <c r="U658" s="175"/>
      <c r="V658" s="175"/>
      <c r="W658" s="175"/>
      <c r="X658" s="175"/>
      <c r="Y658" s="175"/>
      <c r="Z658" s="175"/>
      <c r="AA658" s="175"/>
    </row>
    <row r="659">
      <c r="A659" s="187"/>
      <c r="D659" s="187"/>
      <c r="O659" s="175"/>
      <c r="P659" s="175"/>
      <c r="Q659" s="175"/>
      <c r="R659" s="175"/>
      <c r="S659" s="175"/>
      <c r="T659" s="175"/>
      <c r="U659" s="175"/>
      <c r="V659" s="175"/>
      <c r="W659" s="175"/>
      <c r="X659" s="175"/>
      <c r="Y659" s="175"/>
      <c r="Z659" s="175"/>
      <c r="AA659" s="175"/>
    </row>
    <row r="660">
      <c r="A660" s="187"/>
      <c r="D660" s="187"/>
      <c r="O660" s="175"/>
      <c r="P660" s="175"/>
      <c r="Q660" s="175"/>
      <c r="R660" s="175"/>
      <c r="S660" s="175"/>
      <c r="T660" s="175"/>
      <c r="U660" s="175"/>
      <c r="V660" s="175"/>
      <c r="W660" s="175"/>
      <c r="X660" s="175"/>
      <c r="Y660" s="175"/>
      <c r="Z660" s="175"/>
      <c r="AA660" s="175"/>
    </row>
    <row r="661">
      <c r="A661" s="187"/>
      <c r="D661" s="187"/>
      <c r="O661" s="175"/>
      <c r="P661" s="175"/>
      <c r="Q661" s="175"/>
      <c r="R661" s="175"/>
      <c r="S661" s="175"/>
      <c r="T661" s="175"/>
      <c r="U661" s="175"/>
      <c r="V661" s="175"/>
      <c r="W661" s="175"/>
      <c r="X661" s="175"/>
      <c r="Y661" s="175"/>
      <c r="Z661" s="175"/>
      <c r="AA661" s="175"/>
    </row>
    <row r="662">
      <c r="A662" s="187"/>
      <c r="D662" s="187"/>
      <c r="O662" s="175"/>
      <c r="P662" s="175"/>
      <c r="Q662" s="175"/>
      <c r="R662" s="175"/>
      <c r="S662" s="175"/>
      <c r="T662" s="175"/>
      <c r="U662" s="175"/>
      <c r="V662" s="175"/>
      <c r="W662" s="175"/>
      <c r="X662" s="175"/>
      <c r="Y662" s="175"/>
      <c r="Z662" s="175"/>
      <c r="AA662" s="175"/>
    </row>
    <row r="663">
      <c r="A663" s="187"/>
      <c r="D663" s="187"/>
      <c r="O663" s="175"/>
      <c r="P663" s="175"/>
      <c r="Q663" s="175"/>
      <c r="R663" s="175"/>
      <c r="S663" s="175"/>
      <c r="T663" s="175"/>
      <c r="U663" s="175"/>
      <c r="V663" s="175"/>
      <c r="W663" s="175"/>
      <c r="X663" s="175"/>
      <c r="Y663" s="175"/>
      <c r="Z663" s="175"/>
      <c r="AA663" s="175"/>
    </row>
    <row r="664">
      <c r="A664" s="187"/>
      <c r="D664" s="187"/>
      <c r="O664" s="175"/>
      <c r="P664" s="175"/>
      <c r="Q664" s="175"/>
      <c r="R664" s="175"/>
      <c r="S664" s="175"/>
      <c r="T664" s="175"/>
      <c r="U664" s="175"/>
      <c r="V664" s="175"/>
      <c r="W664" s="175"/>
      <c r="X664" s="175"/>
      <c r="Y664" s="175"/>
      <c r="Z664" s="175"/>
      <c r="AA664" s="175"/>
    </row>
    <row r="665">
      <c r="A665" s="187"/>
      <c r="D665" s="187"/>
      <c r="O665" s="175"/>
      <c r="P665" s="175"/>
      <c r="Q665" s="175"/>
      <c r="R665" s="175"/>
      <c r="S665" s="175"/>
      <c r="T665" s="175"/>
      <c r="U665" s="175"/>
      <c r="V665" s="175"/>
      <c r="W665" s="175"/>
      <c r="X665" s="175"/>
      <c r="Y665" s="175"/>
      <c r="Z665" s="175"/>
      <c r="AA665" s="175"/>
    </row>
    <row r="666">
      <c r="A666" s="187"/>
      <c r="D666" s="187"/>
      <c r="O666" s="175"/>
      <c r="P666" s="175"/>
      <c r="Q666" s="175"/>
      <c r="R666" s="175"/>
      <c r="S666" s="175"/>
      <c r="T666" s="175"/>
      <c r="U666" s="175"/>
      <c r="V666" s="175"/>
      <c r="W666" s="175"/>
      <c r="X666" s="175"/>
      <c r="Y666" s="175"/>
      <c r="Z666" s="175"/>
      <c r="AA666" s="175"/>
    </row>
    <row r="667">
      <c r="A667" s="187"/>
      <c r="D667" s="187"/>
      <c r="O667" s="175"/>
      <c r="P667" s="175"/>
      <c r="Q667" s="175"/>
      <c r="R667" s="175"/>
      <c r="S667" s="175"/>
      <c r="T667" s="175"/>
      <c r="U667" s="175"/>
      <c r="V667" s="175"/>
      <c r="W667" s="175"/>
      <c r="X667" s="175"/>
      <c r="Y667" s="175"/>
      <c r="Z667" s="175"/>
      <c r="AA667" s="175"/>
    </row>
    <row r="668">
      <c r="A668" s="187"/>
      <c r="D668" s="187"/>
      <c r="O668" s="175"/>
      <c r="P668" s="175"/>
      <c r="Q668" s="175"/>
      <c r="R668" s="175"/>
      <c r="S668" s="175"/>
      <c r="T668" s="175"/>
      <c r="U668" s="175"/>
      <c r="V668" s="175"/>
      <c r="W668" s="175"/>
      <c r="X668" s="175"/>
      <c r="Y668" s="175"/>
      <c r="Z668" s="175"/>
      <c r="AA668" s="175"/>
    </row>
    <row r="669">
      <c r="A669" s="187"/>
      <c r="D669" s="187"/>
      <c r="O669" s="175"/>
      <c r="P669" s="175"/>
      <c r="Q669" s="175"/>
      <c r="R669" s="175"/>
      <c r="S669" s="175"/>
      <c r="T669" s="175"/>
      <c r="U669" s="175"/>
      <c r="V669" s="175"/>
      <c r="W669" s="175"/>
      <c r="X669" s="175"/>
      <c r="Y669" s="175"/>
      <c r="Z669" s="175"/>
      <c r="AA669" s="175"/>
    </row>
    <row r="670">
      <c r="A670" s="187"/>
      <c r="D670" s="187"/>
      <c r="O670" s="175"/>
      <c r="P670" s="175"/>
      <c r="Q670" s="175"/>
      <c r="R670" s="175"/>
      <c r="S670" s="175"/>
      <c r="T670" s="175"/>
      <c r="U670" s="175"/>
      <c r="V670" s="175"/>
      <c r="W670" s="175"/>
      <c r="X670" s="175"/>
      <c r="Y670" s="175"/>
      <c r="Z670" s="175"/>
      <c r="AA670" s="175"/>
    </row>
    <row r="671">
      <c r="A671" s="187"/>
      <c r="D671" s="187"/>
      <c r="O671" s="175"/>
      <c r="P671" s="175"/>
      <c r="Q671" s="175"/>
      <c r="R671" s="175"/>
      <c r="S671" s="175"/>
      <c r="T671" s="175"/>
      <c r="U671" s="175"/>
      <c r="V671" s="175"/>
      <c r="W671" s="175"/>
      <c r="X671" s="175"/>
      <c r="Y671" s="175"/>
      <c r="Z671" s="175"/>
      <c r="AA671" s="175"/>
    </row>
    <row r="672">
      <c r="A672" s="187"/>
      <c r="D672" s="187"/>
      <c r="O672" s="175"/>
      <c r="P672" s="175"/>
      <c r="Q672" s="175"/>
      <c r="R672" s="175"/>
      <c r="S672" s="175"/>
      <c r="T672" s="175"/>
      <c r="U672" s="175"/>
      <c r="V672" s="175"/>
      <c r="W672" s="175"/>
      <c r="X672" s="175"/>
      <c r="Y672" s="175"/>
      <c r="Z672" s="175"/>
      <c r="AA672" s="175"/>
    </row>
    <row r="673">
      <c r="A673" s="187"/>
      <c r="D673" s="187"/>
      <c r="O673" s="175"/>
      <c r="P673" s="175"/>
      <c r="Q673" s="175"/>
      <c r="R673" s="175"/>
      <c r="S673" s="175"/>
      <c r="T673" s="175"/>
      <c r="U673" s="175"/>
      <c r="V673" s="175"/>
      <c r="W673" s="175"/>
      <c r="X673" s="175"/>
      <c r="Y673" s="175"/>
      <c r="Z673" s="175"/>
      <c r="AA673" s="175"/>
    </row>
    <row r="674">
      <c r="A674" s="187"/>
      <c r="D674" s="187"/>
      <c r="O674" s="175"/>
      <c r="P674" s="175"/>
      <c r="Q674" s="175"/>
      <c r="R674" s="175"/>
      <c r="S674" s="175"/>
      <c r="T674" s="175"/>
      <c r="U674" s="175"/>
      <c r="V674" s="175"/>
      <c r="W674" s="175"/>
      <c r="X674" s="175"/>
      <c r="Y674" s="175"/>
      <c r="Z674" s="175"/>
      <c r="AA674" s="175"/>
    </row>
    <row r="675">
      <c r="A675" s="187"/>
      <c r="D675" s="187"/>
      <c r="O675" s="175"/>
      <c r="P675" s="175"/>
      <c r="Q675" s="175"/>
      <c r="R675" s="175"/>
      <c r="S675" s="175"/>
      <c r="T675" s="175"/>
      <c r="U675" s="175"/>
      <c r="V675" s="175"/>
      <c r="W675" s="175"/>
      <c r="X675" s="175"/>
      <c r="Y675" s="175"/>
      <c r="Z675" s="175"/>
      <c r="AA675" s="175"/>
    </row>
    <row r="676">
      <c r="A676" s="187"/>
      <c r="D676" s="187"/>
      <c r="O676" s="175"/>
      <c r="P676" s="175"/>
      <c r="Q676" s="175"/>
      <c r="R676" s="175"/>
      <c r="S676" s="175"/>
      <c r="T676" s="175"/>
      <c r="U676" s="175"/>
      <c r="V676" s="175"/>
      <c r="W676" s="175"/>
      <c r="X676" s="175"/>
      <c r="Y676" s="175"/>
      <c r="Z676" s="175"/>
      <c r="AA676" s="175"/>
    </row>
    <row r="677">
      <c r="A677" s="187"/>
      <c r="D677" s="187"/>
      <c r="O677" s="175"/>
      <c r="P677" s="175"/>
      <c r="Q677" s="175"/>
      <c r="R677" s="175"/>
      <c r="S677" s="175"/>
      <c r="T677" s="175"/>
      <c r="U677" s="175"/>
      <c r="V677" s="175"/>
      <c r="W677" s="175"/>
      <c r="X677" s="175"/>
      <c r="Y677" s="175"/>
      <c r="Z677" s="175"/>
      <c r="AA677" s="175"/>
    </row>
    <row r="678">
      <c r="A678" s="187"/>
      <c r="D678" s="187"/>
      <c r="O678" s="175"/>
      <c r="P678" s="175"/>
      <c r="Q678" s="175"/>
      <c r="R678" s="175"/>
      <c r="S678" s="175"/>
      <c r="T678" s="175"/>
      <c r="U678" s="175"/>
      <c r="V678" s="175"/>
      <c r="W678" s="175"/>
      <c r="X678" s="175"/>
      <c r="Y678" s="175"/>
      <c r="Z678" s="175"/>
      <c r="AA678" s="175"/>
    </row>
    <row r="679">
      <c r="A679" s="187"/>
      <c r="D679" s="187"/>
      <c r="O679" s="175"/>
      <c r="P679" s="175"/>
      <c r="Q679" s="175"/>
      <c r="R679" s="175"/>
      <c r="S679" s="175"/>
      <c r="T679" s="175"/>
      <c r="U679" s="175"/>
      <c r="V679" s="175"/>
      <c r="W679" s="175"/>
      <c r="X679" s="175"/>
      <c r="Y679" s="175"/>
      <c r="Z679" s="175"/>
      <c r="AA679" s="175"/>
    </row>
    <row r="680">
      <c r="A680" s="187"/>
      <c r="D680" s="187"/>
      <c r="O680" s="175"/>
      <c r="P680" s="175"/>
      <c r="Q680" s="175"/>
      <c r="R680" s="175"/>
      <c r="S680" s="175"/>
      <c r="T680" s="175"/>
      <c r="U680" s="175"/>
      <c r="V680" s="175"/>
      <c r="W680" s="175"/>
      <c r="X680" s="175"/>
      <c r="Y680" s="175"/>
      <c r="Z680" s="175"/>
      <c r="AA680" s="175"/>
    </row>
    <row r="681">
      <c r="A681" s="187"/>
      <c r="D681" s="187"/>
      <c r="O681" s="175"/>
      <c r="P681" s="175"/>
      <c r="Q681" s="175"/>
      <c r="R681" s="175"/>
      <c r="S681" s="175"/>
      <c r="T681" s="175"/>
      <c r="U681" s="175"/>
      <c r="V681" s="175"/>
      <c r="W681" s="175"/>
      <c r="X681" s="175"/>
      <c r="Y681" s="175"/>
      <c r="Z681" s="175"/>
      <c r="AA681" s="175"/>
    </row>
    <row r="682">
      <c r="A682" s="187"/>
      <c r="D682" s="187"/>
      <c r="O682" s="175"/>
      <c r="P682" s="175"/>
      <c r="Q682" s="175"/>
      <c r="R682" s="175"/>
      <c r="S682" s="175"/>
      <c r="T682" s="175"/>
      <c r="U682" s="175"/>
      <c r="V682" s="175"/>
      <c r="W682" s="175"/>
      <c r="X682" s="175"/>
      <c r="Y682" s="175"/>
      <c r="Z682" s="175"/>
      <c r="AA682" s="175"/>
    </row>
    <row r="683">
      <c r="A683" s="187"/>
      <c r="D683" s="187"/>
      <c r="O683" s="175"/>
      <c r="P683" s="175"/>
      <c r="Q683" s="175"/>
      <c r="R683" s="175"/>
      <c r="S683" s="175"/>
      <c r="T683" s="175"/>
      <c r="U683" s="175"/>
      <c r="V683" s="175"/>
      <c r="W683" s="175"/>
      <c r="X683" s="175"/>
      <c r="Y683" s="175"/>
      <c r="Z683" s="175"/>
      <c r="AA683" s="175"/>
    </row>
    <row r="684">
      <c r="A684" s="187"/>
      <c r="D684" s="187"/>
      <c r="O684" s="175"/>
      <c r="P684" s="175"/>
      <c r="Q684" s="175"/>
      <c r="R684" s="175"/>
      <c r="S684" s="175"/>
      <c r="T684" s="175"/>
      <c r="U684" s="175"/>
      <c r="V684" s="175"/>
      <c r="W684" s="175"/>
      <c r="X684" s="175"/>
      <c r="Y684" s="175"/>
      <c r="Z684" s="175"/>
      <c r="AA684" s="175"/>
    </row>
    <row r="685">
      <c r="A685" s="187"/>
      <c r="D685" s="187"/>
      <c r="O685" s="175"/>
      <c r="P685" s="175"/>
      <c r="Q685" s="175"/>
      <c r="R685" s="175"/>
      <c r="S685" s="175"/>
      <c r="T685" s="175"/>
      <c r="U685" s="175"/>
      <c r="V685" s="175"/>
      <c r="W685" s="175"/>
      <c r="X685" s="175"/>
      <c r="Y685" s="175"/>
      <c r="Z685" s="175"/>
      <c r="AA685" s="175"/>
    </row>
    <row r="686">
      <c r="A686" s="187"/>
      <c r="D686" s="187"/>
      <c r="O686" s="175"/>
      <c r="P686" s="175"/>
      <c r="Q686" s="175"/>
      <c r="R686" s="175"/>
      <c r="S686" s="175"/>
      <c r="T686" s="175"/>
      <c r="U686" s="175"/>
      <c r="V686" s="175"/>
      <c r="W686" s="175"/>
      <c r="X686" s="175"/>
      <c r="Y686" s="175"/>
      <c r="Z686" s="175"/>
      <c r="AA686" s="175"/>
    </row>
    <row r="687">
      <c r="A687" s="187"/>
      <c r="D687" s="187"/>
      <c r="O687" s="175"/>
      <c r="P687" s="175"/>
      <c r="Q687" s="175"/>
      <c r="R687" s="175"/>
      <c r="S687" s="175"/>
      <c r="T687" s="175"/>
      <c r="U687" s="175"/>
      <c r="V687" s="175"/>
      <c r="W687" s="175"/>
      <c r="X687" s="175"/>
      <c r="Y687" s="175"/>
      <c r="Z687" s="175"/>
      <c r="AA687" s="175"/>
    </row>
    <row r="688">
      <c r="A688" s="187"/>
      <c r="D688" s="187"/>
      <c r="O688" s="175"/>
      <c r="P688" s="175"/>
      <c r="Q688" s="175"/>
      <c r="R688" s="175"/>
      <c r="S688" s="175"/>
      <c r="T688" s="175"/>
      <c r="U688" s="175"/>
      <c r="V688" s="175"/>
      <c r="W688" s="175"/>
      <c r="X688" s="175"/>
      <c r="Y688" s="175"/>
      <c r="Z688" s="175"/>
      <c r="AA688" s="175"/>
    </row>
    <row r="689">
      <c r="A689" s="187"/>
      <c r="D689" s="187"/>
      <c r="O689" s="175"/>
      <c r="P689" s="175"/>
      <c r="Q689" s="175"/>
      <c r="R689" s="175"/>
      <c r="S689" s="175"/>
      <c r="T689" s="175"/>
      <c r="U689" s="175"/>
      <c r="V689" s="175"/>
      <c r="W689" s="175"/>
      <c r="X689" s="175"/>
      <c r="Y689" s="175"/>
      <c r="Z689" s="175"/>
      <c r="AA689" s="175"/>
    </row>
    <row r="690">
      <c r="A690" s="187"/>
      <c r="D690" s="187"/>
      <c r="O690" s="175"/>
      <c r="P690" s="175"/>
      <c r="Q690" s="175"/>
      <c r="R690" s="175"/>
      <c r="S690" s="175"/>
      <c r="T690" s="175"/>
      <c r="U690" s="175"/>
      <c r="V690" s="175"/>
      <c r="W690" s="175"/>
      <c r="X690" s="175"/>
      <c r="Y690" s="175"/>
      <c r="Z690" s="175"/>
      <c r="AA690" s="175"/>
    </row>
    <row r="691">
      <c r="A691" s="187"/>
      <c r="D691" s="187"/>
      <c r="O691" s="175"/>
      <c r="P691" s="175"/>
      <c r="Q691" s="175"/>
      <c r="R691" s="175"/>
      <c r="S691" s="175"/>
      <c r="T691" s="175"/>
      <c r="U691" s="175"/>
      <c r="V691" s="175"/>
      <c r="W691" s="175"/>
      <c r="X691" s="175"/>
      <c r="Y691" s="175"/>
      <c r="Z691" s="175"/>
      <c r="AA691" s="175"/>
    </row>
    <row r="692">
      <c r="A692" s="187"/>
      <c r="D692" s="187"/>
      <c r="O692" s="175"/>
      <c r="P692" s="175"/>
      <c r="Q692" s="175"/>
      <c r="R692" s="175"/>
      <c r="S692" s="175"/>
      <c r="T692" s="175"/>
      <c r="U692" s="175"/>
      <c r="V692" s="175"/>
      <c r="W692" s="175"/>
      <c r="X692" s="175"/>
      <c r="Y692" s="175"/>
      <c r="Z692" s="175"/>
      <c r="AA692" s="175"/>
    </row>
    <row r="693">
      <c r="A693" s="187"/>
      <c r="D693" s="187"/>
      <c r="O693" s="175"/>
      <c r="P693" s="175"/>
      <c r="Q693" s="175"/>
      <c r="R693" s="175"/>
      <c r="S693" s="175"/>
      <c r="T693" s="175"/>
      <c r="U693" s="175"/>
      <c r="V693" s="175"/>
      <c r="W693" s="175"/>
      <c r="X693" s="175"/>
      <c r="Y693" s="175"/>
      <c r="Z693" s="175"/>
      <c r="AA693" s="175"/>
    </row>
    <row r="694">
      <c r="A694" s="187"/>
      <c r="D694" s="187"/>
      <c r="O694" s="175"/>
      <c r="P694" s="175"/>
      <c r="Q694" s="175"/>
      <c r="R694" s="175"/>
      <c r="S694" s="175"/>
      <c r="T694" s="175"/>
      <c r="U694" s="175"/>
      <c r="V694" s="175"/>
      <c r="W694" s="175"/>
      <c r="X694" s="175"/>
      <c r="Y694" s="175"/>
      <c r="Z694" s="175"/>
      <c r="AA694" s="175"/>
    </row>
    <row r="695">
      <c r="A695" s="187"/>
      <c r="D695" s="187"/>
      <c r="O695" s="175"/>
      <c r="P695" s="175"/>
      <c r="Q695" s="175"/>
      <c r="R695" s="175"/>
      <c r="S695" s="175"/>
      <c r="T695" s="175"/>
      <c r="U695" s="175"/>
      <c r="V695" s="175"/>
      <c r="W695" s="175"/>
      <c r="X695" s="175"/>
      <c r="Y695" s="175"/>
      <c r="Z695" s="175"/>
      <c r="AA695" s="175"/>
    </row>
    <row r="696">
      <c r="A696" s="187"/>
      <c r="D696" s="187"/>
      <c r="O696" s="175"/>
      <c r="P696" s="175"/>
      <c r="Q696" s="175"/>
      <c r="R696" s="175"/>
      <c r="S696" s="175"/>
      <c r="T696" s="175"/>
      <c r="U696" s="175"/>
      <c r="V696" s="175"/>
      <c r="W696" s="175"/>
      <c r="X696" s="175"/>
      <c r="Y696" s="175"/>
      <c r="Z696" s="175"/>
      <c r="AA696" s="175"/>
    </row>
    <row r="697">
      <c r="A697" s="187"/>
      <c r="D697" s="187"/>
      <c r="O697" s="175"/>
      <c r="P697" s="175"/>
      <c r="Q697" s="175"/>
      <c r="R697" s="175"/>
      <c r="S697" s="175"/>
      <c r="T697" s="175"/>
      <c r="U697" s="175"/>
      <c r="V697" s="175"/>
      <c r="W697" s="175"/>
      <c r="X697" s="175"/>
      <c r="Y697" s="175"/>
      <c r="Z697" s="175"/>
      <c r="AA697" s="175"/>
    </row>
    <row r="698">
      <c r="A698" s="187"/>
      <c r="D698" s="187"/>
      <c r="O698" s="175"/>
      <c r="P698" s="175"/>
      <c r="Q698" s="175"/>
      <c r="R698" s="175"/>
      <c r="S698" s="175"/>
      <c r="T698" s="175"/>
      <c r="U698" s="175"/>
      <c r="V698" s="175"/>
      <c r="W698" s="175"/>
      <c r="X698" s="175"/>
      <c r="Y698" s="175"/>
      <c r="Z698" s="175"/>
      <c r="AA698" s="175"/>
    </row>
    <row r="699">
      <c r="A699" s="187"/>
      <c r="D699" s="187"/>
      <c r="O699" s="175"/>
      <c r="P699" s="175"/>
      <c r="Q699" s="175"/>
      <c r="R699" s="175"/>
      <c r="S699" s="175"/>
      <c r="T699" s="175"/>
      <c r="U699" s="175"/>
      <c r="V699" s="175"/>
      <c r="W699" s="175"/>
      <c r="X699" s="175"/>
      <c r="Y699" s="175"/>
      <c r="Z699" s="175"/>
      <c r="AA699" s="175"/>
    </row>
    <row r="700">
      <c r="A700" s="187"/>
      <c r="D700" s="187"/>
      <c r="O700" s="175"/>
      <c r="P700" s="175"/>
      <c r="Q700" s="175"/>
      <c r="R700" s="175"/>
      <c r="S700" s="175"/>
      <c r="T700" s="175"/>
      <c r="U700" s="175"/>
      <c r="V700" s="175"/>
      <c r="W700" s="175"/>
      <c r="X700" s="175"/>
      <c r="Y700" s="175"/>
      <c r="Z700" s="175"/>
      <c r="AA700" s="175"/>
    </row>
    <row r="701">
      <c r="A701" s="187"/>
      <c r="D701" s="187"/>
      <c r="O701" s="175"/>
      <c r="P701" s="175"/>
      <c r="Q701" s="175"/>
      <c r="R701" s="175"/>
      <c r="S701" s="175"/>
      <c r="T701" s="175"/>
      <c r="U701" s="175"/>
      <c r="V701" s="175"/>
      <c r="W701" s="175"/>
      <c r="X701" s="175"/>
      <c r="Y701" s="175"/>
      <c r="Z701" s="175"/>
      <c r="AA701" s="175"/>
    </row>
    <row r="702">
      <c r="A702" s="187"/>
      <c r="D702" s="187"/>
      <c r="O702" s="175"/>
      <c r="P702" s="175"/>
      <c r="Q702" s="175"/>
      <c r="R702" s="175"/>
      <c r="S702" s="175"/>
      <c r="T702" s="175"/>
      <c r="U702" s="175"/>
      <c r="V702" s="175"/>
      <c r="W702" s="175"/>
      <c r="X702" s="175"/>
      <c r="Y702" s="175"/>
      <c r="Z702" s="175"/>
      <c r="AA702" s="175"/>
    </row>
    <row r="703">
      <c r="A703" s="187"/>
      <c r="D703" s="187"/>
      <c r="O703" s="175"/>
      <c r="P703" s="175"/>
      <c r="Q703" s="175"/>
      <c r="R703" s="175"/>
      <c r="S703" s="175"/>
      <c r="T703" s="175"/>
      <c r="U703" s="175"/>
      <c r="V703" s="175"/>
      <c r="W703" s="175"/>
      <c r="X703" s="175"/>
      <c r="Y703" s="175"/>
      <c r="Z703" s="175"/>
      <c r="AA703" s="175"/>
    </row>
    <row r="704">
      <c r="A704" s="187"/>
      <c r="D704" s="187"/>
      <c r="O704" s="175"/>
      <c r="P704" s="175"/>
      <c r="Q704" s="175"/>
      <c r="R704" s="175"/>
      <c r="S704" s="175"/>
      <c r="T704" s="175"/>
      <c r="U704" s="175"/>
      <c r="V704" s="175"/>
      <c r="W704" s="175"/>
      <c r="X704" s="175"/>
      <c r="Y704" s="175"/>
      <c r="Z704" s="175"/>
      <c r="AA704" s="175"/>
    </row>
    <row r="705">
      <c r="A705" s="187"/>
      <c r="D705" s="187"/>
      <c r="O705" s="175"/>
      <c r="P705" s="175"/>
      <c r="Q705" s="175"/>
      <c r="R705" s="175"/>
      <c r="S705" s="175"/>
      <c r="T705" s="175"/>
      <c r="U705" s="175"/>
      <c r="V705" s="175"/>
      <c r="W705" s="175"/>
      <c r="X705" s="175"/>
      <c r="Y705" s="175"/>
      <c r="Z705" s="175"/>
      <c r="AA705" s="175"/>
    </row>
    <row r="706">
      <c r="A706" s="187"/>
      <c r="D706" s="187"/>
      <c r="O706" s="175"/>
      <c r="P706" s="175"/>
      <c r="Q706" s="175"/>
      <c r="R706" s="175"/>
      <c r="S706" s="175"/>
      <c r="T706" s="175"/>
      <c r="U706" s="175"/>
      <c r="V706" s="175"/>
      <c r="W706" s="175"/>
      <c r="X706" s="175"/>
      <c r="Y706" s="175"/>
      <c r="Z706" s="175"/>
      <c r="AA706" s="175"/>
    </row>
    <row r="707">
      <c r="A707" s="187"/>
      <c r="D707" s="187"/>
      <c r="O707" s="175"/>
      <c r="P707" s="175"/>
      <c r="Q707" s="175"/>
      <c r="R707" s="175"/>
      <c r="S707" s="175"/>
      <c r="T707" s="175"/>
      <c r="U707" s="175"/>
      <c r="V707" s="175"/>
      <c r="W707" s="175"/>
      <c r="X707" s="175"/>
      <c r="Y707" s="175"/>
      <c r="Z707" s="175"/>
      <c r="AA707" s="175"/>
    </row>
    <row r="708">
      <c r="A708" s="187"/>
      <c r="D708" s="187"/>
      <c r="O708" s="175"/>
      <c r="P708" s="175"/>
      <c r="Q708" s="175"/>
      <c r="R708" s="175"/>
      <c r="S708" s="175"/>
      <c r="T708" s="175"/>
      <c r="U708" s="175"/>
      <c r="V708" s="175"/>
      <c r="W708" s="175"/>
      <c r="X708" s="175"/>
      <c r="Y708" s="175"/>
      <c r="Z708" s="175"/>
      <c r="AA708" s="175"/>
    </row>
    <row r="709">
      <c r="A709" s="187"/>
      <c r="D709" s="187"/>
      <c r="O709" s="175"/>
      <c r="P709" s="175"/>
      <c r="Q709" s="175"/>
      <c r="R709" s="175"/>
      <c r="S709" s="175"/>
      <c r="T709" s="175"/>
      <c r="U709" s="175"/>
      <c r="V709" s="175"/>
      <c r="W709" s="175"/>
      <c r="X709" s="175"/>
      <c r="Y709" s="175"/>
      <c r="Z709" s="175"/>
      <c r="AA709" s="175"/>
    </row>
    <row r="710">
      <c r="A710" s="187"/>
      <c r="D710" s="187"/>
      <c r="O710" s="175"/>
      <c r="P710" s="175"/>
      <c r="Q710" s="175"/>
      <c r="R710" s="175"/>
      <c r="S710" s="175"/>
      <c r="T710" s="175"/>
      <c r="U710" s="175"/>
      <c r="V710" s="175"/>
      <c r="W710" s="175"/>
      <c r="X710" s="175"/>
      <c r="Y710" s="175"/>
      <c r="Z710" s="175"/>
      <c r="AA710" s="175"/>
    </row>
    <row r="711">
      <c r="A711" s="187"/>
      <c r="D711" s="187"/>
      <c r="O711" s="175"/>
      <c r="P711" s="175"/>
      <c r="Q711" s="175"/>
      <c r="R711" s="175"/>
      <c r="S711" s="175"/>
      <c r="T711" s="175"/>
      <c r="U711" s="175"/>
      <c r="V711" s="175"/>
      <c r="W711" s="175"/>
      <c r="X711" s="175"/>
      <c r="Y711" s="175"/>
      <c r="Z711" s="175"/>
      <c r="AA711" s="175"/>
    </row>
    <row r="712">
      <c r="A712" s="187"/>
      <c r="D712" s="187"/>
      <c r="O712" s="175"/>
      <c r="P712" s="175"/>
      <c r="Q712" s="175"/>
      <c r="R712" s="175"/>
      <c r="S712" s="175"/>
      <c r="T712" s="175"/>
      <c r="U712" s="175"/>
      <c r="V712" s="175"/>
      <c r="W712" s="175"/>
      <c r="X712" s="175"/>
      <c r="Y712" s="175"/>
      <c r="Z712" s="175"/>
      <c r="AA712" s="175"/>
    </row>
    <row r="713">
      <c r="A713" s="187"/>
      <c r="D713" s="187"/>
      <c r="O713" s="175"/>
      <c r="P713" s="175"/>
      <c r="Q713" s="175"/>
      <c r="R713" s="175"/>
      <c r="S713" s="175"/>
      <c r="T713" s="175"/>
      <c r="U713" s="175"/>
      <c r="V713" s="175"/>
      <c r="W713" s="175"/>
      <c r="X713" s="175"/>
      <c r="Y713" s="175"/>
      <c r="Z713" s="175"/>
      <c r="AA713" s="175"/>
    </row>
    <row r="714">
      <c r="A714" s="187"/>
      <c r="D714" s="187"/>
      <c r="O714" s="175"/>
      <c r="P714" s="175"/>
      <c r="Q714" s="175"/>
      <c r="R714" s="175"/>
      <c r="S714" s="175"/>
      <c r="T714" s="175"/>
      <c r="U714" s="175"/>
      <c r="V714" s="175"/>
      <c r="W714" s="175"/>
      <c r="X714" s="175"/>
      <c r="Y714" s="175"/>
      <c r="Z714" s="175"/>
      <c r="AA714" s="175"/>
    </row>
    <row r="715">
      <c r="A715" s="187"/>
      <c r="D715" s="187"/>
      <c r="O715" s="175"/>
      <c r="P715" s="175"/>
      <c r="Q715" s="175"/>
      <c r="R715" s="175"/>
      <c r="S715" s="175"/>
      <c r="T715" s="175"/>
      <c r="U715" s="175"/>
      <c r="V715" s="175"/>
      <c r="W715" s="175"/>
      <c r="X715" s="175"/>
      <c r="Y715" s="175"/>
      <c r="Z715" s="175"/>
      <c r="AA715" s="175"/>
    </row>
    <row r="716">
      <c r="A716" s="187"/>
      <c r="D716" s="187"/>
      <c r="O716" s="175"/>
      <c r="P716" s="175"/>
      <c r="Q716" s="175"/>
      <c r="R716" s="175"/>
      <c r="S716" s="175"/>
      <c r="T716" s="175"/>
      <c r="U716" s="175"/>
      <c r="V716" s="175"/>
      <c r="W716" s="175"/>
      <c r="X716" s="175"/>
      <c r="Y716" s="175"/>
      <c r="Z716" s="175"/>
      <c r="AA716" s="175"/>
    </row>
    <row r="717">
      <c r="A717" s="187"/>
      <c r="D717" s="187"/>
      <c r="O717" s="175"/>
      <c r="P717" s="175"/>
      <c r="Q717" s="175"/>
      <c r="R717" s="175"/>
      <c r="S717" s="175"/>
      <c r="T717" s="175"/>
      <c r="U717" s="175"/>
      <c r="V717" s="175"/>
      <c r="W717" s="175"/>
      <c r="X717" s="175"/>
      <c r="Y717" s="175"/>
      <c r="Z717" s="175"/>
      <c r="AA717" s="175"/>
    </row>
    <row r="718">
      <c r="A718" s="187"/>
      <c r="D718" s="187"/>
      <c r="O718" s="175"/>
      <c r="P718" s="175"/>
      <c r="Q718" s="175"/>
      <c r="R718" s="175"/>
      <c r="S718" s="175"/>
      <c r="T718" s="175"/>
      <c r="U718" s="175"/>
      <c r="V718" s="175"/>
      <c r="W718" s="175"/>
      <c r="X718" s="175"/>
      <c r="Y718" s="175"/>
      <c r="Z718" s="175"/>
      <c r="AA718" s="175"/>
    </row>
    <row r="719">
      <c r="A719" s="187"/>
      <c r="D719" s="187"/>
      <c r="O719" s="175"/>
      <c r="P719" s="175"/>
      <c r="Q719" s="175"/>
      <c r="R719" s="175"/>
      <c r="S719" s="175"/>
      <c r="T719" s="175"/>
      <c r="U719" s="175"/>
      <c r="V719" s="175"/>
      <c r="W719" s="175"/>
      <c r="X719" s="175"/>
      <c r="Y719" s="175"/>
      <c r="Z719" s="175"/>
      <c r="AA719" s="175"/>
    </row>
    <row r="720">
      <c r="A720" s="187"/>
      <c r="D720" s="187"/>
      <c r="O720" s="175"/>
      <c r="P720" s="175"/>
      <c r="Q720" s="175"/>
      <c r="R720" s="175"/>
      <c r="S720" s="175"/>
      <c r="T720" s="175"/>
      <c r="U720" s="175"/>
      <c r="V720" s="175"/>
      <c r="W720" s="175"/>
      <c r="X720" s="175"/>
      <c r="Y720" s="175"/>
      <c r="Z720" s="175"/>
      <c r="AA720" s="175"/>
    </row>
    <row r="721">
      <c r="A721" s="187"/>
      <c r="D721" s="187"/>
      <c r="O721" s="175"/>
      <c r="P721" s="175"/>
      <c r="Q721" s="175"/>
      <c r="R721" s="175"/>
      <c r="S721" s="175"/>
      <c r="T721" s="175"/>
      <c r="U721" s="175"/>
      <c r="V721" s="175"/>
      <c r="W721" s="175"/>
      <c r="X721" s="175"/>
      <c r="Y721" s="175"/>
      <c r="Z721" s="175"/>
      <c r="AA721" s="175"/>
    </row>
    <row r="722">
      <c r="A722" s="187"/>
      <c r="D722" s="187"/>
      <c r="O722" s="175"/>
      <c r="P722" s="175"/>
      <c r="Q722" s="175"/>
      <c r="R722" s="175"/>
      <c r="S722" s="175"/>
      <c r="T722" s="175"/>
      <c r="U722" s="175"/>
      <c r="V722" s="175"/>
      <c r="W722" s="175"/>
      <c r="X722" s="175"/>
      <c r="Y722" s="175"/>
      <c r="Z722" s="175"/>
      <c r="AA722" s="175"/>
    </row>
    <row r="723">
      <c r="A723" s="187"/>
      <c r="D723" s="187"/>
      <c r="O723" s="175"/>
      <c r="P723" s="175"/>
      <c r="Q723" s="175"/>
      <c r="R723" s="175"/>
      <c r="S723" s="175"/>
      <c r="T723" s="175"/>
      <c r="U723" s="175"/>
      <c r="V723" s="175"/>
      <c r="W723" s="175"/>
      <c r="X723" s="175"/>
      <c r="Y723" s="175"/>
      <c r="Z723" s="175"/>
      <c r="AA723" s="175"/>
    </row>
    <row r="724">
      <c r="A724" s="187"/>
      <c r="D724" s="187"/>
      <c r="O724" s="175"/>
      <c r="P724" s="175"/>
      <c r="Q724" s="175"/>
      <c r="R724" s="175"/>
      <c r="S724" s="175"/>
      <c r="T724" s="175"/>
      <c r="U724" s="175"/>
      <c r="V724" s="175"/>
      <c r="W724" s="175"/>
      <c r="X724" s="175"/>
      <c r="Y724" s="175"/>
      <c r="Z724" s="175"/>
      <c r="AA724" s="175"/>
    </row>
    <row r="725">
      <c r="A725" s="187"/>
      <c r="D725" s="187"/>
      <c r="O725" s="175"/>
      <c r="P725" s="175"/>
      <c r="Q725" s="175"/>
      <c r="R725" s="175"/>
      <c r="S725" s="175"/>
      <c r="T725" s="175"/>
      <c r="U725" s="175"/>
      <c r="V725" s="175"/>
      <c r="W725" s="175"/>
      <c r="X725" s="175"/>
      <c r="Y725" s="175"/>
      <c r="Z725" s="175"/>
      <c r="AA725" s="175"/>
    </row>
    <row r="726">
      <c r="A726" s="187"/>
      <c r="D726" s="187"/>
      <c r="O726" s="175"/>
      <c r="P726" s="175"/>
      <c r="Q726" s="175"/>
      <c r="R726" s="175"/>
      <c r="S726" s="175"/>
      <c r="T726" s="175"/>
      <c r="U726" s="175"/>
      <c r="V726" s="175"/>
      <c r="W726" s="175"/>
      <c r="X726" s="175"/>
      <c r="Y726" s="175"/>
      <c r="Z726" s="175"/>
      <c r="AA726" s="175"/>
    </row>
    <row r="727">
      <c r="A727" s="187"/>
      <c r="D727" s="187"/>
      <c r="O727" s="175"/>
      <c r="P727" s="175"/>
      <c r="Q727" s="175"/>
      <c r="R727" s="175"/>
      <c r="S727" s="175"/>
      <c r="T727" s="175"/>
      <c r="U727" s="175"/>
      <c r="V727" s="175"/>
      <c r="W727" s="175"/>
      <c r="X727" s="175"/>
      <c r="Y727" s="175"/>
      <c r="Z727" s="175"/>
      <c r="AA727" s="175"/>
    </row>
    <row r="728">
      <c r="A728" s="187"/>
      <c r="D728" s="187"/>
      <c r="O728" s="175"/>
      <c r="P728" s="175"/>
      <c r="Q728" s="175"/>
      <c r="R728" s="175"/>
      <c r="S728" s="175"/>
      <c r="T728" s="175"/>
      <c r="U728" s="175"/>
      <c r="V728" s="175"/>
      <c r="W728" s="175"/>
      <c r="X728" s="175"/>
      <c r="Y728" s="175"/>
      <c r="Z728" s="175"/>
      <c r="AA728" s="175"/>
    </row>
    <row r="729">
      <c r="A729" s="187"/>
      <c r="D729" s="187"/>
      <c r="O729" s="175"/>
      <c r="P729" s="175"/>
      <c r="Q729" s="175"/>
      <c r="R729" s="175"/>
      <c r="S729" s="175"/>
      <c r="T729" s="175"/>
      <c r="U729" s="175"/>
      <c r="V729" s="175"/>
      <c r="W729" s="175"/>
      <c r="X729" s="175"/>
      <c r="Y729" s="175"/>
      <c r="Z729" s="175"/>
      <c r="AA729" s="175"/>
    </row>
    <row r="730">
      <c r="A730" s="187"/>
      <c r="D730" s="187"/>
      <c r="O730" s="175"/>
      <c r="P730" s="175"/>
      <c r="Q730" s="175"/>
      <c r="R730" s="175"/>
      <c r="S730" s="175"/>
      <c r="T730" s="175"/>
      <c r="U730" s="175"/>
      <c r="V730" s="175"/>
      <c r="W730" s="175"/>
      <c r="X730" s="175"/>
      <c r="Y730" s="175"/>
      <c r="Z730" s="175"/>
      <c r="AA730" s="175"/>
    </row>
    <row r="731">
      <c r="A731" s="187"/>
      <c r="D731" s="187"/>
      <c r="O731" s="175"/>
      <c r="P731" s="175"/>
      <c r="Q731" s="175"/>
      <c r="R731" s="175"/>
      <c r="S731" s="175"/>
      <c r="T731" s="175"/>
      <c r="U731" s="175"/>
      <c r="V731" s="175"/>
      <c r="W731" s="175"/>
      <c r="X731" s="175"/>
      <c r="Y731" s="175"/>
      <c r="Z731" s="175"/>
      <c r="AA731" s="175"/>
    </row>
    <row r="732">
      <c r="A732" s="187"/>
      <c r="D732" s="187"/>
      <c r="O732" s="175"/>
      <c r="P732" s="175"/>
      <c r="Q732" s="175"/>
      <c r="R732" s="175"/>
      <c r="S732" s="175"/>
      <c r="T732" s="175"/>
      <c r="U732" s="175"/>
      <c r="V732" s="175"/>
      <c r="W732" s="175"/>
      <c r="X732" s="175"/>
      <c r="Y732" s="175"/>
      <c r="Z732" s="175"/>
      <c r="AA732" s="175"/>
    </row>
    <row r="733">
      <c r="A733" s="187"/>
      <c r="D733" s="187"/>
      <c r="O733" s="175"/>
      <c r="P733" s="175"/>
      <c r="Q733" s="175"/>
      <c r="R733" s="175"/>
      <c r="S733" s="175"/>
      <c r="T733" s="175"/>
      <c r="U733" s="175"/>
      <c r="V733" s="175"/>
      <c r="W733" s="175"/>
      <c r="X733" s="175"/>
      <c r="Y733" s="175"/>
      <c r="Z733" s="175"/>
      <c r="AA733" s="175"/>
    </row>
    <row r="734">
      <c r="A734" s="187"/>
      <c r="D734" s="187"/>
      <c r="O734" s="175"/>
      <c r="P734" s="175"/>
      <c r="Q734" s="175"/>
      <c r="R734" s="175"/>
      <c r="S734" s="175"/>
      <c r="T734" s="175"/>
      <c r="U734" s="175"/>
      <c r="V734" s="175"/>
      <c r="W734" s="175"/>
      <c r="X734" s="175"/>
      <c r="Y734" s="175"/>
      <c r="Z734" s="175"/>
      <c r="AA734" s="175"/>
    </row>
    <row r="735">
      <c r="A735" s="187"/>
      <c r="D735" s="187"/>
      <c r="O735" s="175"/>
      <c r="P735" s="175"/>
      <c r="Q735" s="175"/>
      <c r="R735" s="175"/>
      <c r="S735" s="175"/>
      <c r="T735" s="175"/>
      <c r="U735" s="175"/>
      <c r="V735" s="175"/>
      <c r="W735" s="175"/>
      <c r="X735" s="175"/>
      <c r="Y735" s="175"/>
      <c r="Z735" s="175"/>
      <c r="AA735" s="175"/>
    </row>
    <row r="736">
      <c r="A736" s="187"/>
      <c r="D736" s="187"/>
      <c r="O736" s="175"/>
      <c r="P736" s="175"/>
      <c r="Q736" s="175"/>
      <c r="R736" s="175"/>
      <c r="S736" s="175"/>
      <c r="T736" s="175"/>
      <c r="U736" s="175"/>
      <c r="V736" s="175"/>
      <c r="W736" s="175"/>
      <c r="X736" s="175"/>
      <c r="Y736" s="175"/>
      <c r="Z736" s="175"/>
      <c r="AA736" s="175"/>
    </row>
    <row r="737">
      <c r="A737" s="187"/>
      <c r="D737" s="187"/>
      <c r="O737" s="175"/>
      <c r="P737" s="175"/>
      <c r="Q737" s="175"/>
      <c r="R737" s="175"/>
      <c r="S737" s="175"/>
      <c r="T737" s="175"/>
      <c r="U737" s="175"/>
      <c r="V737" s="175"/>
      <c r="W737" s="175"/>
      <c r="X737" s="175"/>
      <c r="Y737" s="175"/>
      <c r="Z737" s="175"/>
      <c r="AA737" s="175"/>
    </row>
    <row r="738">
      <c r="A738" s="187"/>
      <c r="D738" s="187"/>
      <c r="O738" s="175"/>
      <c r="P738" s="175"/>
      <c r="Q738" s="175"/>
      <c r="R738" s="175"/>
      <c r="S738" s="175"/>
      <c r="T738" s="175"/>
      <c r="U738" s="175"/>
      <c r="V738" s="175"/>
      <c r="W738" s="175"/>
      <c r="X738" s="175"/>
      <c r="Y738" s="175"/>
      <c r="Z738" s="175"/>
      <c r="AA738" s="175"/>
    </row>
    <row r="739">
      <c r="A739" s="187"/>
      <c r="D739" s="187"/>
      <c r="O739" s="175"/>
      <c r="P739" s="175"/>
      <c r="Q739" s="175"/>
      <c r="R739" s="175"/>
      <c r="S739" s="175"/>
      <c r="T739" s="175"/>
      <c r="U739" s="175"/>
      <c r="V739" s="175"/>
      <c r="W739" s="175"/>
      <c r="X739" s="175"/>
      <c r="Y739" s="175"/>
      <c r="Z739" s="175"/>
      <c r="AA739" s="175"/>
    </row>
    <row r="740">
      <c r="A740" s="187"/>
      <c r="D740" s="187"/>
      <c r="O740" s="175"/>
      <c r="P740" s="175"/>
      <c r="Q740" s="175"/>
      <c r="R740" s="175"/>
      <c r="S740" s="175"/>
      <c r="T740" s="175"/>
      <c r="U740" s="175"/>
      <c r="V740" s="175"/>
      <c r="W740" s="175"/>
      <c r="X740" s="175"/>
      <c r="Y740" s="175"/>
      <c r="Z740" s="175"/>
      <c r="AA740" s="175"/>
    </row>
    <row r="741">
      <c r="A741" s="187"/>
      <c r="D741" s="187"/>
      <c r="O741" s="175"/>
      <c r="P741" s="175"/>
      <c r="Q741" s="175"/>
      <c r="R741" s="175"/>
      <c r="S741" s="175"/>
      <c r="T741" s="175"/>
      <c r="U741" s="175"/>
      <c r="V741" s="175"/>
      <c r="W741" s="175"/>
      <c r="X741" s="175"/>
      <c r="Y741" s="175"/>
      <c r="Z741" s="175"/>
      <c r="AA741" s="175"/>
    </row>
    <row r="742">
      <c r="A742" s="187"/>
      <c r="D742" s="187"/>
      <c r="O742" s="175"/>
      <c r="P742" s="175"/>
      <c r="Q742" s="175"/>
      <c r="R742" s="175"/>
      <c r="S742" s="175"/>
      <c r="T742" s="175"/>
      <c r="U742" s="175"/>
      <c r="V742" s="175"/>
      <c r="W742" s="175"/>
      <c r="X742" s="175"/>
      <c r="Y742" s="175"/>
      <c r="Z742" s="175"/>
      <c r="AA742" s="175"/>
    </row>
    <row r="743">
      <c r="A743" s="187"/>
      <c r="D743" s="187"/>
      <c r="O743" s="175"/>
      <c r="P743" s="175"/>
      <c r="Q743" s="175"/>
      <c r="R743" s="175"/>
      <c r="S743" s="175"/>
      <c r="T743" s="175"/>
      <c r="U743" s="175"/>
      <c r="V743" s="175"/>
      <c r="W743" s="175"/>
      <c r="X743" s="175"/>
      <c r="Y743" s="175"/>
      <c r="Z743" s="175"/>
      <c r="AA743" s="175"/>
    </row>
    <row r="744">
      <c r="A744" s="187"/>
      <c r="D744" s="187"/>
      <c r="O744" s="175"/>
      <c r="P744" s="175"/>
      <c r="Q744" s="175"/>
      <c r="R744" s="175"/>
      <c r="S744" s="175"/>
      <c r="T744" s="175"/>
      <c r="U744" s="175"/>
      <c r="V744" s="175"/>
      <c r="W744" s="175"/>
      <c r="X744" s="175"/>
      <c r="Y744" s="175"/>
      <c r="Z744" s="175"/>
      <c r="AA744" s="175"/>
    </row>
    <row r="745">
      <c r="A745" s="187"/>
      <c r="D745" s="187"/>
      <c r="O745" s="175"/>
      <c r="P745" s="175"/>
      <c r="Q745" s="175"/>
      <c r="R745" s="175"/>
      <c r="S745" s="175"/>
      <c r="T745" s="175"/>
      <c r="U745" s="175"/>
      <c r="V745" s="175"/>
      <c r="W745" s="175"/>
      <c r="X745" s="175"/>
      <c r="Y745" s="175"/>
      <c r="Z745" s="175"/>
      <c r="AA745" s="175"/>
    </row>
    <row r="746">
      <c r="A746" s="187"/>
      <c r="D746" s="187"/>
      <c r="O746" s="175"/>
      <c r="P746" s="175"/>
      <c r="Q746" s="175"/>
      <c r="R746" s="175"/>
      <c r="S746" s="175"/>
      <c r="T746" s="175"/>
      <c r="U746" s="175"/>
      <c r="V746" s="175"/>
      <c r="W746" s="175"/>
      <c r="X746" s="175"/>
      <c r="Y746" s="175"/>
      <c r="Z746" s="175"/>
      <c r="AA746" s="175"/>
    </row>
    <row r="747">
      <c r="A747" s="187"/>
      <c r="D747" s="187"/>
      <c r="O747" s="175"/>
      <c r="P747" s="175"/>
      <c r="Q747" s="175"/>
      <c r="R747" s="175"/>
      <c r="S747" s="175"/>
      <c r="T747" s="175"/>
      <c r="U747" s="175"/>
      <c r="V747" s="175"/>
      <c r="W747" s="175"/>
      <c r="X747" s="175"/>
      <c r="Y747" s="175"/>
      <c r="Z747" s="175"/>
      <c r="AA747" s="175"/>
    </row>
    <row r="748">
      <c r="A748" s="187"/>
      <c r="D748" s="187"/>
      <c r="O748" s="175"/>
      <c r="P748" s="175"/>
      <c r="Q748" s="175"/>
      <c r="R748" s="175"/>
      <c r="S748" s="175"/>
      <c r="T748" s="175"/>
      <c r="U748" s="175"/>
      <c r="V748" s="175"/>
      <c r="W748" s="175"/>
      <c r="X748" s="175"/>
      <c r="Y748" s="175"/>
      <c r="Z748" s="175"/>
      <c r="AA748" s="175"/>
    </row>
    <row r="749">
      <c r="A749" s="187"/>
      <c r="D749" s="187"/>
      <c r="O749" s="175"/>
      <c r="P749" s="175"/>
      <c r="Q749" s="175"/>
      <c r="R749" s="175"/>
      <c r="S749" s="175"/>
      <c r="T749" s="175"/>
      <c r="U749" s="175"/>
      <c r="V749" s="175"/>
      <c r="W749" s="175"/>
      <c r="X749" s="175"/>
      <c r="Y749" s="175"/>
      <c r="Z749" s="175"/>
      <c r="AA749" s="175"/>
    </row>
    <row r="750">
      <c r="A750" s="187"/>
      <c r="D750" s="187"/>
      <c r="O750" s="175"/>
      <c r="P750" s="175"/>
      <c r="Q750" s="175"/>
      <c r="R750" s="175"/>
      <c r="S750" s="175"/>
      <c r="T750" s="175"/>
      <c r="U750" s="175"/>
      <c r="V750" s="175"/>
      <c r="W750" s="175"/>
      <c r="X750" s="175"/>
      <c r="Y750" s="175"/>
      <c r="Z750" s="175"/>
      <c r="AA750" s="175"/>
    </row>
    <row r="751">
      <c r="A751" s="187"/>
      <c r="D751" s="187"/>
      <c r="O751" s="175"/>
      <c r="P751" s="175"/>
      <c r="Q751" s="175"/>
      <c r="R751" s="175"/>
      <c r="S751" s="175"/>
      <c r="T751" s="175"/>
      <c r="U751" s="175"/>
      <c r="V751" s="175"/>
      <c r="W751" s="175"/>
      <c r="X751" s="175"/>
      <c r="Y751" s="175"/>
      <c r="Z751" s="175"/>
      <c r="AA751" s="175"/>
    </row>
    <row r="752">
      <c r="A752" s="187"/>
      <c r="D752" s="187"/>
      <c r="O752" s="175"/>
      <c r="P752" s="175"/>
      <c r="Q752" s="175"/>
      <c r="R752" s="175"/>
      <c r="S752" s="175"/>
      <c r="T752" s="175"/>
      <c r="U752" s="175"/>
      <c r="V752" s="175"/>
      <c r="W752" s="175"/>
      <c r="X752" s="175"/>
      <c r="Y752" s="175"/>
      <c r="Z752" s="175"/>
      <c r="AA752" s="175"/>
    </row>
    <row r="753">
      <c r="A753" s="187"/>
      <c r="D753" s="187"/>
      <c r="O753" s="175"/>
      <c r="P753" s="175"/>
      <c r="Q753" s="175"/>
      <c r="R753" s="175"/>
      <c r="S753" s="175"/>
      <c r="T753" s="175"/>
      <c r="U753" s="175"/>
      <c r="V753" s="175"/>
      <c r="W753" s="175"/>
      <c r="X753" s="175"/>
      <c r="Y753" s="175"/>
      <c r="Z753" s="175"/>
      <c r="AA753" s="175"/>
    </row>
    <row r="754">
      <c r="A754" s="187"/>
      <c r="D754" s="187"/>
      <c r="O754" s="175"/>
      <c r="P754" s="175"/>
      <c r="Q754" s="175"/>
      <c r="R754" s="175"/>
      <c r="S754" s="175"/>
      <c r="T754" s="175"/>
      <c r="U754" s="175"/>
      <c r="V754" s="175"/>
      <c r="W754" s="175"/>
      <c r="X754" s="175"/>
      <c r="Y754" s="175"/>
      <c r="Z754" s="175"/>
      <c r="AA754" s="175"/>
    </row>
    <row r="755">
      <c r="A755" s="187"/>
      <c r="D755" s="187"/>
      <c r="O755" s="175"/>
      <c r="P755" s="175"/>
      <c r="Q755" s="175"/>
      <c r="R755" s="175"/>
      <c r="S755" s="175"/>
      <c r="T755" s="175"/>
      <c r="U755" s="175"/>
      <c r="V755" s="175"/>
      <c r="W755" s="175"/>
      <c r="X755" s="175"/>
      <c r="Y755" s="175"/>
      <c r="Z755" s="175"/>
      <c r="AA755" s="175"/>
    </row>
    <row r="756">
      <c r="A756" s="187"/>
      <c r="D756" s="187"/>
      <c r="O756" s="175"/>
      <c r="P756" s="175"/>
      <c r="Q756" s="175"/>
      <c r="R756" s="175"/>
      <c r="S756" s="175"/>
      <c r="T756" s="175"/>
      <c r="U756" s="175"/>
      <c r="V756" s="175"/>
      <c r="W756" s="175"/>
      <c r="X756" s="175"/>
      <c r="Y756" s="175"/>
      <c r="Z756" s="175"/>
      <c r="AA756" s="175"/>
    </row>
    <row r="757">
      <c r="A757" s="187"/>
      <c r="D757" s="187"/>
      <c r="O757" s="175"/>
      <c r="P757" s="175"/>
      <c r="Q757" s="175"/>
      <c r="R757" s="175"/>
      <c r="S757" s="175"/>
      <c r="T757" s="175"/>
      <c r="U757" s="175"/>
      <c r="V757" s="175"/>
      <c r="W757" s="175"/>
      <c r="X757" s="175"/>
      <c r="Y757" s="175"/>
      <c r="Z757" s="175"/>
      <c r="AA757" s="175"/>
    </row>
    <row r="758">
      <c r="A758" s="187"/>
      <c r="D758" s="187"/>
      <c r="O758" s="175"/>
      <c r="P758" s="175"/>
      <c r="Q758" s="175"/>
      <c r="R758" s="175"/>
      <c r="S758" s="175"/>
      <c r="T758" s="175"/>
      <c r="U758" s="175"/>
      <c r="V758" s="175"/>
      <c r="W758" s="175"/>
      <c r="X758" s="175"/>
      <c r="Y758" s="175"/>
      <c r="Z758" s="175"/>
      <c r="AA758" s="175"/>
    </row>
    <row r="759">
      <c r="A759" s="187"/>
      <c r="D759" s="187"/>
      <c r="O759" s="175"/>
      <c r="P759" s="175"/>
      <c r="Q759" s="175"/>
      <c r="R759" s="175"/>
      <c r="S759" s="175"/>
      <c r="T759" s="175"/>
      <c r="U759" s="175"/>
      <c r="V759" s="175"/>
      <c r="W759" s="175"/>
      <c r="X759" s="175"/>
      <c r="Y759" s="175"/>
      <c r="Z759" s="175"/>
      <c r="AA759" s="175"/>
    </row>
    <row r="760">
      <c r="A760" s="187"/>
      <c r="D760" s="187"/>
      <c r="O760" s="175"/>
      <c r="P760" s="175"/>
      <c r="Q760" s="175"/>
      <c r="R760" s="175"/>
      <c r="S760" s="175"/>
      <c r="T760" s="175"/>
      <c r="U760" s="175"/>
      <c r="V760" s="175"/>
      <c r="W760" s="175"/>
      <c r="X760" s="175"/>
      <c r="Y760" s="175"/>
      <c r="Z760" s="175"/>
      <c r="AA760" s="175"/>
    </row>
    <row r="761">
      <c r="A761" s="187"/>
      <c r="D761" s="187"/>
      <c r="O761" s="175"/>
      <c r="P761" s="175"/>
      <c r="Q761" s="175"/>
      <c r="R761" s="175"/>
      <c r="S761" s="175"/>
      <c r="T761" s="175"/>
      <c r="U761" s="175"/>
      <c r="V761" s="175"/>
      <c r="W761" s="175"/>
      <c r="X761" s="175"/>
      <c r="Y761" s="175"/>
      <c r="Z761" s="175"/>
      <c r="AA761" s="175"/>
    </row>
    <row r="762">
      <c r="A762" s="187"/>
      <c r="D762" s="187"/>
      <c r="O762" s="175"/>
      <c r="P762" s="175"/>
      <c r="Q762" s="175"/>
      <c r="R762" s="175"/>
      <c r="S762" s="175"/>
      <c r="T762" s="175"/>
      <c r="U762" s="175"/>
      <c r="V762" s="175"/>
      <c r="W762" s="175"/>
      <c r="X762" s="175"/>
      <c r="Y762" s="175"/>
      <c r="Z762" s="175"/>
      <c r="AA762" s="175"/>
    </row>
    <row r="763">
      <c r="A763" s="187"/>
      <c r="D763" s="187"/>
      <c r="O763" s="175"/>
      <c r="P763" s="175"/>
      <c r="Q763" s="175"/>
      <c r="R763" s="175"/>
      <c r="S763" s="175"/>
      <c r="T763" s="175"/>
      <c r="U763" s="175"/>
      <c r="V763" s="175"/>
      <c r="W763" s="175"/>
      <c r="X763" s="175"/>
      <c r="Y763" s="175"/>
      <c r="Z763" s="175"/>
      <c r="AA763" s="175"/>
    </row>
    <row r="764">
      <c r="A764" s="187"/>
      <c r="D764" s="187"/>
      <c r="O764" s="175"/>
      <c r="P764" s="175"/>
      <c r="Q764" s="175"/>
      <c r="R764" s="175"/>
      <c r="S764" s="175"/>
      <c r="T764" s="175"/>
      <c r="U764" s="175"/>
      <c r="V764" s="175"/>
      <c r="W764" s="175"/>
      <c r="X764" s="175"/>
      <c r="Y764" s="175"/>
      <c r="Z764" s="175"/>
      <c r="AA764" s="175"/>
    </row>
    <row r="765">
      <c r="A765" s="187"/>
      <c r="D765" s="187"/>
      <c r="O765" s="175"/>
      <c r="P765" s="175"/>
      <c r="Q765" s="175"/>
      <c r="R765" s="175"/>
      <c r="S765" s="175"/>
      <c r="T765" s="175"/>
      <c r="U765" s="175"/>
      <c r="V765" s="175"/>
      <c r="W765" s="175"/>
      <c r="X765" s="175"/>
      <c r="Y765" s="175"/>
      <c r="Z765" s="175"/>
      <c r="AA765" s="175"/>
    </row>
    <row r="766">
      <c r="A766" s="187"/>
      <c r="D766" s="187"/>
      <c r="O766" s="175"/>
      <c r="P766" s="175"/>
      <c r="Q766" s="175"/>
      <c r="R766" s="175"/>
      <c r="S766" s="175"/>
      <c r="T766" s="175"/>
      <c r="U766" s="175"/>
      <c r="V766" s="175"/>
      <c r="W766" s="175"/>
      <c r="X766" s="175"/>
      <c r="Y766" s="175"/>
      <c r="Z766" s="175"/>
      <c r="AA766" s="175"/>
    </row>
    <row r="767">
      <c r="A767" s="187"/>
      <c r="D767" s="187"/>
      <c r="O767" s="175"/>
      <c r="P767" s="175"/>
      <c r="Q767" s="175"/>
      <c r="R767" s="175"/>
      <c r="S767" s="175"/>
      <c r="T767" s="175"/>
      <c r="U767" s="175"/>
      <c r="V767" s="175"/>
      <c r="W767" s="175"/>
      <c r="X767" s="175"/>
      <c r="Y767" s="175"/>
      <c r="Z767" s="175"/>
      <c r="AA767" s="175"/>
    </row>
    <row r="768">
      <c r="A768" s="187"/>
      <c r="D768" s="187"/>
      <c r="O768" s="175"/>
      <c r="P768" s="175"/>
      <c r="Q768" s="175"/>
      <c r="R768" s="175"/>
      <c r="S768" s="175"/>
      <c r="T768" s="175"/>
      <c r="U768" s="175"/>
      <c r="V768" s="175"/>
      <c r="W768" s="175"/>
      <c r="X768" s="175"/>
      <c r="Y768" s="175"/>
      <c r="Z768" s="175"/>
      <c r="AA768" s="175"/>
    </row>
    <row r="769">
      <c r="A769" s="187"/>
      <c r="D769" s="187"/>
      <c r="O769" s="175"/>
      <c r="P769" s="175"/>
      <c r="Q769" s="175"/>
      <c r="R769" s="175"/>
      <c r="S769" s="175"/>
      <c r="T769" s="175"/>
      <c r="U769" s="175"/>
      <c r="V769" s="175"/>
      <c r="W769" s="175"/>
      <c r="X769" s="175"/>
      <c r="Y769" s="175"/>
      <c r="Z769" s="175"/>
      <c r="AA769" s="175"/>
    </row>
    <row r="770">
      <c r="A770" s="187"/>
      <c r="D770" s="187"/>
      <c r="O770" s="175"/>
      <c r="P770" s="175"/>
      <c r="Q770" s="175"/>
      <c r="R770" s="175"/>
      <c r="S770" s="175"/>
      <c r="T770" s="175"/>
      <c r="U770" s="175"/>
      <c r="V770" s="175"/>
      <c r="W770" s="175"/>
      <c r="X770" s="175"/>
      <c r="Y770" s="175"/>
      <c r="Z770" s="175"/>
      <c r="AA770" s="175"/>
    </row>
    <row r="771">
      <c r="A771" s="187"/>
      <c r="D771" s="187"/>
      <c r="O771" s="175"/>
      <c r="P771" s="175"/>
      <c r="Q771" s="175"/>
      <c r="R771" s="175"/>
      <c r="S771" s="175"/>
      <c r="T771" s="175"/>
      <c r="U771" s="175"/>
      <c r="V771" s="175"/>
      <c r="W771" s="175"/>
      <c r="X771" s="175"/>
      <c r="Y771" s="175"/>
      <c r="Z771" s="175"/>
      <c r="AA771" s="175"/>
    </row>
    <row r="772">
      <c r="A772" s="187"/>
      <c r="D772" s="187"/>
      <c r="O772" s="175"/>
      <c r="P772" s="175"/>
      <c r="Q772" s="175"/>
      <c r="R772" s="175"/>
      <c r="S772" s="175"/>
      <c r="T772" s="175"/>
      <c r="U772" s="175"/>
      <c r="V772" s="175"/>
      <c r="W772" s="175"/>
      <c r="X772" s="175"/>
      <c r="Y772" s="175"/>
      <c r="Z772" s="175"/>
      <c r="AA772" s="175"/>
    </row>
    <row r="773">
      <c r="A773" s="187"/>
      <c r="D773" s="187"/>
      <c r="O773" s="175"/>
      <c r="P773" s="175"/>
      <c r="Q773" s="175"/>
      <c r="R773" s="175"/>
      <c r="S773" s="175"/>
      <c r="T773" s="175"/>
      <c r="U773" s="175"/>
      <c r="V773" s="175"/>
      <c r="W773" s="175"/>
      <c r="X773" s="175"/>
      <c r="Y773" s="175"/>
      <c r="Z773" s="175"/>
      <c r="AA773" s="175"/>
    </row>
    <row r="774">
      <c r="A774" s="187"/>
      <c r="D774" s="187"/>
      <c r="O774" s="175"/>
      <c r="P774" s="175"/>
      <c r="Q774" s="175"/>
      <c r="R774" s="175"/>
      <c r="S774" s="175"/>
      <c r="T774" s="175"/>
      <c r="U774" s="175"/>
      <c r="V774" s="175"/>
      <c r="W774" s="175"/>
      <c r="X774" s="175"/>
      <c r="Y774" s="175"/>
      <c r="Z774" s="175"/>
      <c r="AA774" s="175"/>
    </row>
    <row r="775">
      <c r="A775" s="187"/>
      <c r="D775" s="187"/>
      <c r="O775" s="175"/>
      <c r="P775" s="175"/>
      <c r="Q775" s="175"/>
      <c r="R775" s="175"/>
      <c r="S775" s="175"/>
      <c r="T775" s="175"/>
      <c r="U775" s="175"/>
      <c r="V775" s="175"/>
      <c r="W775" s="175"/>
      <c r="X775" s="175"/>
      <c r="Y775" s="175"/>
      <c r="Z775" s="175"/>
      <c r="AA775" s="175"/>
    </row>
    <row r="776">
      <c r="A776" s="187"/>
      <c r="D776" s="187"/>
      <c r="O776" s="175"/>
      <c r="P776" s="175"/>
      <c r="Q776" s="175"/>
      <c r="R776" s="175"/>
      <c r="S776" s="175"/>
      <c r="T776" s="175"/>
      <c r="U776" s="175"/>
      <c r="V776" s="175"/>
      <c r="W776" s="175"/>
      <c r="X776" s="175"/>
      <c r="Y776" s="175"/>
      <c r="Z776" s="175"/>
      <c r="AA776" s="175"/>
    </row>
    <row r="777">
      <c r="A777" s="187"/>
      <c r="D777" s="187"/>
      <c r="O777" s="175"/>
      <c r="P777" s="175"/>
      <c r="Q777" s="175"/>
      <c r="R777" s="175"/>
      <c r="S777" s="175"/>
      <c r="T777" s="175"/>
      <c r="U777" s="175"/>
      <c r="V777" s="175"/>
      <c r="W777" s="175"/>
      <c r="X777" s="175"/>
      <c r="Y777" s="175"/>
      <c r="Z777" s="175"/>
      <c r="AA777" s="175"/>
    </row>
    <row r="778">
      <c r="A778" s="187"/>
      <c r="D778" s="187"/>
      <c r="O778" s="175"/>
      <c r="P778" s="175"/>
      <c r="Q778" s="175"/>
      <c r="R778" s="175"/>
      <c r="S778" s="175"/>
      <c r="T778" s="175"/>
      <c r="U778" s="175"/>
      <c r="V778" s="175"/>
      <c r="W778" s="175"/>
      <c r="X778" s="175"/>
      <c r="Y778" s="175"/>
      <c r="Z778" s="175"/>
      <c r="AA778" s="175"/>
    </row>
    <row r="779">
      <c r="A779" s="187"/>
      <c r="D779" s="187"/>
      <c r="O779" s="175"/>
      <c r="P779" s="175"/>
      <c r="Q779" s="175"/>
      <c r="R779" s="175"/>
      <c r="S779" s="175"/>
      <c r="T779" s="175"/>
      <c r="U779" s="175"/>
      <c r="V779" s="175"/>
      <c r="W779" s="175"/>
      <c r="X779" s="175"/>
      <c r="Y779" s="175"/>
      <c r="Z779" s="175"/>
      <c r="AA779" s="175"/>
    </row>
    <row r="780">
      <c r="A780" s="187"/>
      <c r="D780" s="187"/>
      <c r="O780" s="175"/>
      <c r="P780" s="175"/>
      <c r="Q780" s="175"/>
      <c r="R780" s="175"/>
      <c r="S780" s="175"/>
      <c r="T780" s="175"/>
      <c r="U780" s="175"/>
      <c r="V780" s="175"/>
      <c r="W780" s="175"/>
      <c r="X780" s="175"/>
      <c r="Y780" s="175"/>
      <c r="Z780" s="175"/>
      <c r="AA780" s="175"/>
    </row>
    <row r="781">
      <c r="A781" s="187"/>
      <c r="D781" s="187"/>
      <c r="O781" s="175"/>
      <c r="P781" s="175"/>
      <c r="Q781" s="175"/>
      <c r="R781" s="175"/>
      <c r="S781" s="175"/>
      <c r="T781" s="175"/>
      <c r="U781" s="175"/>
      <c r="V781" s="175"/>
      <c r="W781" s="175"/>
      <c r="X781" s="175"/>
      <c r="Y781" s="175"/>
      <c r="Z781" s="175"/>
      <c r="AA781" s="175"/>
    </row>
    <row r="782">
      <c r="A782" s="187"/>
      <c r="D782" s="187"/>
      <c r="O782" s="175"/>
      <c r="P782" s="175"/>
      <c r="Q782" s="175"/>
      <c r="R782" s="175"/>
      <c r="S782" s="175"/>
      <c r="T782" s="175"/>
      <c r="U782" s="175"/>
      <c r="V782" s="175"/>
      <c r="W782" s="175"/>
      <c r="X782" s="175"/>
      <c r="Y782" s="175"/>
      <c r="Z782" s="175"/>
      <c r="AA782" s="175"/>
    </row>
    <row r="783">
      <c r="A783" s="187"/>
      <c r="D783" s="187"/>
      <c r="O783" s="175"/>
      <c r="P783" s="175"/>
      <c r="Q783" s="175"/>
      <c r="R783" s="175"/>
      <c r="S783" s="175"/>
      <c r="T783" s="175"/>
      <c r="U783" s="175"/>
      <c r="V783" s="175"/>
      <c r="W783" s="175"/>
      <c r="X783" s="175"/>
      <c r="Y783" s="175"/>
      <c r="Z783" s="175"/>
      <c r="AA783" s="175"/>
    </row>
    <row r="784">
      <c r="A784" s="187"/>
      <c r="D784" s="187"/>
      <c r="O784" s="175"/>
      <c r="P784" s="175"/>
      <c r="Q784" s="175"/>
      <c r="R784" s="175"/>
      <c r="S784" s="175"/>
      <c r="T784" s="175"/>
      <c r="U784" s="175"/>
      <c r="V784" s="175"/>
      <c r="W784" s="175"/>
      <c r="X784" s="175"/>
      <c r="Y784" s="175"/>
      <c r="Z784" s="175"/>
      <c r="AA784" s="175"/>
    </row>
    <row r="785">
      <c r="A785" s="187"/>
      <c r="D785" s="187"/>
      <c r="O785" s="175"/>
      <c r="P785" s="175"/>
      <c r="Q785" s="175"/>
      <c r="R785" s="175"/>
      <c r="S785" s="175"/>
      <c r="T785" s="175"/>
      <c r="U785" s="175"/>
      <c r="V785" s="175"/>
      <c r="W785" s="175"/>
      <c r="X785" s="175"/>
      <c r="Y785" s="175"/>
      <c r="Z785" s="175"/>
      <c r="AA785" s="175"/>
    </row>
    <row r="786">
      <c r="A786" s="187"/>
      <c r="D786" s="187"/>
      <c r="O786" s="175"/>
      <c r="P786" s="175"/>
      <c r="Q786" s="175"/>
      <c r="R786" s="175"/>
      <c r="S786" s="175"/>
      <c r="T786" s="175"/>
      <c r="U786" s="175"/>
      <c r="V786" s="175"/>
      <c r="W786" s="175"/>
      <c r="X786" s="175"/>
      <c r="Y786" s="175"/>
      <c r="Z786" s="175"/>
      <c r="AA786" s="175"/>
    </row>
    <row r="787">
      <c r="A787" s="187"/>
      <c r="D787" s="187"/>
      <c r="O787" s="175"/>
      <c r="P787" s="175"/>
      <c r="Q787" s="175"/>
      <c r="R787" s="175"/>
      <c r="S787" s="175"/>
      <c r="T787" s="175"/>
      <c r="U787" s="175"/>
      <c r="V787" s="175"/>
      <c r="W787" s="175"/>
      <c r="X787" s="175"/>
      <c r="Y787" s="175"/>
      <c r="Z787" s="175"/>
      <c r="AA787" s="175"/>
    </row>
    <row r="788">
      <c r="A788" s="187"/>
      <c r="D788" s="187"/>
      <c r="O788" s="175"/>
      <c r="P788" s="175"/>
      <c r="Q788" s="175"/>
      <c r="R788" s="175"/>
      <c r="S788" s="175"/>
      <c r="T788" s="175"/>
      <c r="U788" s="175"/>
      <c r="V788" s="175"/>
      <c r="W788" s="175"/>
      <c r="X788" s="175"/>
      <c r="Y788" s="175"/>
      <c r="Z788" s="175"/>
      <c r="AA788" s="175"/>
    </row>
    <row r="789">
      <c r="A789" s="187"/>
      <c r="D789" s="187"/>
      <c r="O789" s="175"/>
      <c r="P789" s="175"/>
      <c r="Q789" s="175"/>
      <c r="R789" s="175"/>
      <c r="S789" s="175"/>
      <c r="T789" s="175"/>
      <c r="U789" s="175"/>
      <c r="V789" s="175"/>
      <c r="W789" s="175"/>
      <c r="X789" s="175"/>
      <c r="Y789" s="175"/>
      <c r="Z789" s="175"/>
      <c r="AA789" s="175"/>
    </row>
    <row r="790">
      <c r="A790" s="187"/>
      <c r="D790" s="187"/>
      <c r="O790" s="175"/>
      <c r="P790" s="175"/>
      <c r="Q790" s="175"/>
      <c r="R790" s="175"/>
      <c r="S790" s="175"/>
      <c r="T790" s="175"/>
      <c r="U790" s="175"/>
      <c r="V790" s="175"/>
      <c r="W790" s="175"/>
      <c r="X790" s="175"/>
      <c r="Y790" s="175"/>
      <c r="Z790" s="175"/>
      <c r="AA790" s="175"/>
    </row>
    <row r="791">
      <c r="A791" s="187"/>
      <c r="D791" s="187"/>
      <c r="O791" s="175"/>
      <c r="P791" s="175"/>
      <c r="Q791" s="175"/>
      <c r="R791" s="175"/>
      <c r="S791" s="175"/>
      <c r="T791" s="175"/>
      <c r="U791" s="175"/>
      <c r="V791" s="175"/>
      <c r="W791" s="175"/>
      <c r="X791" s="175"/>
      <c r="Y791" s="175"/>
      <c r="Z791" s="175"/>
      <c r="AA791" s="175"/>
    </row>
    <row r="792">
      <c r="A792" s="187"/>
      <c r="D792" s="187"/>
      <c r="O792" s="175"/>
      <c r="P792" s="175"/>
      <c r="Q792" s="175"/>
      <c r="R792" s="175"/>
      <c r="S792" s="175"/>
      <c r="T792" s="175"/>
      <c r="U792" s="175"/>
      <c r="V792" s="175"/>
      <c r="W792" s="175"/>
      <c r="X792" s="175"/>
      <c r="Y792" s="175"/>
      <c r="Z792" s="175"/>
      <c r="AA792" s="175"/>
    </row>
    <row r="793">
      <c r="A793" s="187"/>
      <c r="D793" s="187"/>
      <c r="O793" s="175"/>
      <c r="P793" s="175"/>
      <c r="Q793" s="175"/>
      <c r="R793" s="175"/>
      <c r="S793" s="175"/>
      <c r="T793" s="175"/>
      <c r="U793" s="175"/>
      <c r="V793" s="175"/>
      <c r="W793" s="175"/>
      <c r="X793" s="175"/>
      <c r="Y793" s="175"/>
      <c r="Z793" s="175"/>
      <c r="AA793" s="175"/>
    </row>
    <row r="794">
      <c r="A794" s="187"/>
      <c r="D794" s="187"/>
      <c r="O794" s="175"/>
      <c r="P794" s="175"/>
      <c r="Q794" s="175"/>
      <c r="R794" s="175"/>
      <c r="S794" s="175"/>
      <c r="T794" s="175"/>
      <c r="U794" s="175"/>
      <c r="V794" s="175"/>
      <c r="W794" s="175"/>
      <c r="X794" s="175"/>
      <c r="Y794" s="175"/>
      <c r="Z794" s="175"/>
      <c r="AA794" s="175"/>
    </row>
    <row r="795">
      <c r="A795" s="187"/>
      <c r="D795" s="187"/>
      <c r="O795" s="175"/>
      <c r="P795" s="175"/>
      <c r="Q795" s="175"/>
      <c r="R795" s="175"/>
      <c r="S795" s="175"/>
      <c r="T795" s="175"/>
      <c r="U795" s="175"/>
      <c r="V795" s="175"/>
      <c r="W795" s="175"/>
      <c r="X795" s="175"/>
      <c r="Y795" s="175"/>
      <c r="Z795" s="175"/>
      <c r="AA795" s="175"/>
    </row>
    <row r="796">
      <c r="A796" s="187"/>
      <c r="D796" s="187"/>
      <c r="O796" s="175"/>
      <c r="P796" s="175"/>
      <c r="Q796" s="175"/>
      <c r="R796" s="175"/>
      <c r="S796" s="175"/>
      <c r="T796" s="175"/>
      <c r="U796" s="175"/>
      <c r="V796" s="175"/>
      <c r="W796" s="175"/>
      <c r="X796" s="175"/>
      <c r="Y796" s="175"/>
      <c r="Z796" s="175"/>
      <c r="AA796" s="175"/>
    </row>
    <row r="797">
      <c r="A797" s="187"/>
      <c r="D797" s="187"/>
      <c r="O797" s="175"/>
      <c r="P797" s="175"/>
      <c r="Q797" s="175"/>
      <c r="R797" s="175"/>
      <c r="S797" s="175"/>
      <c r="T797" s="175"/>
      <c r="U797" s="175"/>
      <c r="V797" s="175"/>
      <c r="W797" s="175"/>
      <c r="X797" s="175"/>
      <c r="Y797" s="175"/>
      <c r="Z797" s="175"/>
      <c r="AA797" s="175"/>
    </row>
    <row r="798">
      <c r="A798" s="187"/>
      <c r="D798" s="187"/>
      <c r="O798" s="175"/>
      <c r="P798" s="175"/>
      <c r="Q798" s="175"/>
      <c r="R798" s="175"/>
      <c r="S798" s="175"/>
      <c r="T798" s="175"/>
      <c r="U798" s="175"/>
      <c r="V798" s="175"/>
      <c r="W798" s="175"/>
      <c r="X798" s="175"/>
      <c r="Y798" s="175"/>
      <c r="Z798" s="175"/>
      <c r="AA798" s="175"/>
    </row>
    <row r="799">
      <c r="A799" s="187"/>
      <c r="D799" s="187"/>
      <c r="O799" s="175"/>
      <c r="P799" s="175"/>
      <c r="Q799" s="175"/>
      <c r="R799" s="175"/>
      <c r="S799" s="175"/>
      <c r="T799" s="175"/>
      <c r="U799" s="175"/>
      <c r="V799" s="175"/>
      <c r="W799" s="175"/>
      <c r="X799" s="175"/>
      <c r="Y799" s="175"/>
      <c r="Z799" s="175"/>
      <c r="AA799" s="175"/>
    </row>
    <row r="800">
      <c r="A800" s="187"/>
      <c r="D800" s="187"/>
      <c r="O800" s="175"/>
      <c r="P800" s="175"/>
      <c r="Q800" s="175"/>
      <c r="R800" s="175"/>
      <c r="S800" s="175"/>
      <c r="T800" s="175"/>
      <c r="U800" s="175"/>
      <c r="V800" s="175"/>
      <c r="W800" s="175"/>
      <c r="X800" s="175"/>
      <c r="Y800" s="175"/>
      <c r="Z800" s="175"/>
      <c r="AA800" s="175"/>
    </row>
    <row r="801">
      <c r="A801" s="187"/>
      <c r="D801" s="187"/>
      <c r="O801" s="175"/>
      <c r="P801" s="175"/>
      <c r="Q801" s="175"/>
      <c r="R801" s="175"/>
      <c r="S801" s="175"/>
      <c r="T801" s="175"/>
      <c r="U801" s="175"/>
      <c r="V801" s="175"/>
      <c r="W801" s="175"/>
      <c r="X801" s="175"/>
      <c r="Y801" s="175"/>
      <c r="Z801" s="175"/>
      <c r="AA801" s="175"/>
    </row>
    <row r="802">
      <c r="A802" s="187"/>
      <c r="D802" s="187"/>
      <c r="O802" s="175"/>
      <c r="P802" s="175"/>
      <c r="Q802" s="175"/>
      <c r="R802" s="175"/>
      <c r="S802" s="175"/>
      <c r="T802" s="175"/>
      <c r="U802" s="175"/>
      <c r="V802" s="175"/>
      <c r="W802" s="175"/>
      <c r="X802" s="175"/>
      <c r="Y802" s="175"/>
      <c r="Z802" s="175"/>
      <c r="AA802" s="175"/>
    </row>
    <row r="803">
      <c r="A803" s="187"/>
      <c r="D803" s="187"/>
      <c r="O803" s="175"/>
      <c r="P803" s="175"/>
      <c r="Q803" s="175"/>
      <c r="R803" s="175"/>
      <c r="S803" s="175"/>
      <c r="T803" s="175"/>
      <c r="U803" s="175"/>
      <c r="V803" s="175"/>
      <c r="W803" s="175"/>
      <c r="X803" s="175"/>
      <c r="Y803" s="175"/>
      <c r="Z803" s="175"/>
      <c r="AA803" s="175"/>
    </row>
    <row r="804">
      <c r="A804" s="187"/>
      <c r="D804" s="187"/>
      <c r="O804" s="175"/>
      <c r="P804" s="175"/>
      <c r="Q804" s="175"/>
      <c r="R804" s="175"/>
      <c r="S804" s="175"/>
      <c r="T804" s="175"/>
      <c r="U804" s="175"/>
      <c r="V804" s="175"/>
      <c r="W804" s="175"/>
      <c r="X804" s="175"/>
      <c r="Y804" s="175"/>
      <c r="Z804" s="175"/>
      <c r="AA804" s="175"/>
    </row>
    <row r="805">
      <c r="A805" s="187"/>
      <c r="D805" s="187"/>
      <c r="O805" s="175"/>
      <c r="P805" s="175"/>
      <c r="Q805" s="175"/>
      <c r="R805" s="175"/>
      <c r="S805" s="175"/>
      <c r="T805" s="175"/>
      <c r="U805" s="175"/>
      <c r="V805" s="175"/>
      <c r="W805" s="175"/>
      <c r="X805" s="175"/>
      <c r="Y805" s="175"/>
      <c r="Z805" s="175"/>
      <c r="AA805" s="175"/>
    </row>
    <row r="806">
      <c r="A806" s="187"/>
      <c r="D806" s="187"/>
      <c r="O806" s="175"/>
      <c r="P806" s="175"/>
      <c r="Q806" s="175"/>
      <c r="R806" s="175"/>
      <c r="S806" s="175"/>
      <c r="T806" s="175"/>
      <c r="U806" s="175"/>
      <c r="V806" s="175"/>
      <c r="W806" s="175"/>
      <c r="X806" s="175"/>
      <c r="Y806" s="175"/>
      <c r="Z806" s="175"/>
      <c r="AA806" s="175"/>
    </row>
    <row r="807">
      <c r="A807" s="187"/>
      <c r="D807" s="187"/>
      <c r="O807" s="175"/>
      <c r="P807" s="175"/>
      <c r="Q807" s="175"/>
      <c r="R807" s="175"/>
      <c r="S807" s="175"/>
      <c r="T807" s="175"/>
      <c r="U807" s="175"/>
      <c r="V807" s="175"/>
      <c r="W807" s="175"/>
      <c r="X807" s="175"/>
      <c r="Y807" s="175"/>
      <c r="Z807" s="175"/>
      <c r="AA807" s="175"/>
    </row>
    <row r="808">
      <c r="A808" s="187"/>
      <c r="D808" s="187"/>
      <c r="O808" s="175"/>
      <c r="P808" s="175"/>
      <c r="Q808" s="175"/>
      <c r="R808" s="175"/>
      <c r="S808" s="175"/>
      <c r="T808" s="175"/>
      <c r="U808" s="175"/>
      <c r="V808" s="175"/>
      <c r="W808" s="175"/>
      <c r="X808" s="175"/>
      <c r="Y808" s="175"/>
      <c r="Z808" s="175"/>
      <c r="AA808" s="175"/>
    </row>
    <row r="809">
      <c r="A809" s="187"/>
      <c r="D809" s="187"/>
      <c r="O809" s="175"/>
      <c r="P809" s="175"/>
      <c r="Q809" s="175"/>
      <c r="R809" s="175"/>
      <c r="S809" s="175"/>
      <c r="T809" s="175"/>
      <c r="U809" s="175"/>
      <c r="V809" s="175"/>
      <c r="W809" s="175"/>
      <c r="X809" s="175"/>
      <c r="Y809" s="175"/>
      <c r="Z809" s="175"/>
      <c r="AA809" s="175"/>
    </row>
    <row r="810">
      <c r="A810" s="187"/>
      <c r="D810" s="187"/>
      <c r="O810" s="175"/>
      <c r="P810" s="175"/>
      <c r="Q810" s="175"/>
      <c r="R810" s="175"/>
      <c r="S810" s="175"/>
      <c r="T810" s="175"/>
      <c r="U810" s="175"/>
      <c r="V810" s="175"/>
      <c r="W810" s="175"/>
      <c r="X810" s="175"/>
      <c r="Y810" s="175"/>
      <c r="Z810" s="175"/>
      <c r="AA810" s="175"/>
    </row>
    <row r="811">
      <c r="A811" s="187"/>
      <c r="D811" s="187"/>
      <c r="O811" s="175"/>
      <c r="P811" s="175"/>
      <c r="Q811" s="175"/>
      <c r="R811" s="175"/>
      <c r="S811" s="175"/>
      <c r="T811" s="175"/>
      <c r="U811" s="175"/>
      <c r="V811" s="175"/>
      <c r="W811" s="175"/>
      <c r="X811" s="175"/>
      <c r="Y811" s="175"/>
      <c r="Z811" s="175"/>
      <c r="AA811" s="175"/>
    </row>
    <row r="812">
      <c r="A812" s="187"/>
      <c r="D812" s="187"/>
      <c r="O812" s="175"/>
      <c r="P812" s="175"/>
      <c r="Q812" s="175"/>
      <c r="R812" s="175"/>
      <c r="S812" s="175"/>
      <c r="T812" s="175"/>
      <c r="U812" s="175"/>
      <c r="V812" s="175"/>
      <c r="W812" s="175"/>
      <c r="X812" s="175"/>
      <c r="Y812" s="175"/>
      <c r="Z812" s="175"/>
      <c r="AA812" s="175"/>
    </row>
    <row r="813">
      <c r="A813" s="187"/>
      <c r="D813" s="187"/>
      <c r="O813" s="175"/>
      <c r="P813" s="175"/>
      <c r="Q813" s="175"/>
      <c r="R813" s="175"/>
      <c r="S813" s="175"/>
      <c r="T813" s="175"/>
      <c r="U813" s="175"/>
      <c r="V813" s="175"/>
      <c r="W813" s="175"/>
      <c r="X813" s="175"/>
      <c r="Y813" s="175"/>
      <c r="Z813" s="175"/>
      <c r="AA813" s="175"/>
    </row>
    <row r="814">
      <c r="A814" s="187"/>
      <c r="D814" s="187"/>
      <c r="O814" s="175"/>
      <c r="P814" s="175"/>
      <c r="Q814" s="175"/>
      <c r="R814" s="175"/>
      <c r="S814" s="175"/>
      <c r="T814" s="175"/>
      <c r="U814" s="175"/>
      <c r="V814" s="175"/>
      <c r="W814" s="175"/>
      <c r="X814" s="175"/>
      <c r="Y814" s="175"/>
      <c r="Z814" s="175"/>
      <c r="AA814" s="175"/>
    </row>
    <row r="815">
      <c r="A815" s="187"/>
      <c r="D815" s="187"/>
      <c r="O815" s="175"/>
      <c r="P815" s="175"/>
      <c r="Q815" s="175"/>
      <c r="R815" s="175"/>
      <c r="S815" s="175"/>
      <c r="T815" s="175"/>
      <c r="U815" s="175"/>
      <c r="V815" s="175"/>
      <c r="W815" s="175"/>
      <c r="X815" s="175"/>
      <c r="Y815" s="175"/>
      <c r="Z815" s="175"/>
      <c r="AA815" s="175"/>
    </row>
    <row r="816">
      <c r="A816" s="187"/>
      <c r="D816" s="187"/>
      <c r="O816" s="175"/>
      <c r="P816" s="175"/>
      <c r="Q816" s="175"/>
      <c r="R816" s="175"/>
      <c r="S816" s="175"/>
      <c r="T816" s="175"/>
      <c r="U816" s="175"/>
      <c r="V816" s="175"/>
      <c r="W816" s="175"/>
      <c r="X816" s="175"/>
      <c r="Y816" s="175"/>
      <c r="Z816" s="175"/>
      <c r="AA816" s="175"/>
    </row>
    <row r="817">
      <c r="A817" s="187"/>
      <c r="D817" s="187"/>
      <c r="O817" s="175"/>
      <c r="P817" s="175"/>
      <c r="Q817" s="175"/>
      <c r="R817" s="175"/>
      <c r="S817" s="175"/>
      <c r="T817" s="175"/>
      <c r="U817" s="175"/>
      <c r="V817" s="175"/>
      <c r="W817" s="175"/>
      <c r="X817" s="175"/>
      <c r="Y817" s="175"/>
      <c r="Z817" s="175"/>
      <c r="AA817" s="175"/>
    </row>
    <row r="818">
      <c r="A818" s="187"/>
      <c r="D818" s="187"/>
      <c r="O818" s="175"/>
      <c r="P818" s="175"/>
      <c r="Q818" s="175"/>
      <c r="R818" s="175"/>
      <c r="S818" s="175"/>
      <c r="T818" s="175"/>
      <c r="U818" s="175"/>
      <c r="V818" s="175"/>
      <c r="W818" s="175"/>
      <c r="X818" s="175"/>
      <c r="Y818" s="175"/>
      <c r="Z818" s="175"/>
      <c r="AA818" s="175"/>
    </row>
    <row r="819">
      <c r="A819" s="187"/>
      <c r="D819" s="187"/>
      <c r="O819" s="175"/>
      <c r="P819" s="175"/>
      <c r="Q819" s="175"/>
      <c r="R819" s="175"/>
      <c r="S819" s="175"/>
      <c r="T819" s="175"/>
      <c r="U819" s="175"/>
      <c r="V819" s="175"/>
      <c r="W819" s="175"/>
      <c r="X819" s="175"/>
      <c r="Y819" s="175"/>
      <c r="Z819" s="175"/>
      <c r="AA819" s="175"/>
    </row>
    <row r="820">
      <c r="A820" s="187"/>
      <c r="D820" s="187"/>
      <c r="O820" s="175"/>
      <c r="P820" s="175"/>
      <c r="Q820" s="175"/>
      <c r="R820" s="175"/>
      <c r="S820" s="175"/>
      <c r="T820" s="175"/>
      <c r="U820" s="175"/>
      <c r="V820" s="175"/>
      <c r="W820" s="175"/>
      <c r="X820" s="175"/>
      <c r="Y820" s="175"/>
      <c r="Z820" s="175"/>
      <c r="AA820" s="175"/>
    </row>
    <row r="821">
      <c r="A821" s="187"/>
      <c r="D821" s="187"/>
      <c r="O821" s="175"/>
      <c r="P821" s="175"/>
      <c r="Q821" s="175"/>
      <c r="R821" s="175"/>
      <c r="S821" s="175"/>
      <c r="T821" s="175"/>
      <c r="U821" s="175"/>
      <c r="V821" s="175"/>
      <c r="W821" s="175"/>
      <c r="X821" s="175"/>
      <c r="Y821" s="175"/>
      <c r="Z821" s="175"/>
      <c r="AA821" s="175"/>
    </row>
    <row r="822">
      <c r="A822" s="187"/>
      <c r="D822" s="187"/>
      <c r="O822" s="175"/>
      <c r="P822" s="175"/>
      <c r="Q822" s="175"/>
      <c r="R822" s="175"/>
      <c r="S822" s="175"/>
      <c r="T822" s="175"/>
      <c r="U822" s="175"/>
      <c r="V822" s="175"/>
      <c r="W822" s="175"/>
      <c r="X822" s="175"/>
      <c r="Y822" s="175"/>
      <c r="Z822" s="175"/>
      <c r="AA822" s="175"/>
    </row>
    <row r="823">
      <c r="A823" s="187"/>
      <c r="D823" s="187"/>
      <c r="O823" s="175"/>
      <c r="P823" s="175"/>
      <c r="Q823" s="175"/>
      <c r="R823" s="175"/>
      <c r="S823" s="175"/>
      <c r="T823" s="175"/>
      <c r="U823" s="175"/>
      <c r="V823" s="175"/>
      <c r="W823" s="175"/>
      <c r="X823" s="175"/>
      <c r="Y823" s="175"/>
      <c r="Z823" s="175"/>
      <c r="AA823" s="175"/>
    </row>
    <row r="824">
      <c r="A824" s="187"/>
      <c r="D824" s="187"/>
      <c r="O824" s="175"/>
      <c r="P824" s="175"/>
      <c r="Q824" s="175"/>
      <c r="R824" s="175"/>
      <c r="S824" s="175"/>
      <c r="T824" s="175"/>
      <c r="U824" s="175"/>
      <c r="V824" s="175"/>
      <c r="W824" s="175"/>
      <c r="X824" s="175"/>
      <c r="Y824" s="175"/>
      <c r="Z824" s="175"/>
      <c r="AA824" s="175"/>
    </row>
    <row r="825">
      <c r="A825" s="187"/>
      <c r="D825" s="187"/>
      <c r="O825" s="175"/>
      <c r="P825" s="175"/>
      <c r="Q825" s="175"/>
      <c r="R825" s="175"/>
      <c r="S825" s="175"/>
      <c r="T825" s="175"/>
      <c r="U825" s="175"/>
      <c r="V825" s="175"/>
      <c r="W825" s="175"/>
      <c r="X825" s="175"/>
      <c r="Y825" s="175"/>
      <c r="Z825" s="175"/>
      <c r="AA825" s="175"/>
    </row>
    <row r="826">
      <c r="A826" s="187"/>
      <c r="D826" s="187"/>
      <c r="O826" s="175"/>
      <c r="P826" s="175"/>
      <c r="Q826" s="175"/>
      <c r="R826" s="175"/>
      <c r="S826" s="175"/>
      <c r="T826" s="175"/>
      <c r="U826" s="175"/>
      <c r="V826" s="175"/>
      <c r="W826" s="175"/>
      <c r="X826" s="175"/>
      <c r="Y826" s="175"/>
      <c r="Z826" s="175"/>
      <c r="AA826" s="175"/>
    </row>
    <row r="827">
      <c r="A827" s="187"/>
      <c r="D827" s="187"/>
      <c r="O827" s="175"/>
      <c r="P827" s="175"/>
      <c r="Q827" s="175"/>
      <c r="R827" s="175"/>
      <c r="S827" s="175"/>
      <c r="T827" s="175"/>
      <c r="U827" s="175"/>
      <c r="V827" s="175"/>
      <c r="W827" s="175"/>
      <c r="X827" s="175"/>
      <c r="Y827" s="175"/>
      <c r="Z827" s="175"/>
      <c r="AA827" s="175"/>
    </row>
    <row r="828">
      <c r="A828" s="187"/>
      <c r="D828" s="187"/>
      <c r="O828" s="175"/>
      <c r="P828" s="175"/>
      <c r="Q828" s="175"/>
      <c r="R828" s="175"/>
      <c r="S828" s="175"/>
      <c r="T828" s="175"/>
      <c r="U828" s="175"/>
      <c r="V828" s="175"/>
      <c r="W828" s="175"/>
      <c r="X828" s="175"/>
      <c r="Y828" s="175"/>
      <c r="Z828" s="175"/>
      <c r="AA828" s="175"/>
    </row>
    <row r="829">
      <c r="A829" s="187"/>
      <c r="D829" s="187"/>
      <c r="O829" s="175"/>
      <c r="P829" s="175"/>
      <c r="Q829" s="175"/>
      <c r="R829" s="175"/>
      <c r="S829" s="175"/>
      <c r="T829" s="175"/>
      <c r="U829" s="175"/>
      <c r="V829" s="175"/>
      <c r="W829" s="175"/>
      <c r="X829" s="175"/>
      <c r="Y829" s="175"/>
      <c r="Z829" s="175"/>
      <c r="AA829" s="175"/>
    </row>
    <row r="830">
      <c r="A830" s="187"/>
      <c r="D830" s="187"/>
      <c r="O830" s="175"/>
      <c r="P830" s="175"/>
      <c r="Q830" s="175"/>
      <c r="R830" s="175"/>
      <c r="S830" s="175"/>
      <c r="T830" s="175"/>
      <c r="U830" s="175"/>
      <c r="V830" s="175"/>
      <c r="W830" s="175"/>
      <c r="X830" s="175"/>
      <c r="Y830" s="175"/>
      <c r="Z830" s="175"/>
      <c r="AA830" s="175"/>
    </row>
    <row r="831">
      <c r="A831" s="187"/>
      <c r="D831" s="187"/>
      <c r="O831" s="175"/>
      <c r="P831" s="175"/>
      <c r="Q831" s="175"/>
      <c r="R831" s="175"/>
      <c r="S831" s="175"/>
      <c r="T831" s="175"/>
      <c r="U831" s="175"/>
      <c r="V831" s="175"/>
      <c r="W831" s="175"/>
      <c r="X831" s="175"/>
      <c r="Y831" s="175"/>
      <c r="Z831" s="175"/>
      <c r="AA831" s="175"/>
    </row>
    <row r="832">
      <c r="A832" s="187"/>
      <c r="D832" s="187"/>
      <c r="O832" s="175"/>
      <c r="P832" s="175"/>
      <c r="Q832" s="175"/>
      <c r="R832" s="175"/>
      <c r="S832" s="175"/>
      <c r="T832" s="175"/>
      <c r="U832" s="175"/>
      <c r="V832" s="175"/>
      <c r="W832" s="175"/>
      <c r="X832" s="175"/>
      <c r="Y832" s="175"/>
      <c r="Z832" s="175"/>
      <c r="AA832" s="175"/>
    </row>
    <row r="833">
      <c r="A833" s="187"/>
      <c r="D833" s="187"/>
      <c r="O833" s="175"/>
      <c r="P833" s="175"/>
      <c r="Q833" s="175"/>
      <c r="R833" s="175"/>
      <c r="S833" s="175"/>
      <c r="T833" s="175"/>
      <c r="U833" s="175"/>
      <c r="V833" s="175"/>
      <c r="W833" s="175"/>
      <c r="X833" s="175"/>
      <c r="Y833" s="175"/>
      <c r="Z833" s="175"/>
      <c r="AA833" s="175"/>
    </row>
    <row r="834">
      <c r="A834" s="187"/>
      <c r="D834" s="187"/>
      <c r="O834" s="175"/>
      <c r="P834" s="175"/>
      <c r="Q834" s="175"/>
      <c r="R834" s="175"/>
      <c r="S834" s="175"/>
      <c r="T834" s="175"/>
      <c r="U834" s="175"/>
      <c r="V834" s="175"/>
      <c r="W834" s="175"/>
      <c r="X834" s="175"/>
      <c r="Y834" s="175"/>
      <c r="Z834" s="175"/>
      <c r="AA834" s="175"/>
    </row>
    <row r="835">
      <c r="A835" s="187"/>
      <c r="D835" s="187"/>
      <c r="O835" s="175"/>
      <c r="P835" s="175"/>
      <c r="Q835" s="175"/>
      <c r="R835" s="175"/>
      <c r="S835" s="175"/>
      <c r="T835" s="175"/>
      <c r="U835" s="175"/>
      <c r="V835" s="175"/>
      <c r="W835" s="175"/>
      <c r="X835" s="175"/>
      <c r="Y835" s="175"/>
      <c r="Z835" s="175"/>
      <c r="AA835" s="175"/>
    </row>
    <row r="836">
      <c r="A836" s="187"/>
      <c r="D836" s="187"/>
      <c r="O836" s="175"/>
      <c r="P836" s="175"/>
      <c r="Q836" s="175"/>
      <c r="R836" s="175"/>
      <c r="S836" s="175"/>
      <c r="T836" s="175"/>
      <c r="U836" s="175"/>
      <c r="V836" s="175"/>
      <c r="W836" s="175"/>
      <c r="X836" s="175"/>
      <c r="Y836" s="175"/>
      <c r="Z836" s="175"/>
      <c r="AA836" s="175"/>
    </row>
    <row r="837">
      <c r="A837" s="187"/>
      <c r="D837" s="187"/>
      <c r="O837" s="175"/>
      <c r="P837" s="175"/>
      <c r="Q837" s="175"/>
      <c r="R837" s="175"/>
      <c r="S837" s="175"/>
      <c r="T837" s="175"/>
      <c r="U837" s="175"/>
      <c r="V837" s="175"/>
      <c r="W837" s="175"/>
      <c r="X837" s="175"/>
      <c r="Y837" s="175"/>
      <c r="Z837" s="175"/>
      <c r="AA837" s="175"/>
    </row>
    <row r="838">
      <c r="A838" s="187"/>
      <c r="D838" s="187"/>
      <c r="O838" s="175"/>
      <c r="P838" s="175"/>
      <c r="Q838" s="175"/>
      <c r="R838" s="175"/>
      <c r="S838" s="175"/>
      <c r="T838" s="175"/>
      <c r="U838" s="175"/>
      <c r="V838" s="175"/>
      <c r="W838" s="175"/>
      <c r="X838" s="175"/>
      <c r="Y838" s="175"/>
      <c r="Z838" s="175"/>
      <c r="AA838" s="175"/>
    </row>
    <row r="839">
      <c r="A839" s="187"/>
      <c r="D839" s="187"/>
      <c r="O839" s="175"/>
      <c r="P839" s="175"/>
      <c r="Q839" s="175"/>
      <c r="R839" s="175"/>
      <c r="S839" s="175"/>
      <c r="T839" s="175"/>
      <c r="U839" s="175"/>
      <c r="V839" s="175"/>
      <c r="W839" s="175"/>
      <c r="X839" s="175"/>
      <c r="Y839" s="175"/>
      <c r="Z839" s="175"/>
      <c r="AA839" s="175"/>
    </row>
    <row r="840">
      <c r="A840" s="187"/>
      <c r="D840" s="187"/>
      <c r="O840" s="175"/>
      <c r="P840" s="175"/>
      <c r="Q840" s="175"/>
      <c r="R840" s="175"/>
      <c r="S840" s="175"/>
      <c r="T840" s="175"/>
      <c r="U840" s="175"/>
      <c r="V840" s="175"/>
      <c r="W840" s="175"/>
      <c r="X840" s="175"/>
      <c r="Y840" s="175"/>
      <c r="Z840" s="175"/>
      <c r="AA840" s="175"/>
    </row>
    <row r="841">
      <c r="A841" s="187"/>
      <c r="D841" s="187"/>
      <c r="O841" s="175"/>
      <c r="P841" s="175"/>
      <c r="Q841" s="175"/>
      <c r="R841" s="175"/>
      <c r="S841" s="175"/>
      <c r="T841" s="175"/>
      <c r="U841" s="175"/>
      <c r="V841" s="175"/>
      <c r="W841" s="175"/>
      <c r="X841" s="175"/>
      <c r="Y841" s="175"/>
      <c r="Z841" s="175"/>
      <c r="AA841" s="175"/>
    </row>
    <row r="842">
      <c r="A842" s="187"/>
      <c r="D842" s="187"/>
      <c r="O842" s="175"/>
      <c r="P842" s="175"/>
      <c r="Q842" s="175"/>
      <c r="R842" s="175"/>
      <c r="S842" s="175"/>
      <c r="T842" s="175"/>
      <c r="U842" s="175"/>
      <c r="V842" s="175"/>
      <c r="W842" s="175"/>
      <c r="X842" s="175"/>
      <c r="Y842" s="175"/>
      <c r="Z842" s="175"/>
      <c r="AA842" s="175"/>
    </row>
    <row r="843">
      <c r="A843" s="187"/>
      <c r="D843" s="187"/>
      <c r="O843" s="175"/>
      <c r="P843" s="175"/>
      <c r="Q843" s="175"/>
      <c r="R843" s="175"/>
      <c r="S843" s="175"/>
      <c r="T843" s="175"/>
      <c r="U843" s="175"/>
      <c r="V843" s="175"/>
      <c r="W843" s="175"/>
      <c r="X843" s="175"/>
      <c r="Y843" s="175"/>
      <c r="Z843" s="175"/>
      <c r="AA843" s="175"/>
    </row>
    <row r="844">
      <c r="A844" s="187"/>
      <c r="D844" s="187"/>
      <c r="O844" s="175"/>
      <c r="P844" s="175"/>
      <c r="Q844" s="175"/>
      <c r="R844" s="175"/>
      <c r="S844" s="175"/>
      <c r="T844" s="175"/>
      <c r="U844" s="175"/>
      <c r="V844" s="175"/>
      <c r="W844" s="175"/>
      <c r="X844" s="175"/>
      <c r="Y844" s="175"/>
      <c r="Z844" s="175"/>
      <c r="AA844" s="175"/>
    </row>
    <row r="845">
      <c r="A845" s="187"/>
      <c r="D845" s="187"/>
      <c r="O845" s="175"/>
      <c r="P845" s="175"/>
      <c r="Q845" s="175"/>
      <c r="R845" s="175"/>
      <c r="S845" s="175"/>
      <c r="T845" s="175"/>
      <c r="U845" s="175"/>
      <c r="V845" s="175"/>
      <c r="W845" s="175"/>
      <c r="X845" s="175"/>
      <c r="Y845" s="175"/>
      <c r="Z845" s="175"/>
      <c r="AA845" s="175"/>
    </row>
    <row r="846">
      <c r="A846" s="187"/>
      <c r="D846" s="187"/>
      <c r="O846" s="175"/>
      <c r="P846" s="175"/>
      <c r="Q846" s="175"/>
      <c r="R846" s="175"/>
      <c r="S846" s="175"/>
      <c r="T846" s="175"/>
      <c r="U846" s="175"/>
      <c r="V846" s="175"/>
      <c r="W846" s="175"/>
      <c r="X846" s="175"/>
      <c r="Y846" s="175"/>
      <c r="Z846" s="175"/>
      <c r="AA846" s="175"/>
    </row>
    <row r="847">
      <c r="A847" s="187"/>
      <c r="D847" s="187"/>
      <c r="O847" s="175"/>
      <c r="P847" s="175"/>
      <c r="Q847" s="175"/>
      <c r="R847" s="175"/>
      <c r="S847" s="175"/>
      <c r="T847" s="175"/>
      <c r="U847" s="175"/>
      <c r="V847" s="175"/>
      <c r="W847" s="175"/>
      <c r="X847" s="175"/>
      <c r="Y847" s="175"/>
      <c r="Z847" s="175"/>
      <c r="AA847" s="175"/>
    </row>
    <row r="848">
      <c r="A848" s="187"/>
      <c r="D848" s="187"/>
      <c r="O848" s="175"/>
      <c r="P848" s="175"/>
      <c r="Q848" s="175"/>
      <c r="R848" s="175"/>
      <c r="S848" s="175"/>
      <c r="T848" s="175"/>
      <c r="U848" s="175"/>
      <c r="V848" s="175"/>
      <c r="W848" s="175"/>
      <c r="X848" s="175"/>
      <c r="Y848" s="175"/>
      <c r="Z848" s="175"/>
      <c r="AA848" s="175"/>
    </row>
    <row r="849">
      <c r="A849" s="187"/>
      <c r="D849" s="187"/>
      <c r="O849" s="175"/>
      <c r="P849" s="175"/>
      <c r="Q849" s="175"/>
      <c r="R849" s="175"/>
      <c r="S849" s="175"/>
      <c r="T849" s="175"/>
      <c r="U849" s="175"/>
      <c r="V849" s="175"/>
      <c r="W849" s="175"/>
      <c r="X849" s="175"/>
      <c r="Y849" s="175"/>
      <c r="Z849" s="175"/>
      <c r="AA849" s="175"/>
    </row>
    <row r="850">
      <c r="A850" s="187"/>
      <c r="D850" s="187"/>
      <c r="O850" s="175"/>
      <c r="P850" s="175"/>
      <c r="Q850" s="175"/>
      <c r="R850" s="175"/>
      <c r="S850" s="175"/>
      <c r="T850" s="175"/>
      <c r="U850" s="175"/>
      <c r="V850" s="175"/>
      <c r="W850" s="175"/>
      <c r="X850" s="175"/>
      <c r="Y850" s="175"/>
      <c r="Z850" s="175"/>
      <c r="AA850" s="175"/>
    </row>
    <row r="851">
      <c r="A851" s="187"/>
      <c r="D851" s="187"/>
      <c r="O851" s="175"/>
      <c r="P851" s="175"/>
      <c r="Q851" s="175"/>
      <c r="R851" s="175"/>
      <c r="S851" s="175"/>
      <c r="T851" s="175"/>
      <c r="U851" s="175"/>
      <c r="V851" s="175"/>
      <c r="W851" s="175"/>
      <c r="X851" s="175"/>
      <c r="Y851" s="175"/>
      <c r="Z851" s="175"/>
      <c r="AA851" s="175"/>
    </row>
    <row r="852">
      <c r="A852" s="187"/>
      <c r="D852" s="187"/>
      <c r="O852" s="175"/>
      <c r="P852" s="175"/>
      <c r="Q852" s="175"/>
      <c r="R852" s="175"/>
      <c r="S852" s="175"/>
      <c r="T852" s="175"/>
      <c r="U852" s="175"/>
      <c r="V852" s="175"/>
      <c r="W852" s="175"/>
      <c r="X852" s="175"/>
      <c r="Y852" s="175"/>
      <c r="Z852" s="175"/>
      <c r="AA852" s="175"/>
    </row>
    <row r="853">
      <c r="A853" s="187"/>
      <c r="D853" s="187"/>
      <c r="O853" s="175"/>
      <c r="P853" s="175"/>
      <c r="Q853" s="175"/>
      <c r="R853" s="175"/>
      <c r="S853" s="175"/>
      <c r="T853" s="175"/>
      <c r="U853" s="175"/>
      <c r="V853" s="175"/>
      <c r="W853" s="175"/>
      <c r="X853" s="175"/>
      <c r="Y853" s="175"/>
      <c r="Z853" s="175"/>
      <c r="AA853" s="175"/>
    </row>
    <row r="854">
      <c r="A854" s="187"/>
      <c r="D854" s="187"/>
      <c r="O854" s="175"/>
      <c r="P854" s="175"/>
      <c r="Q854" s="175"/>
      <c r="R854" s="175"/>
      <c r="S854" s="175"/>
      <c r="T854" s="175"/>
      <c r="U854" s="175"/>
      <c r="V854" s="175"/>
      <c r="W854" s="175"/>
      <c r="X854" s="175"/>
      <c r="Y854" s="175"/>
      <c r="Z854" s="175"/>
      <c r="AA854" s="175"/>
    </row>
    <row r="855">
      <c r="A855" s="187"/>
      <c r="D855" s="187"/>
      <c r="O855" s="175"/>
      <c r="P855" s="175"/>
      <c r="Q855" s="175"/>
      <c r="R855" s="175"/>
      <c r="S855" s="175"/>
      <c r="T855" s="175"/>
      <c r="U855" s="175"/>
      <c r="V855" s="175"/>
      <c r="W855" s="175"/>
      <c r="X855" s="175"/>
      <c r="Y855" s="175"/>
      <c r="Z855" s="175"/>
      <c r="AA855" s="175"/>
    </row>
    <row r="856">
      <c r="A856" s="187"/>
      <c r="D856" s="187"/>
      <c r="O856" s="175"/>
      <c r="P856" s="175"/>
      <c r="Q856" s="175"/>
      <c r="R856" s="175"/>
      <c r="S856" s="175"/>
      <c r="T856" s="175"/>
      <c r="U856" s="175"/>
      <c r="V856" s="175"/>
      <c r="W856" s="175"/>
      <c r="X856" s="175"/>
      <c r="Y856" s="175"/>
      <c r="Z856" s="175"/>
      <c r="AA856" s="175"/>
    </row>
    <row r="857">
      <c r="A857" s="187"/>
      <c r="D857" s="187"/>
      <c r="O857" s="175"/>
      <c r="P857" s="175"/>
      <c r="Q857" s="175"/>
      <c r="R857" s="175"/>
      <c r="S857" s="175"/>
      <c r="T857" s="175"/>
      <c r="U857" s="175"/>
      <c r="V857" s="175"/>
      <c r="W857" s="175"/>
      <c r="X857" s="175"/>
      <c r="Y857" s="175"/>
      <c r="Z857" s="175"/>
      <c r="AA857" s="175"/>
    </row>
    <row r="858">
      <c r="A858" s="187"/>
      <c r="D858" s="187"/>
      <c r="O858" s="175"/>
      <c r="P858" s="175"/>
      <c r="Q858" s="175"/>
      <c r="R858" s="175"/>
      <c r="S858" s="175"/>
      <c r="T858" s="175"/>
      <c r="U858" s="175"/>
      <c r="V858" s="175"/>
      <c r="W858" s="175"/>
      <c r="X858" s="175"/>
      <c r="Y858" s="175"/>
      <c r="Z858" s="175"/>
      <c r="AA858" s="175"/>
    </row>
    <row r="859">
      <c r="A859" s="187"/>
      <c r="D859" s="187"/>
      <c r="O859" s="175"/>
      <c r="P859" s="175"/>
      <c r="Q859" s="175"/>
      <c r="R859" s="175"/>
      <c r="S859" s="175"/>
      <c r="T859" s="175"/>
      <c r="U859" s="175"/>
      <c r="V859" s="175"/>
      <c r="W859" s="175"/>
      <c r="X859" s="175"/>
      <c r="Y859" s="175"/>
      <c r="Z859" s="175"/>
      <c r="AA859" s="175"/>
    </row>
    <row r="860">
      <c r="A860" s="187"/>
      <c r="D860" s="187"/>
      <c r="O860" s="175"/>
      <c r="P860" s="175"/>
      <c r="Q860" s="175"/>
      <c r="R860" s="175"/>
      <c r="S860" s="175"/>
      <c r="T860" s="175"/>
      <c r="U860" s="175"/>
      <c r="V860" s="175"/>
      <c r="W860" s="175"/>
      <c r="X860" s="175"/>
      <c r="Y860" s="175"/>
      <c r="Z860" s="175"/>
      <c r="AA860" s="175"/>
    </row>
    <row r="861">
      <c r="A861" s="187"/>
      <c r="D861" s="187"/>
      <c r="O861" s="175"/>
      <c r="P861" s="175"/>
      <c r="Q861" s="175"/>
      <c r="R861" s="175"/>
      <c r="S861" s="175"/>
      <c r="T861" s="175"/>
      <c r="U861" s="175"/>
      <c r="V861" s="175"/>
      <c r="W861" s="175"/>
      <c r="X861" s="175"/>
      <c r="Y861" s="175"/>
      <c r="Z861" s="175"/>
      <c r="AA861" s="175"/>
    </row>
    <row r="862">
      <c r="A862" s="187"/>
      <c r="D862" s="187"/>
      <c r="O862" s="175"/>
      <c r="P862" s="175"/>
      <c r="Q862" s="175"/>
      <c r="R862" s="175"/>
      <c r="S862" s="175"/>
      <c r="T862" s="175"/>
      <c r="U862" s="175"/>
      <c r="V862" s="175"/>
      <c r="W862" s="175"/>
      <c r="X862" s="175"/>
      <c r="Y862" s="175"/>
      <c r="Z862" s="175"/>
      <c r="AA862" s="175"/>
    </row>
    <row r="863">
      <c r="A863" s="187"/>
      <c r="D863" s="187"/>
      <c r="O863" s="175"/>
      <c r="P863" s="175"/>
      <c r="Q863" s="175"/>
      <c r="R863" s="175"/>
      <c r="S863" s="175"/>
      <c r="T863" s="175"/>
      <c r="U863" s="175"/>
      <c r="V863" s="175"/>
      <c r="W863" s="175"/>
      <c r="X863" s="175"/>
      <c r="Y863" s="175"/>
      <c r="Z863" s="175"/>
      <c r="AA863" s="175"/>
    </row>
    <row r="864">
      <c r="A864" s="187"/>
      <c r="D864" s="187"/>
      <c r="O864" s="175"/>
      <c r="P864" s="175"/>
      <c r="Q864" s="175"/>
      <c r="R864" s="175"/>
      <c r="S864" s="175"/>
      <c r="T864" s="175"/>
      <c r="U864" s="175"/>
      <c r="V864" s="175"/>
      <c r="W864" s="175"/>
      <c r="X864" s="175"/>
      <c r="Y864" s="175"/>
      <c r="Z864" s="175"/>
      <c r="AA864" s="175"/>
    </row>
    <row r="865">
      <c r="A865" s="187"/>
      <c r="D865" s="187"/>
      <c r="O865" s="175"/>
      <c r="P865" s="175"/>
      <c r="Q865" s="175"/>
      <c r="R865" s="175"/>
      <c r="S865" s="175"/>
      <c r="T865" s="175"/>
      <c r="U865" s="175"/>
      <c r="V865" s="175"/>
      <c r="W865" s="175"/>
      <c r="X865" s="175"/>
      <c r="Y865" s="175"/>
      <c r="Z865" s="175"/>
      <c r="AA865" s="175"/>
    </row>
    <row r="866">
      <c r="A866" s="187"/>
      <c r="D866" s="187"/>
      <c r="O866" s="175"/>
      <c r="P866" s="175"/>
      <c r="Q866" s="175"/>
      <c r="R866" s="175"/>
      <c r="S866" s="175"/>
      <c r="T866" s="175"/>
      <c r="U866" s="175"/>
      <c r="V866" s="175"/>
      <c r="W866" s="175"/>
      <c r="X866" s="175"/>
      <c r="Y866" s="175"/>
      <c r="Z866" s="175"/>
      <c r="AA866" s="175"/>
    </row>
    <row r="867">
      <c r="A867" s="187"/>
      <c r="D867" s="187"/>
      <c r="O867" s="175"/>
      <c r="P867" s="175"/>
      <c r="Q867" s="175"/>
      <c r="R867" s="175"/>
      <c r="S867" s="175"/>
      <c r="T867" s="175"/>
      <c r="U867" s="175"/>
      <c r="V867" s="175"/>
      <c r="W867" s="175"/>
      <c r="X867" s="175"/>
      <c r="Y867" s="175"/>
      <c r="Z867" s="175"/>
      <c r="AA867" s="175"/>
    </row>
    <row r="868">
      <c r="A868" s="187"/>
      <c r="D868" s="187"/>
      <c r="O868" s="175"/>
      <c r="P868" s="175"/>
      <c r="Q868" s="175"/>
      <c r="R868" s="175"/>
      <c r="S868" s="175"/>
      <c r="T868" s="175"/>
      <c r="U868" s="175"/>
      <c r="V868" s="175"/>
      <c r="W868" s="175"/>
      <c r="X868" s="175"/>
      <c r="Y868" s="175"/>
      <c r="Z868" s="175"/>
      <c r="AA868" s="175"/>
    </row>
    <row r="869">
      <c r="A869" s="187"/>
      <c r="D869" s="187"/>
      <c r="O869" s="175"/>
      <c r="P869" s="175"/>
      <c r="Q869" s="175"/>
      <c r="R869" s="175"/>
      <c r="S869" s="175"/>
      <c r="T869" s="175"/>
      <c r="U869" s="175"/>
      <c r="V869" s="175"/>
      <c r="W869" s="175"/>
      <c r="X869" s="175"/>
      <c r="Y869" s="175"/>
      <c r="Z869" s="175"/>
      <c r="AA869" s="175"/>
    </row>
    <row r="870">
      <c r="A870" s="187"/>
      <c r="D870" s="187"/>
      <c r="O870" s="175"/>
      <c r="P870" s="175"/>
      <c r="Q870" s="175"/>
      <c r="R870" s="175"/>
      <c r="S870" s="175"/>
      <c r="T870" s="175"/>
      <c r="U870" s="175"/>
      <c r="V870" s="175"/>
      <c r="W870" s="175"/>
      <c r="X870" s="175"/>
      <c r="Y870" s="175"/>
      <c r="Z870" s="175"/>
      <c r="AA870" s="175"/>
    </row>
    <row r="871">
      <c r="A871" s="187"/>
      <c r="D871" s="187"/>
      <c r="O871" s="175"/>
      <c r="P871" s="175"/>
      <c r="Q871" s="175"/>
      <c r="R871" s="175"/>
      <c r="S871" s="175"/>
      <c r="T871" s="175"/>
      <c r="U871" s="175"/>
      <c r="V871" s="175"/>
      <c r="W871" s="175"/>
      <c r="X871" s="175"/>
      <c r="Y871" s="175"/>
      <c r="Z871" s="175"/>
      <c r="AA871" s="175"/>
    </row>
    <row r="872">
      <c r="A872" s="187"/>
      <c r="D872" s="187"/>
      <c r="O872" s="175"/>
      <c r="P872" s="175"/>
      <c r="Q872" s="175"/>
      <c r="R872" s="175"/>
      <c r="S872" s="175"/>
      <c r="T872" s="175"/>
      <c r="U872" s="175"/>
      <c r="V872" s="175"/>
      <c r="W872" s="175"/>
      <c r="X872" s="175"/>
      <c r="Y872" s="175"/>
      <c r="Z872" s="175"/>
      <c r="AA872" s="175"/>
    </row>
    <row r="873">
      <c r="A873" s="187"/>
      <c r="D873" s="187"/>
      <c r="O873" s="175"/>
      <c r="P873" s="175"/>
      <c r="Q873" s="175"/>
      <c r="R873" s="175"/>
      <c r="S873" s="175"/>
      <c r="T873" s="175"/>
      <c r="U873" s="175"/>
      <c r="V873" s="175"/>
      <c r="W873" s="175"/>
      <c r="X873" s="175"/>
      <c r="Y873" s="175"/>
      <c r="Z873" s="175"/>
      <c r="AA873" s="175"/>
    </row>
    <row r="874">
      <c r="A874" s="187"/>
      <c r="D874" s="187"/>
      <c r="O874" s="175"/>
      <c r="P874" s="175"/>
      <c r="Q874" s="175"/>
      <c r="R874" s="175"/>
      <c r="S874" s="175"/>
      <c r="T874" s="175"/>
      <c r="U874" s="175"/>
      <c r="V874" s="175"/>
      <c r="W874" s="175"/>
      <c r="X874" s="175"/>
      <c r="Y874" s="175"/>
      <c r="Z874" s="175"/>
      <c r="AA874" s="175"/>
    </row>
    <row r="875">
      <c r="A875" s="187"/>
      <c r="D875" s="187"/>
      <c r="O875" s="175"/>
      <c r="P875" s="175"/>
      <c r="Q875" s="175"/>
      <c r="R875" s="175"/>
      <c r="S875" s="175"/>
      <c r="T875" s="175"/>
      <c r="U875" s="175"/>
      <c r="V875" s="175"/>
      <c r="W875" s="175"/>
      <c r="X875" s="175"/>
      <c r="Y875" s="175"/>
      <c r="Z875" s="175"/>
      <c r="AA875" s="175"/>
    </row>
    <row r="876">
      <c r="A876" s="187"/>
      <c r="D876" s="187"/>
      <c r="O876" s="175"/>
      <c r="P876" s="175"/>
      <c r="Q876" s="175"/>
      <c r="R876" s="175"/>
      <c r="S876" s="175"/>
      <c r="T876" s="175"/>
      <c r="U876" s="175"/>
      <c r="V876" s="175"/>
      <c r="W876" s="175"/>
      <c r="X876" s="175"/>
      <c r="Y876" s="175"/>
      <c r="Z876" s="175"/>
      <c r="AA876" s="175"/>
    </row>
    <row r="877">
      <c r="A877" s="187"/>
      <c r="D877" s="187"/>
      <c r="O877" s="175"/>
      <c r="P877" s="175"/>
      <c r="Q877" s="175"/>
      <c r="R877" s="175"/>
      <c r="S877" s="175"/>
      <c r="T877" s="175"/>
      <c r="U877" s="175"/>
      <c r="V877" s="175"/>
      <c r="W877" s="175"/>
      <c r="X877" s="175"/>
      <c r="Y877" s="175"/>
      <c r="Z877" s="175"/>
      <c r="AA877" s="175"/>
    </row>
    <row r="878">
      <c r="A878" s="187"/>
      <c r="D878" s="187"/>
      <c r="O878" s="175"/>
      <c r="P878" s="175"/>
      <c r="Q878" s="175"/>
      <c r="R878" s="175"/>
      <c r="S878" s="175"/>
      <c r="T878" s="175"/>
      <c r="U878" s="175"/>
      <c r="V878" s="175"/>
      <c r="W878" s="175"/>
      <c r="X878" s="175"/>
      <c r="Y878" s="175"/>
      <c r="Z878" s="175"/>
      <c r="AA878" s="175"/>
    </row>
    <row r="879">
      <c r="A879" s="187"/>
      <c r="D879" s="187"/>
      <c r="O879" s="175"/>
      <c r="P879" s="175"/>
      <c r="Q879" s="175"/>
      <c r="R879" s="175"/>
      <c r="S879" s="175"/>
      <c r="T879" s="175"/>
      <c r="U879" s="175"/>
      <c r="V879" s="175"/>
      <c r="W879" s="175"/>
      <c r="X879" s="175"/>
      <c r="Y879" s="175"/>
      <c r="Z879" s="175"/>
      <c r="AA879" s="175"/>
    </row>
    <row r="880">
      <c r="A880" s="187"/>
      <c r="D880" s="187"/>
      <c r="O880" s="175"/>
      <c r="P880" s="175"/>
      <c r="Q880" s="175"/>
      <c r="R880" s="175"/>
      <c r="S880" s="175"/>
      <c r="T880" s="175"/>
      <c r="U880" s="175"/>
      <c r="V880" s="175"/>
      <c r="W880" s="175"/>
      <c r="X880" s="175"/>
      <c r="Y880" s="175"/>
      <c r="Z880" s="175"/>
      <c r="AA880" s="175"/>
    </row>
    <row r="881">
      <c r="A881" s="187"/>
      <c r="D881" s="187"/>
      <c r="O881" s="175"/>
      <c r="P881" s="175"/>
      <c r="Q881" s="175"/>
      <c r="R881" s="175"/>
      <c r="S881" s="175"/>
      <c r="T881" s="175"/>
      <c r="U881" s="175"/>
      <c r="V881" s="175"/>
      <c r="W881" s="175"/>
      <c r="X881" s="175"/>
      <c r="Y881" s="175"/>
      <c r="Z881" s="175"/>
      <c r="AA881" s="175"/>
    </row>
    <row r="882">
      <c r="A882" s="187"/>
      <c r="D882" s="187"/>
      <c r="O882" s="175"/>
      <c r="P882" s="175"/>
      <c r="Q882" s="175"/>
      <c r="R882" s="175"/>
      <c r="S882" s="175"/>
      <c r="T882" s="175"/>
      <c r="U882" s="175"/>
      <c r="V882" s="175"/>
      <c r="W882" s="175"/>
      <c r="X882" s="175"/>
      <c r="Y882" s="175"/>
      <c r="Z882" s="175"/>
      <c r="AA882" s="175"/>
    </row>
    <row r="883">
      <c r="A883" s="187"/>
      <c r="D883" s="187"/>
      <c r="O883" s="175"/>
      <c r="P883" s="175"/>
      <c r="Q883" s="175"/>
      <c r="R883" s="175"/>
      <c r="S883" s="175"/>
      <c r="T883" s="175"/>
      <c r="U883" s="175"/>
      <c r="V883" s="175"/>
      <c r="W883" s="175"/>
      <c r="X883" s="175"/>
      <c r="Y883" s="175"/>
      <c r="Z883" s="175"/>
      <c r="AA883" s="175"/>
    </row>
    <row r="884">
      <c r="A884" s="187"/>
      <c r="D884" s="187"/>
      <c r="O884" s="175"/>
      <c r="P884" s="175"/>
      <c r="Q884" s="175"/>
      <c r="R884" s="175"/>
      <c r="S884" s="175"/>
      <c r="T884" s="175"/>
      <c r="U884" s="175"/>
      <c r="V884" s="175"/>
      <c r="W884" s="175"/>
      <c r="X884" s="175"/>
      <c r="Y884" s="175"/>
      <c r="Z884" s="175"/>
      <c r="AA884" s="175"/>
    </row>
    <row r="885">
      <c r="A885" s="187"/>
      <c r="D885" s="187"/>
      <c r="O885" s="175"/>
      <c r="P885" s="175"/>
      <c r="Q885" s="175"/>
      <c r="R885" s="175"/>
      <c r="S885" s="175"/>
      <c r="T885" s="175"/>
      <c r="U885" s="175"/>
      <c r="V885" s="175"/>
      <c r="W885" s="175"/>
      <c r="X885" s="175"/>
      <c r="Y885" s="175"/>
      <c r="Z885" s="175"/>
      <c r="AA885" s="175"/>
    </row>
    <row r="886">
      <c r="A886" s="187"/>
      <c r="D886" s="187"/>
      <c r="O886" s="175"/>
      <c r="P886" s="175"/>
      <c r="Q886" s="175"/>
      <c r="R886" s="175"/>
      <c r="S886" s="175"/>
      <c r="T886" s="175"/>
      <c r="U886" s="175"/>
      <c r="V886" s="175"/>
      <c r="W886" s="175"/>
      <c r="X886" s="175"/>
      <c r="Y886" s="175"/>
      <c r="Z886" s="175"/>
      <c r="AA886" s="175"/>
    </row>
    <row r="887">
      <c r="A887" s="187"/>
      <c r="D887" s="187"/>
      <c r="O887" s="175"/>
      <c r="P887" s="175"/>
      <c r="Q887" s="175"/>
      <c r="R887" s="175"/>
      <c r="S887" s="175"/>
      <c r="T887" s="175"/>
      <c r="U887" s="175"/>
      <c r="V887" s="175"/>
      <c r="W887" s="175"/>
      <c r="X887" s="175"/>
      <c r="Y887" s="175"/>
      <c r="Z887" s="175"/>
      <c r="AA887" s="175"/>
    </row>
    <row r="888">
      <c r="A888" s="187"/>
      <c r="D888" s="187"/>
      <c r="O888" s="175"/>
      <c r="P888" s="175"/>
      <c r="Q888" s="175"/>
      <c r="R888" s="175"/>
      <c r="S888" s="175"/>
      <c r="T888" s="175"/>
      <c r="U888" s="175"/>
      <c r="V888" s="175"/>
      <c r="W888" s="175"/>
      <c r="X888" s="175"/>
      <c r="Y888" s="175"/>
      <c r="Z888" s="175"/>
      <c r="AA888" s="175"/>
    </row>
    <row r="889">
      <c r="A889" s="187"/>
      <c r="D889" s="187"/>
      <c r="O889" s="175"/>
      <c r="P889" s="175"/>
      <c r="Q889" s="175"/>
      <c r="R889" s="175"/>
      <c r="S889" s="175"/>
      <c r="T889" s="175"/>
      <c r="U889" s="175"/>
      <c r="V889" s="175"/>
      <c r="W889" s="175"/>
      <c r="X889" s="175"/>
      <c r="Y889" s="175"/>
      <c r="Z889" s="175"/>
      <c r="AA889" s="175"/>
    </row>
    <row r="890">
      <c r="A890" s="187"/>
      <c r="D890" s="187"/>
      <c r="O890" s="175"/>
      <c r="P890" s="175"/>
      <c r="Q890" s="175"/>
      <c r="R890" s="175"/>
      <c r="S890" s="175"/>
      <c r="T890" s="175"/>
      <c r="U890" s="175"/>
      <c r="V890" s="175"/>
      <c r="W890" s="175"/>
      <c r="X890" s="175"/>
      <c r="Y890" s="175"/>
      <c r="Z890" s="175"/>
      <c r="AA890" s="175"/>
    </row>
    <row r="891">
      <c r="A891" s="187"/>
      <c r="D891" s="187"/>
      <c r="O891" s="175"/>
      <c r="P891" s="175"/>
      <c r="Q891" s="175"/>
      <c r="R891" s="175"/>
      <c r="S891" s="175"/>
      <c r="T891" s="175"/>
      <c r="U891" s="175"/>
      <c r="V891" s="175"/>
      <c r="W891" s="175"/>
      <c r="X891" s="175"/>
      <c r="Y891" s="175"/>
      <c r="Z891" s="175"/>
      <c r="AA891" s="175"/>
    </row>
    <row r="892">
      <c r="A892" s="187"/>
      <c r="D892" s="187"/>
      <c r="O892" s="175"/>
      <c r="P892" s="175"/>
      <c r="Q892" s="175"/>
      <c r="R892" s="175"/>
      <c r="S892" s="175"/>
      <c r="T892" s="175"/>
      <c r="U892" s="175"/>
      <c r="V892" s="175"/>
      <c r="W892" s="175"/>
      <c r="X892" s="175"/>
      <c r="Y892" s="175"/>
      <c r="Z892" s="175"/>
      <c r="AA892" s="175"/>
    </row>
    <row r="893">
      <c r="A893" s="187"/>
      <c r="D893" s="187"/>
      <c r="O893" s="175"/>
      <c r="P893" s="175"/>
      <c r="Q893" s="175"/>
      <c r="R893" s="175"/>
      <c r="S893" s="175"/>
      <c r="T893" s="175"/>
      <c r="U893" s="175"/>
      <c r="V893" s="175"/>
      <c r="W893" s="175"/>
      <c r="X893" s="175"/>
      <c r="Y893" s="175"/>
      <c r="Z893" s="175"/>
      <c r="AA893" s="175"/>
    </row>
    <row r="894">
      <c r="A894" s="187"/>
      <c r="D894" s="187"/>
      <c r="O894" s="175"/>
      <c r="P894" s="175"/>
      <c r="Q894" s="175"/>
      <c r="R894" s="175"/>
      <c r="S894" s="175"/>
      <c r="T894" s="175"/>
      <c r="U894" s="175"/>
      <c r="V894" s="175"/>
      <c r="W894" s="175"/>
      <c r="X894" s="175"/>
      <c r="Y894" s="175"/>
      <c r="Z894" s="175"/>
      <c r="AA894" s="175"/>
    </row>
    <row r="895">
      <c r="A895" s="187"/>
      <c r="D895" s="187"/>
      <c r="O895" s="175"/>
      <c r="P895" s="175"/>
      <c r="Q895" s="175"/>
      <c r="R895" s="175"/>
      <c r="S895" s="175"/>
      <c r="T895" s="175"/>
      <c r="U895" s="175"/>
      <c r="V895" s="175"/>
      <c r="W895" s="175"/>
      <c r="X895" s="175"/>
      <c r="Y895" s="175"/>
      <c r="Z895" s="175"/>
      <c r="AA895" s="175"/>
    </row>
    <row r="896">
      <c r="A896" s="187"/>
      <c r="D896" s="187"/>
      <c r="O896" s="175"/>
      <c r="P896" s="175"/>
      <c r="Q896" s="175"/>
      <c r="R896" s="175"/>
      <c r="S896" s="175"/>
      <c r="T896" s="175"/>
      <c r="U896" s="175"/>
      <c r="V896" s="175"/>
      <c r="W896" s="175"/>
      <c r="X896" s="175"/>
      <c r="Y896" s="175"/>
      <c r="Z896" s="175"/>
      <c r="AA896" s="175"/>
    </row>
    <row r="897">
      <c r="A897" s="187"/>
      <c r="D897" s="187"/>
      <c r="O897" s="175"/>
      <c r="P897" s="175"/>
      <c r="Q897" s="175"/>
      <c r="R897" s="175"/>
      <c r="S897" s="175"/>
      <c r="T897" s="175"/>
      <c r="U897" s="175"/>
      <c r="V897" s="175"/>
      <c r="W897" s="175"/>
      <c r="X897" s="175"/>
      <c r="Y897" s="175"/>
      <c r="Z897" s="175"/>
      <c r="AA897" s="175"/>
    </row>
    <row r="898">
      <c r="A898" s="187"/>
      <c r="D898" s="187"/>
      <c r="O898" s="175"/>
      <c r="P898" s="175"/>
      <c r="Q898" s="175"/>
      <c r="R898" s="175"/>
      <c r="S898" s="175"/>
      <c r="T898" s="175"/>
      <c r="U898" s="175"/>
      <c r="V898" s="175"/>
      <c r="W898" s="175"/>
      <c r="X898" s="175"/>
      <c r="Y898" s="175"/>
      <c r="Z898" s="175"/>
      <c r="AA898" s="175"/>
    </row>
    <row r="899">
      <c r="A899" s="187"/>
      <c r="D899" s="187"/>
      <c r="O899" s="175"/>
      <c r="P899" s="175"/>
      <c r="Q899" s="175"/>
      <c r="R899" s="175"/>
      <c r="S899" s="175"/>
      <c r="T899" s="175"/>
      <c r="U899" s="175"/>
      <c r="V899" s="175"/>
      <c r="W899" s="175"/>
      <c r="X899" s="175"/>
      <c r="Y899" s="175"/>
      <c r="Z899" s="175"/>
      <c r="AA899" s="175"/>
    </row>
    <row r="900">
      <c r="A900" s="187"/>
      <c r="D900" s="187"/>
      <c r="O900" s="175"/>
      <c r="P900" s="175"/>
      <c r="Q900" s="175"/>
      <c r="R900" s="175"/>
      <c r="S900" s="175"/>
      <c r="T900" s="175"/>
      <c r="U900" s="175"/>
      <c r="V900" s="175"/>
      <c r="W900" s="175"/>
      <c r="X900" s="175"/>
      <c r="Y900" s="175"/>
      <c r="Z900" s="175"/>
      <c r="AA900" s="175"/>
    </row>
    <row r="901">
      <c r="A901" s="187"/>
      <c r="D901" s="187"/>
      <c r="O901" s="175"/>
      <c r="P901" s="175"/>
      <c r="Q901" s="175"/>
      <c r="R901" s="175"/>
      <c r="S901" s="175"/>
      <c r="T901" s="175"/>
      <c r="U901" s="175"/>
      <c r="V901" s="175"/>
      <c r="W901" s="175"/>
      <c r="X901" s="175"/>
      <c r="Y901" s="175"/>
      <c r="Z901" s="175"/>
      <c r="AA901" s="175"/>
    </row>
    <row r="902">
      <c r="A902" s="187"/>
      <c r="D902" s="187"/>
      <c r="O902" s="175"/>
      <c r="P902" s="175"/>
      <c r="Q902" s="175"/>
      <c r="R902" s="175"/>
      <c r="S902" s="175"/>
      <c r="T902" s="175"/>
      <c r="U902" s="175"/>
      <c r="V902" s="175"/>
      <c r="W902" s="175"/>
      <c r="X902" s="175"/>
      <c r="Y902" s="175"/>
      <c r="Z902" s="175"/>
      <c r="AA902" s="175"/>
    </row>
    <row r="903">
      <c r="A903" s="187"/>
      <c r="D903" s="187"/>
      <c r="O903" s="175"/>
      <c r="P903" s="175"/>
      <c r="Q903" s="175"/>
      <c r="R903" s="175"/>
      <c r="S903" s="175"/>
      <c r="T903" s="175"/>
      <c r="U903" s="175"/>
      <c r="V903" s="175"/>
      <c r="W903" s="175"/>
      <c r="X903" s="175"/>
      <c r="Y903" s="175"/>
      <c r="Z903" s="175"/>
      <c r="AA903" s="175"/>
    </row>
    <row r="904">
      <c r="A904" s="187"/>
      <c r="D904" s="187"/>
      <c r="O904" s="175"/>
      <c r="P904" s="175"/>
      <c r="Q904" s="175"/>
      <c r="R904" s="175"/>
      <c r="S904" s="175"/>
      <c r="T904" s="175"/>
      <c r="U904" s="175"/>
      <c r="V904" s="175"/>
      <c r="W904" s="175"/>
      <c r="X904" s="175"/>
      <c r="Y904" s="175"/>
      <c r="Z904" s="175"/>
      <c r="AA904" s="175"/>
    </row>
    <row r="905">
      <c r="A905" s="187"/>
      <c r="D905" s="187"/>
      <c r="O905" s="175"/>
      <c r="P905" s="175"/>
      <c r="Q905" s="175"/>
      <c r="R905" s="175"/>
      <c r="S905" s="175"/>
      <c r="T905" s="175"/>
      <c r="U905" s="175"/>
      <c r="V905" s="175"/>
      <c r="W905" s="175"/>
      <c r="X905" s="175"/>
      <c r="Y905" s="175"/>
      <c r="Z905" s="175"/>
      <c r="AA905" s="175"/>
    </row>
    <row r="906">
      <c r="A906" s="187"/>
      <c r="D906" s="187"/>
      <c r="O906" s="175"/>
      <c r="P906" s="175"/>
      <c r="Q906" s="175"/>
      <c r="R906" s="175"/>
      <c r="S906" s="175"/>
      <c r="T906" s="175"/>
      <c r="U906" s="175"/>
      <c r="V906" s="175"/>
      <c r="W906" s="175"/>
      <c r="X906" s="175"/>
      <c r="Y906" s="175"/>
      <c r="Z906" s="175"/>
      <c r="AA906" s="175"/>
    </row>
    <row r="907">
      <c r="A907" s="187"/>
      <c r="D907" s="187"/>
      <c r="O907" s="175"/>
      <c r="P907" s="175"/>
      <c r="Q907" s="175"/>
      <c r="R907" s="175"/>
      <c r="S907" s="175"/>
      <c r="T907" s="175"/>
      <c r="U907" s="175"/>
      <c r="V907" s="175"/>
      <c r="W907" s="175"/>
      <c r="X907" s="175"/>
      <c r="Y907" s="175"/>
      <c r="Z907" s="175"/>
      <c r="AA907" s="175"/>
    </row>
    <row r="908">
      <c r="A908" s="187"/>
      <c r="D908" s="187"/>
      <c r="O908" s="175"/>
      <c r="P908" s="175"/>
      <c r="Q908" s="175"/>
      <c r="R908" s="175"/>
      <c r="S908" s="175"/>
      <c r="T908" s="175"/>
      <c r="U908" s="175"/>
      <c r="V908" s="175"/>
      <c r="W908" s="175"/>
      <c r="X908" s="175"/>
      <c r="Y908" s="175"/>
      <c r="Z908" s="175"/>
      <c r="AA908" s="175"/>
    </row>
    <row r="909">
      <c r="A909" s="187"/>
      <c r="D909" s="187"/>
      <c r="O909" s="175"/>
      <c r="P909" s="175"/>
      <c r="Q909" s="175"/>
      <c r="R909" s="175"/>
      <c r="S909" s="175"/>
      <c r="T909" s="175"/>
      <c r="U909" s="175"/>
      <c r="V909" s="175"/>
      <c r="W909" s="175"/>
      <c r="X909" s="175"/>
      <c r="Y909" s="175"/>
      <c r="Z909" s="175"/>
      <c r="AA909" s="175"/>
    </row>
    <row r="910">
      <c r="A910" s="187"/>
      <c r="D910" s="187"/>
      <c r="O910" s="175"/>
      <c r="P910" s="175"/>
      <c r="Q910" s="175"/>
      <c r="R910" s="175"/>
      <c r="S910" s="175"/>
      <c r="T910" s="175"/>
      <c r="U910" s="175"/>
      <c r="V910" s="175"/>
      <c r="W910" s="175"/>
      <c r="X910" s="175"/>
      <c r="Y910" s="175"/>
      <c r="Z910" s="175"/>
      <c r="AA910" s="175"/>
    </row>
    <row r="911">
      <c r="A911" s="187"/>
      <c r="D911" s="187"/>
      <c r="O911" s="175"/>
      <c r="P911" s="175"/>
      <c r="Q911" s="175"/>
      <c r="R911" s="175"/>
      <c r="S911" s="175"/>
      <c r="T911" s="175"/>
      <c r="U911" s="175"/>
      <c r="V911" s="175"/>
      <c r="W911" s="175"/>
      <c r="X911" s="175"/>
      <c r="Y911" s="175"/>
      <c r="Z911" s="175"/>
      <c r="AA911" s="175"/>
    </row>
    <row r="912">
      <c r="A912" s="187"/>
      <c r="D912" s="187"/>
      <c r="O912" s="175"/>
      <c r="P912" s="175"/>
      <c r="Q912" s="175"/>
      <c r="R912" s="175"/>
      <c r="S912" s="175"/>
      <c r="T912" s="175"/>
      <c r="U912" s="175"/>
      <c r="V912" s="175"/>
      <c r="W912" s="175"/>
      <c r="X912" s="175"/>
      <c r="Y912" s="175"/>
      <c r="Z912" s="175"/>
      <c r="AA912" s="175"/>
    </row>
    <row r="913">
      <c r="A913" s="187"/>
      <c r="D913" s="187"/>
      <c r="O913" s="175"/>
      <c r="P913" s="175"/>
      <c r="Q913" s="175"/>
      <c r="R913" s="175"/>
      <c r="S913" s="175"/>
      <c r="T913" s="175"/>
      <c r="U913" s="175"/>
      <c r="V913" s="175"/>
      <c r="W913" s="175"/>
      <c r="X913" s="175"/>
      <c r="Y913" s="175"/>
      <c r="Z913" s="175"/>
      <c r="AA913" s="175"/>
    </row>
    <row r="914">
      <c r="A914" s="187"/>
      <c r="D914" s="187"/>
      <c r="O914" s="175"/>
      <c r="P914" s="175"/>
      <c r="Q914" s="175"/>
      <c r="R914" s="175"/>
      <c r="S914" s="175"/>
      <c r="T914" s="175"/>
      <c r="U914" s="175"/>
      <c r="V914" s="175"/>
      <c r="W914" s="175"/>
      <c r="X914" s="175"/>
      <c r="Y914" s="175"/>
      <c r="Z914" s="175"/>
      <c r="AA914" s="175"/>
    </row>
    <row r="915">
      <c r="A915" s="187"/>
      <c r="D915" s="187"/>
      <c r="O915" s="175"/>
      <c r="P915" s="175"/>
      <c r="Q915" s="175"/>
      <c r="R915" s="175"/>
      <c r="S915" s="175"/>
      <c r="T915" s="175"/>
      <c r="U915" s="175"/>
      <c r="V915" s="175"/>
      <c r="W915" s="175"/>
      <c r="X915" s="175"/>
      <c r="Y915" s="175"/>
      <c r="Z915" s="175"/>
      <c r="AA915" s="175"/>
    </row>
    <row r="916">
      <c r="A916" s="187"/>
      <c r="D916" s="187"/>
      <c r="O916" s="175"/>
      <c r="P916" s="175"/>
      <c r="Q916" s="175"/>
      <c r="R916" s="175"/>
      <c r="S916" s="175"/>
      <c r="T916" s="175"/>
      <c r="U916" s="175"/>
      <c r="V916" s="175"/>
      <c r="W916" s="175"/>
      <c r="X916" s="175"/>
      <c r="Y916" s="175"/>
      <c r="Z916" s="175"/>
      <c r="AA916" s="175"/>
    </row>
    <row r="917">
      <c r="A917" s="187"/>
      <c r="D917" s="187"/>
      <c r="O917" s="175"/>
      <c r="P917" s="175"/>
      <c r="Q917" s="175"/>
      <c r="R917" s="175"/>
      <c r="S917" s="175"/>
      <c r="T917" s="175"/>
      <c r="U917" s="175"/>
      <c r="V917" s="175"/>
      <c r="W917" s="175"/>
      <c r="X917" s="175"/>
      <c r="Y917" s="175"/>
      <c r="Z917" s="175"/>
      <c r="AA917" s="175"/>
    </row>
    <row r="918">
      <c r="A918" s="187"/>
      <c r="D918" s="187"/>
      <c r="O918" s="175"/>
      <c r="P918" s="175"/>
      <c r="Q918" s="175"/>
      <c r="R918" s="175"/>
      <c r="S918" s="175"/>
      <c r="T918" s="175"/>
      <c r="U918" s="175"/>
      <c r="V918" s="175"/>
      <c r="W918" s="175"/>
      <c r="X918" s="175"/>
      <c r="Y918" s="175"/>
      <c r="Z918" s="175"/>
      <c r="AA918" s="175"/>
    </row>
    <row r="919">
      <c r="A919" s="187"/>
      <c r="D919" s="187"/>
      <c r="O919" s="175"/>
      <c r="P919" s="175"/>
      <c r="Q919" s="175"/>
      <c r="R919" s="175"/>
      <c r="S919" s="175"/>
      <c r="T919" s="175"/>
      <c r="U919" s="175"/>
      <c r="V919" s="175"/>
      <c r="W919" s="175"/>
      <c r="X919" s="175"/>
      <c r="Y919" s="175"/>
      <c r="Z919" s="175"/>
      <c r="AA919" s="175"/>
    </row>
    <row r="920">
      <c r="A920" s="187"/>
      <c r="D920" s="187"/>
      <c r="O920" s="175"/>
      <c r="P920" s="175"/>
      <c r="Q920" s="175"/>
      <c r="R920" s="175"/>
      <c r="S920" s="175"/>
      <c r="T920" s="175"/>
      <c r="U920" s="175"/>
      <c r="V920" s="175"/>
      <c r="W920" s="175"/>
      <c r="X920" s="175"/>
      <c r="Y920" s="175"/>
      <c r="Z920" s="175"/>
      <c r="AA920" s="175"/>
    </row>
    <row r="921">
      <c r="A921" s="187"/>
      <c r="D921" s="187"/>
      <c r="O921" s="175"/>
      <c r="P921" s="175"/>
      <c r="Q921" s="175"/>
      <c r="R921" s="175"/>
      <c r="S921" s="175"/>
      <c r="T921" s="175"/>
      <c r="U921" s="175"/>
      <c r="V921" s="175"/>
      <c r="W921" s="175"/>
      <c r="X921" s="175"/>
      <c r="Y921" s="175"/>
      <c r="Z921" s="175"/>
      <c r="AA921" s="175"/>
    </row>
    <row r="922">
      <c r="A922" s="187"/>
      <c r="D922" s="187"/>
      <c r="O922" s="175"/>
      <c r="P922" s="175"/>
      <c r="Q922" s="175"/>
      <c r="R922" s="175"/>
      <c r="S922" s="175"/>
      <c r="T922" s="175"/>
      <c r="U922" s="175"/>
      <c r="V922" s="175"/>
      <c r="W922" s="175"/>
      <c r="X922" s="175"/>
      <c r="Y922" s="175"/>
      <c r="Z922" s="175"/>
      <c r="AA922" s="175"/>
    </row>
    <row r="923">
      <c r="A923" s="187"/>
      <c r="D923" s="187"/>
      <c r="O923" s="175"/>
      <c r="P923" s="175"/>
      <c r="Q923" s="175"/>
      <c r="R923" s="175"/>
      <c r="S923" s="175"/>
      <c r="T923" s="175"/>
      <c r="U923" s="175"/>
      <c r="V923" s="175"/>
      <c r="W923" s="175"/>
      <c r="X923" s="175"/>
      <c r="Y923" s="175"/>
      <c r="Z923" s="175"/>
      <c r="AA923" s="175"/>
    </row>
    <row r="924">
      <c r="A924" s="187"/>
      <c r="D924" s="187"/>
      <c r="O924" s="175"/>
      <c r="P924" s="175"/>
      <c r="Q924" s="175"/>
      <c r="R924" s="175"/>
      <c r="S924" s="175"/>
      <c r="T924" s="175"/>
      <c r="U924" s="175"/>
      <c r="V924" s="175"/>
      <c r="W924" s="175"/>
      <c r="X924" s="175"/>
      <c r="Y924" s="175"/>
      <c r="Z924" s="175"/>
      <c r="AA924" s="175"/>
    </row>
    <row r="925">
      <c r="A925" s="187"/>
      <c r="D925" s="187"/>
      <c r="O925" s="175"/>
      <c r="P925" s="175"/>
      <c r="Q925" s="175"/>
      <c r="R925" s="175"/>
      <c r="S925" s="175"/>
      <c r="T925" s="175"/>
      <c r="U925" s="175"/>
      <c r="V925" s="175"/>
      <c r="W925" s="175"/>
      <c r="X925" s="175"/>
      <c r="Y925" s="175"/>
      <c r="Z925" s="175"/>
      <c r="AA925" s="175"/>
    </row>
    <row r="926">
      <c r="A926" s="187"/>
      <c r="D926" s="187"/>
      <c r="O926" s="175"/>
      <c r="P926" s="175"/>
      <c r="Q926" s="175"/>
      <c r="R926" s="175"/>
      <c r="S926" s="175"/>
      <c r="T926" s="175"/>
      <c r="U926" s="175"/>
      <c r="V926" s="175"/>
      <c r="W926" s="175"/>
      <c r="X926" s="175"/>
      <c r="Y926" s="175"/>
      <c r="Z926" s="175"/>
      <c r="AA926" s="175"/>
    </row>
    <row r="927">
      <c r="A927" s="187"/>
      <c r="D927" s="187"/>
      <c r="O927" s="175"/>
      <c r="P927" s="175"/>
      <c r="Q927" s="175"/>
      <c r="R927" s="175"/>
      <c r="S927" s="175"/>
      <c r="T927" s="175"/>
      <c r="U927" s="175"/>
      <c r="V927" s="175"/>
      <c r="W927" s="175"/>
      <c r="X927" s="175"/>
      <c r="Y927" s="175"/>
      <c r="Z927" s="175"/>
      <c r="AA927" s="175"/>
    </row>
    <row r="928">
      <c r="A928" s="187"/>
      <c r="D928" s="187"/>
      <c r="O928" s="175"/>
      <c r="P928" s="175"/>
      <c r="Q928" s="175"/>
      <c r="R928" s="175"/>
      <c r="S928" s="175"/>
      <c r="T928" s="175"/>
      <c r="U928" s="175"/>
      <c r="V928" s="175"/>
      <c r="W928" s="175"/>
      <c r="X928" s="175"/>
      <c r="Y928" s="175"/>
      <c r="Z928" s="175"/>
      <c r="AA928" s="175"/>
    </row>
    <row r="929">
      <c r="A929" s="187"/>
      <c r="D929" s="187"/>
      <c r="O929" s="175"/>
      <c r="P929" s="175"/>
      <c r="Q929" s="175"/>
      <c r="R929" s="175"/>
      <c r="S929" s="175"/>
      <c r="T929" s="175"/>
      <c r="U929" s="175"/>
      <c r="V929" s="175"/>
      <c r="W929" s="175"/>
      <c r="X929" s="175"/>
      <c r="Y929" s="175"/>
      <c r="Z929" s="175"/>
      <c r="AA929" s="175"/>
    </row>
    <row r="930">
      <c r="A930" s="187"/>
      <c r="D930" s="187"/>
      <c r="O930" s="175"/>
      <c r="P930" s="175"/>
      <c r="Q930" s="175"/>
      <c r="R930" s="175"/>
      <c r="S930" s="175"/>
      <c r="T930" s="175"/>
      <c r="U930" s="175"/>
      <c r="V930" s="175"/>
      <c r="W930" s="175"/>
      <c r="X930" s="175"/>
      <c r="Y930" s="175"/>
      <c r="Z930" s="175"/>
      <c r="AA930" s="175"/>
    </row>
    <row r="931">
      <c r="A931" s="187"/>
      <c r="D931" s="187"/>
      <c r="O931" s="175"/>
      <c r="P931" s="175"/>
      <c r="Q931" s="175"/>
      <c r="R931" s="175"/>
      <c r="S931" s="175"/>
      <c r="T931" s="175"/>
      <c r="U931" s="175"/>
      <c r="V931" s="175"/>
      <c r="W931" s="175"/>
      <c r="X931" s="175"/>
      <c r="Y931" s="175"/>
      <c r="Z931" s="175"/>
      <c r="AA931" s="175"/>
    </row>
    <row r="932">
      <c r="A932" s="187"/>
      <c r="D932" s="187"/>
      <c r="O932" s="175"/>
      <c r="P932" s="175"/>
      <c r="Q932" s="175"/>
      <c r="R932" s="175"/>
      <c r="S932" s="175"/>
      <c r="T932" s="175"/>
      <c r="U932" s="175"/>
      <c r="V932" s="175"/>
      <c r="W932" s="175"/>
      <c r="X932" s="175"/>
      <c r="Y932" s="175"/>
      <c r="Z932" s="175"/>
      <c r="AA932" s="175"/>
    </row>
    <row r="933">
      <c r="A933" s="187"/>
      <c r="D933" s="187"/>
      <c r="O933" s="175"/>
      <c r="P933" s="175"/>
      <c r="Q933" s="175"/>
      <c r="R933" s="175"/>
      <c r="S933" s="175"/>
      <c r="T933" s="175"/>
      <c r="U933" s="175"/>
      <c r="V933" s="175"/>
      <c r="W933" s="175"/>
      <c r="X933" s="175"/>
      <c r="Y933" s="175"/>
      <c r="Z933" s="175"/>
      <c r="AA933" s="175"/>
    </row>
    <row r="934">
      <c r="A934" s="187"/>
      <c r="D934" s="187"/>
      <c r="O934" s="175"/>
      <c r="P934" s="175"/>
      <c r="Q934" s="175"/>
      <c r="R934" s="175"/>
      <c r="S934" s="175"/>
      <c r="T934" s="175"/>
      <c r="U934" s="175"/>
      <c r="V934" s="175"/>
      <c r="W934" s="175"/>
      <c r="X934" s="175"/>
      <c r="Y934" s="175"/>
      <c r="Z934" s="175"/>
      <c r="AA934" s="175"/>
    </row>
    <row r="935">
      <c r="A935" s="187"/>
      <c r="D935" s="187"/>
      <c r="O935" s="175"/>
      <c r="P935" s="175"/>
      <c r="Q935" s="175"/>
      <c r="R935" s="175"/>
      <c r="S935" s="175"/>
      <c r="T935" s="175"/>
      <c r="U935" s="175"/>
      <c r="V935" s="175"/>
      <c r="W935" s="175"/>
      <c r="X935" s="175"/>
      <c r="Y935" s="175"/>
      <c r="Z935" s="175"/>
      <c r="AA935" s="175"/>
    </row>
    <row r="936">
      <c r="A936" s="187"/>
      <c r="D936" s="187"/>
      <c r="O936" s="175"/>
      <c r="P936" s="175"/>
      <c r="Q936" s="175"/>
      <c r="R936" s="175"/>
      <c r="S936" s="175"/>
      <c r="T936" s="175"/>
      <c r="U936" s="175"/>
      <c r="V936" s="175"/>
      <c r="W936" s="175"/>
      <c r="X936" s="175"/>
      <c r="Y936" s="175"/>
      <c r="Z936" s="175"/>
      <c r="AA936" s="175"/>
    </row>
    <row r="937">
      <c r="A937" s="187"/>
      <c r="D937" s="187"/>
      <c r="O937" s="175"/>
      <c r="P937" s="175"/>
      <c r="Q937" s="175"/>
      <c r="R937" s="175"/>
      <c r="S937" s="175"/>
      <c r="T937" s="175"/>
      <c r="U937" s="175"/>
      <c r="V937" s="175"/>
      <c r="W937" s="175"/>
      <c r="X937" s="175"/>
      <c r="Y937" s="175"/>
      <c r="Z937" s="175"/>
      <c r="AA937" s="175"/>
    </row>
    <row r="938">
      <c r="A938" s="187"/>
      <c r="D938" s="187"/>
      <c r="O938" s="175"/>
      <c r="P938" s="175"/>
      <c r="Q938" s="175"/>
      <c r="R938" s="175"/>
      <c r="S938" s="175"/>
      <c r="T938" s="175"/>
      <c r="U938" s="175"/>
      <c r="V938" s="175"/>
      <c r="W938" s="175"/>
      <c r="X938" s="175"/>
      <c r="Y938" s="175"/>
      <c r="Z938" s="175"/>
      <c r="AA938" s="175"/>
    </row>
    <row r="939">
      <c r="A939" s="187"/>
      <c r="D939" s="187"/>
      <c r="O939" s="175"/>
      <c r="P939" s="175"/>
      <c r="Q939" s="175"/>
      <c r="R939" s="175"/>
      <c r="S939" s="175"/>
      <c r="T939" s="175"/>
      <c r="U939" s="175"/>
      <c r="V939" s="175"/>
      <c r="W939" s="175"/>
      <c r="X939" s="175"/>
      <c r="Y939" s="175"/>
      <c r="Z939" s="175"/>
      <c r="AA939" s="175"/>
    </row>
    <row r="940">
      <c r="A940" s="187"/>
      <c r="D940" s="187"/>
      <c r="O940" s="175"/>
      <c r="P940" s="175"/>
      <c r="Q940" s="175"/>
      <c r="R940" s="175"/>
      <c r="S940" s="175"/>
      <c r="T940" s="175"/>
      <c r="U940" s="175"/>
      <c r="V940" s="175"/>
      <c r="W940" s="175"/>
      <c r="X940" s="175"/>
      <c r="Y940" s="175"/>
      <c r="Z940" s="175"/>
      <c r="AA940" s="175"/>
    </row>
    <row r="941">
      <c r="A941" s="187"/>
      <c r="D941" s="187"/>
      <c r="O941" s="175"/>
      <c r="P941" s="175"/>
      <c r="Q941" s="175"/>
      <c r="R941" s="175"/>
      <c r="S941" s="175"/>
      <c r="T941" s="175"/>
      <c r="U941" s="175"/>
      <c r="V941" s="175"/>
      <c r="W941" s="175"/>
      <c r="X941" s="175"/>
      <c r="Y941" s="175"/>
      <c r="Z941" s="175"/>
      <c r="AA941" s="175"/>
    </row>
    <row r="942">
      <c r="A942" s="187"/>
      <c r="D942" s="187"/>
      <c r="O942" s="175"/>
      <c r="P942" s="175"/>
      <c r="Q942" s="175"/>
      <c r="R942" s="175"/>
      <c r="S942" s="175"/>
      <c r="T942" s="175"/>
      <c r="U942" s="175"/>
      <c r="V942" s="175"/>
      <c r="W942" s="175"/>
      <c r="X942" s="175"/>
      <c r="Y942" s="175"/>
      <c r="Z942" s="175"/>
      <c r="AA942" s="175"/>
    </row>
    <row r="943">
      <c r="A943" s="187"/>
      <c r="D943" s="187"/>
      <c r="O943" s="175"/>
      <c r="P943" s="175"/>
      <c r="Q943" s="175"/>
      <c r="R943" s="175"/>
      <c r="S943" s="175"/>
      <c r="T943" s="175"/>
      <c r="U943" s="175"/>
      <c r="V943" s="175"/>
      <c r="W943" s="175"/>
      <c r="X943" s="175"/>
      <c r="Y943" s="175"/>
      <c r="Z943" s="175"/>
      <c r="AA943" s="175"/>
    </row>
    <row r="944">
      <c r="A944" s="187"/>
      <c r="D944" s="187"/>
      <c r="O944" s="175"/>
      <c r="P944" s="175"/>
      <c r="Q944" s="175"/>
      <c r="R944" s="175"/>
      <c r="S944" s="175"/>
      <c r="T944" s="175"/>
      <c r="U944" s="175"/>
      <c r="V944" s="175"/>
      <c r="W944" s="175"/>
      <c r="X944" s="175"/>
      <c r="Y944" s="175"/>
      <c r="Z944" s="175"/>
      <c r="AA944" s="175"/>
    </row>
    <row r="945">
      <c r="A945" s="187"/>
      <c r="D945" s="187"/>
      <c r="O945" s="175"/>
      <c r="P945" s="175"/>
      <c r="Q945" s="175"/>
      <c r="R945" s="175"/>
      <c r="S945" s="175"/>
      <c r="T945" s="175"/>
      <c r="U945" s="175"/>
      <c r="V945" s="175"/>
      <c r="W945" s="175"/>
      <c r="X945" s="175"/>
      <c r="Y945" s="175"/>
      <c r="Z945" s="175"/>
      <c r="AA945" s="175"/>
    </row>
    <row r="946">
      <c r="A946" s="187"/>
      <c r="D946" s="187"/>
      <c r="O946" s="175"/>
      <c r="P946" s="175"/>
      <c r="Q946" s="175"/>
      <c r="R946" s="175"/>
      <c r="S946" s="175"/>
      <c r="T946" s="175"/>
      <c r="U946" s="175"/>
      <c r="V946" s="175"/>
      <c r="W946" s="175"/>
      <c r="X946" s="175"/>
      <c r="Y946" s="175"/>
      <c r="Z946" s="175"/>
      <c r="AA946" s="175"/>
    </row>
    <row r="947">
      <c r="A947" s="187"/>
      <c r="D947" s="187"/>
      <c r="O947" s="175"/>
      <c r="P947" s="175"/>
      <c r="Q947" s="175"/>
      <c r="R947" s="175"/>
      <c r="S947" s="175"/>
      <c r="T947" s="175"/>
      <c r="U947" s="175"/>
      <c r="V947" s="175"/>
      <c r="W947" s="175"/>
      <c r="X947" s="175"/>
      <c r="Y947" s="175"/>
      <c r="Z947" s="175"/>
      <c r="AA947" s="175"/>
    </row>
    <row r="948">
      <c r="A948" s="187"/>
      <c r="D948" s="187"/>
      <c r="O948" s="175"/>
      <c r="P948" s="175"/>
      <c r="Q948" s="175"/>
      <c r="R948" s="175"/>
      <c r="S948" s="175"/>
      <c r="T948" s="175"/>
      <c r="U948" s="175"/>
      <c r="V948" s="175"/>
      <c r="W948" s="175"/>
      <c r="X948" s="175"/>
      <c r="Y948" s="175"/>
      <c r="Z948" s="175"/>
      <c r="AA948" s="175"/>
    </row>
    <row r="949">
      <c r="A949" s="187"/>
      <c r="D949" s="187"/>
      <c r="O949" s="175"/>
      <c r="P949" s="175"/>
      <c r="Q949" s="175"/>
      <c r="R949" s="175"/>
      <c r="S949" s="175"/>
      <c r="T949" s="175"/>
      <c r="U949" s="175"/>
      <c r="V949" s="175"/>
      <c r="W949" s="175"/>
      <c r="X949" s="175"/>
      <c r="Y949" s="175"/>
      <c r="Z949" s="175"/>
      <c r="AA949" s="175"/>
    </row>
    <row r="950">
      <c r="A950" s="187"/>
      <c r="D950" s="187"/>
      <c r="O950" s="175"/>
      <c r="P950" s="175"/>
      <c r="Q950" s="175"/>
      <c r="R950" s="175"/>
      <c r="S950" s="175"/>
      <c r="T950" s="175"/>
      <c r="U950" s="175"/>
      <c r="V950" s="175"/>
      <c r="W950" s="175"/>
      <c r="X950" s="175"/>
      <c r="Y950" s="175"/>
      <c r="Z950" s="175"/>
      <c r="AA950" s="175"/>
    </row>
    <row r="951">
      <c r="A951" s="187"/>
      <c r="D951" s="187"/>
      <c r="O951" s="175"/>
      <c r="P951" s="175"/>
      <c r="Q951" s="175"/>
      <c r="R951" s="175"/>
      <c r="S951" s="175"/>
      <c r="T951" s="175"/>
      <c r="U951" s="175"/>
      <c r="V951" s="175"/>
      <c r="W951" s="175"/>
      <c r="X951" s="175"/>
      <c r="Y951" s="175"/>
      <c r="Z951" s="175"/>
      <c r="AA951" s="175"/>
    </row>
    <row r="952">
      <c r="A952" s="187"/>
      <c r="D952" s="187"/>
      <c r="O952" s="175"/>
      <c r="P952" s="175"/>
      <c r="Q952" s="175"/>
      <c r="R952" s="175"/>
      <c r="S952" s="175"/>
      <c r="T952" s="175"/>
      <c r="U952" s="175"/>
      <c r="V952" s="175"/>
      <c r="W952" s="175"/>
      <c r="X952" s="175"/>
      <c r="Y952" s="175"/>
      <c r="Z952" s="175"/>
      <c r="AA952" s="175"/>
    </row>
    <row r="953">
      <c r="A953" s="187"/>
      <c r="D953" s="187"/>
      <c r="O953" s="175"/>
      <c r="P953" s="175"/>
      <c r="Q953" s="175"/>
      <c r="R953" s="175"/>
      <c r="S953" s="175"/>
      <c r="T953" s="175"/>
      <c r="U953" s="175"/>
      <c r="V953" s="175"/>
      <c r="W953" s="175"/>
      <c r="X953" s="175"/>
      <c r="Y953" s="175"/>
      <c r="Z953" s="175"/>
      <c r="AA953" s="175"/>
    </row>
    <row r="954">
      <c r="A954" s="187"/>
      <c r="D954" s="187"/>
      <c r="O954" s="175"/>
      <c r="P954" s="175"/>
      <c r="Q954" s="175"/>
      <c r="R954" s="175"/>
      <c r="S954" s="175"/>
      <c r="T954" s="175"/>
      <c r="U954" s="175"/>
      <c r="V954" s="175"/>
      <c r="W954" s="175"/>
      <c r="X954" s="175"/>
      <c r="Y954" s="175"/>
      <c r="Z954" s="175"/>
      <c r="AA954" s="175"/>
    </row>
    <row r="955">
      <c r="A955" s="187"/>
      <c r="D955" s="187"/>
      <c r="O955" s="175"/>
      <c r="P955" s="175"/>
      <c r="Q955" s="175"/>
      <c r="R955" s="175"/>
      <c r="S955" s="175"/>
      <c r="T955" s="175"/>
      <c r="U955" s="175"/>
      <c r="V955" s="175"/>
      <c r="W955" s="175"/>
      <c r="X955" s="175"/>
      <c r="Y955" s="175"/>
      <c r="Z955" s="175"/>
      <c r="AA955" s="175"/>
    </row>
    <row r="956">
      <c r="A956" s="187"/>
      <c r="D956" s="187"/>
      <c r="O956" s="175"/>
      <c r="P956" s="175"/>
      <c r="Q956" s="175"/>
      <c r="R956" s="175"/>
      <c r="S956" s="175"/>
      <c r="T956" s="175"/>
      <c r="U956" s="175"/>
      <c r="V956" s="175"/>
      <c r="W956" s="175"/>
      <c r="X956" s="175"/>
      <c r="Y956" s="175"/>
      <c r="Z956" s="175"/>
      <c r="AA956" s="175"/>
    </row>
    <row r="957">
      <c r="A957" s="187"/>
      <c r="D957" s="187"/>
      <c r="O957" s="175"/>
      <c r="P957" s="175"/>
      <c r="Q957" s="175"/>
      <c r="R957" s="175"/>
      <c r="S957" s="175"/>
      <c r="T957" s="175"/>
      <c r="U957" s="175"/>
      <c r="V957" s="175"/>
      <c r="W957" s="175"/>
      <c r="X957" s="175"/>
      <c r="Y957" s="175"/>
      <c r="Z957" s="175"/>
      <c r="AA957" s="175"/>
    </row>
    <row r="958">
      <c r="A958" s="187"/>
      <c r="D958" s="187"/>
      <c r="O958" s="175"/>
      <c r="P958" s="175"/>
      <c r="Q958" s="175"/>
      <c r="R958" s="175"/>
      <c r="S958" s="175"/>
      <c r="T958" s="175"/>
      <c r="U958" s="175"/>
      <c r="V958" s="175"/>
      <c r="W958" s="175"/>
      <c r="X958" s="175"/>
      <c r="Y958" s="175"/>
      <c r="Z958" s="175"/>
      <c r="AA958" s="175"/>
    </row>
    <row r="959">
      <c r="A959" s="187"/>
      <c r="D959" s="187"/>
      <c r="O959" s="175"/>
      <c r="P959" s="175"/>
      <c r="Q959" s="175"/>
      <c r="R959" s="175"/>
      <c r="S959" s="175"/>
      <c r="T959" s="175"/>
      <c r="U959" s="175"/>
      <c r="V959" s="175"/>
      <c r="W959" s="175"/>
      <c r="X959" s="175"/>
      <c r="Y959" s="175"/>
      <c r="Z959" s="175"/>
      <c r="AA959" s="175"/>
    </row>
    <row r="960">
      <c r="A960" s="187"/>
      <c r="D960" s="187"/>
      <c r="O960" s="175"/>
      <c r="P960" s="175"/>
      <c r="Q960" s="175"/>
      <c r="R960" s="175"/>
      <c r="S960" s="175"/>
      <c r="T960" s="175"/>
      <c r="U960" s="175"/>
      <c r="V960" s="175"/>
      <c r="W960" s="175"/>
      <c r="X960" s="175"/>
      <c r="Y960" s="175"/>
      <c r="Z960" s="175"/>
      <c r="AA960" s="175"/>
    </row>
    <row r="961">
      <c r="A961" s="187"/>
      <c r="D961" s="187"/>
      <c r="O961" s="175"/>
      <c r="P961" s="175"/>
      <c r="Q961" s="175"/>
      <c r="R961" s="175"/>
      <c r="S961" s="175"/>
      <c r="T961" s="175"/>
      <c r="U961" s="175"/>
      <c r="V961" s="175"/>
      <c r="W961" s="175"/>
      <c r="X961" s="175"/>
      <c r="Y961" s="175"/>
      <c r="Z961" s="175"/>
      <c r="AA961" s="175"/>
    </row>
    <row r="962">
      <c r="A962" s="187"/>
      <c r="D962" s="187"/>
      <c r="O962" s="175"/>
      <c r="P962" s="175"/>
      <c r="Q962" s="175"/>
      <c r="R962" s="175"/>
      <c r="S962" s="175"/>
      <c r="T962" s="175"/>
      <c r="U962" s="175"/>
      <c r="V962" s="175"/>
      <c r="W962" s="175"/>
      <c r="X962" s="175"/>
      <c r="Y962" s="175"/>
      <c r="Z962" s="175"/>
      <c r="AA962" s="175"/>
    </row>
    <row r="963">
      <c r="A963" s="187"/>
      <c r="D963" s="187"/>
      <c r="O963" s="175"/>
      <c r="P963" s="175"/>
      <c r="Q963" s="175"/>
      <c r="R963" s="175"/>
      <c r="S963" s="175"/>
      <c r="T963" s="175"/>
      <c r="U963" s="175"/>
      <c r="V963" s="175"/>
      <c r="W963" s="175"/>
      <c r="X963" s="175"/>
      <c r="Y963" s="175"/>
      <c r="Z963" s="175"/>
      <c r="AA963" s="175"/>
    </row>
    <row r="964">
      <c r="A964" s="187"/>
      <c r="D964" s="187"/>
      <c r="O964" s="175"/>
      <c r="P964" s="175"/>
      <c r="Q964" s="175"/>
      <c r="R964" s="175"/>
      <c r="S964" s="175"/>
      <c r="T964" s="175"/>
      <c r="U964" s="175"/>
      <c r="V964" s="175"/>
      <c r="W964" s="175"/>
      <c r="X964" s="175"/>
      <c r="Y964" s="175"/>
      <c r="Z964" s="175"/>
      <c r="AA964" s="175"/>
    </row>
    <row r="965">
      <c r="A965" s="187"/>
      <c r="D965" s="187"/>
      <c r="O965" s="175"/>
      <c r="P965" s="175"/>
      <c r="Q965" s="175"/>
      <c r="R965" s="175"/>
      <c r="S965" s="175"/>
      <c r="T965" s="175"/>
      <c r="U965" s="175"/>
      <c r="V965" s="175"/>
      <c r="W965" s="175"/>
      <c r="X965" s="175"/>
      <c r="Y965" s="175"/>
      <c r="Z965" s="175"/>
      <c r="AA965" s="175"/>
    </row>
    <row r="966">
      <c r="A966" s="187"/>
      <c r="D966" s="187"/>
      <c r="O966" s="175"/>
      <c r="P966" s="175"/>
      <c r="Q966" s="175"/>
      <c r="R966" s="175"/>
      <c r="S966" s="175"/>
      <c r="T966" s="175"/>
      <c r="U966" s="175"/>
      <c r="V966" s="175"/>
      <c r="W966" s="175"/>
      <c r="X966" s="175"/>
      <c r="Y966" s="175"/>
      <c r="Z966" s="175"/>
      <c r="AA966" s="175"/>
    </row>
    <row r="967">
      <c r="A967" s="187"/>
      <c r="D967" s="187"/>
      <c r="O967" s="175"/>
      <c r="P967" s="175"/>
      <c r="Q967" s="175"/>
      <c r="R967" s="175"/>
      <c r="S967" s="175"/>
      <c r="T967" s="175"/>
      <c r="U967" s="175"/>
      <c r="V967" s="175"/>
      <c r="W967" s="175"/>
      <c r="X967" s="175"/>
      <c r="Y967" s="175"/>
      <c r="Z967" s="175"/>
      <c r="AA967" s="175"/>
    </row>
    <row r="968">
      <c r="A968" s="187"/>
      <c r="D968" s="187"/>
      <c r="O968" s="175"/>
      <c r="P968" s="175"/>
      <c r="Q968" s="175"/>
      <c r="R968" s="175"/>
      <c r="S968" s="175"/>
      <c r="T968" s="175"/>
      <c r="U968" s="175"/>
      <c r="V968" s="175"/>
      <c r="W968" s="175"/>
      <c r="X968" s="175"/>
      <c r="Y968" s="175"/>
      <c r="Z968" s="175"/>
      <c r="AA968" s="175"/>
    </row>
    <row r="969">
      <c r="A969" s="187"/>
      <c r="D969" s="187"/>
      <c r="O969" s="175"/>
      <c r="P969" s="175"/>
      <c r="Q969" s="175"/>
      <c r="R969" s="175"/>
      <c r="S969" s="175"/>
      <c r="T969" s="175"/>
      <c r="U969" s="175"/>
      <c r="V969" s="175"/>
      <c r="W969" s="175"/>
      <c r="X969" s="175"/>
      <c r="Y969" s="175"/>
      <c r="Z969" s="175"/>
      <c r="AA969" s="175"/>
    </row>
    <row r="970">
      <c r="A970" s="187"/>
      <c r="D970" s="187"/>
      <c r="O970" s="175"/>
      <c r="P970" s="175"/>
      <c r="Q970" s="175"/>
      <c r="R970" s="175"/>
      <c r="S970" s="175"/>
      <c r="T970" s="175"/>
      <c r="U970" s="175"/>
      <c r="V970" s="175"/>
      <c r="W970" s="175"/>
      <c r="X970" s="175"/>
      <c r="Y970" s="175"/>
      <c r="Z970" s="175"/>
      <c r="AA970" s="175"/>
    </row>
    <row r="971">
      <c r="A971" s="187"/>
      <c r="D971" s="187"/>
      <c r="O971" s="175"/>
      <c r="P971" s="175"/>
      <c r="Q971" s="175"/>
      <c r="R971" s="175"/>
      <c r="S971" s="175"/>
      <c r="T971" s="175"/>
      <c r="U971" s="175"/>
      <c r="V971" s="175"/>
      <c r="W971" s="175"/>
      <c r="X971" s="175"/>
      <c r="Y971" s="175"/>
      <c r="Z971" s="175"/>
      <c r="AA971" s="175"/>
    </row>
    <row r="972">
      <c r="A972" s="187"/>
      <c r="D972" s="187"/>
      <c r="O972" s="175"/>
      <c r="P972" s="175"/>
      <c r="Q972" s="175"/>
      <c r="R972" s="175"/>
      <c r="S972" s="175"/>
      <c r="T972" s="175"/>
      <c r="U972" s="175"/>
      <c r="V972" s="175"/>
      <c r="W972" s="175"/>
      <c r="X972" s="175"/>
      <c r="Y972" s="175"/>
      <c r="Z972" s="175"/>
      <c r="AA972" s="175"/>
    </row>
    <row r="973">
      <c r="A973" s="187"/>
      <c r="D973" s="187"/>
      <c r="O973" s="175"/>
      <c r="P973" s="175"/>
      <c r="Q973" s="175"/>
      <c r="R973" s="175"/>
      <c r="S973" s="175"/>
      <c r="T973" s="175"/>
      <c r="U973" s="175"/>
      <c r="V973" s="175"/>
      <c r="W973" s="175"/>
      <c r="X973" s="175"/>
      <c r="Y973" s="175"/>
      <c r="Z973" s="175"/>
      <c r="AA973" s="175"/>
    </row>
    <row r="974">
      <c r="A974" s="187"/>
      <c r="D974" s="187"/>
      <c r="O974" s="175"/>
      <c r="P974" s="175"/>
      <c r="Q974" s="175"/>
      <c r="R974" s="175"/>
      <c r="S974" s="175"/>
      <c r="T974" s="175"/>
      <c r="U974" s="175"/>
      <c r="V974" s="175"/>
      <c r="W974" s="175"/>
      <c r="X974" s="175"/>
      <c r="Y974" s="175"/>
      <c r="Z974" s="175"/>
      <c r="AA974" s="175"/>
    </row>
    <row r="975">
      <c r="A975" s="187"/>
      <c r="D975" s="187"/>
      <c r="O975" s="175"/>
      <c r="P975" s="175"/>
      <c r="Q975" s="175"/>
      <c r="R975" s="175"/>
      <c r="S975" s="175"/>
      <c r="T975" s="175"/>
      <c r="U975" s="175"/>
      <c r="V975" s="175"/>
      <c r="W975" s="175"/>
      <c r="X975" s="175"/>
      <c r="Y975" s="175"/>
      <c r="Z975" s="175"/>
      <c r="AA975" s="175"/>
    </row>
    <row r="976">
      <c r="A976" s="187"/>
      <c r="D976" s="187"/>
      <c r="O976" s="175"/>
      <c r="P976" s="175"/>
      <c r="Q976" s="175"/>
      <c r="R976" s="175"/>
      <c r="S976" s="175"/>
      <c r="T976" s="175"/>
      <c r="U976" s="175"/>
      <c r="V976" s="175"/>
      <c r="W976" s="175"/>
      <c r="X976" s="175"/>
      <c r="Y976" s="175"/>
      <c r="Z976" s="175"/>
      <c r="AA976" s="175"/>
    </row>
    <row r="977">
      <c r="A977" s="187"/>
      <c r="D977" s="187"/>
      <c r="O977" s="175"/>
      <c r="P977" s="175"/>
      <c r="Q977" s="175"/>
      <c r="R977" s="175"/>
      <c r="S977" s="175"/>
      <c r="T977" s="175"/>
      <c r="U977" s="175"/>
      <c r="V977" s="175"/>
      <c r="W977" s="175"/>
      <c r="X977" s="175"/>
      <c r="Y977" s="175"/>
      <c r="Z977" s="175"/>
      <c r="AA977" s="175"/>
    </row>
    <row r="978">
      <c r="A978" s="187"/>
      <c r="D978" s="187"/>
      <c r="O978" s="175"/>
      <c r="P978" s="175"/>
      <c r="Q978" s="175"/>
      <c r="R978" s="175"/>
      <c r="S978" s="175"/>
      <c r="T978" s="175"/>
      <c r="U978" s="175"/>
      <c r="V978" s="175"/>
      <c r="W978" s="175"/>
      <c r="X978" s="175"/>
      <c r="Y978" s="175"/>
      <c r="Z978" s="175"/>
      <c r="AA978" s="175"/>
    </row>
    <row r="979">
      <c r="A979" s="187"/>
      <c r="D979" s="187"/>
      <c r="O979" s="175"/>
      <c r="P979" s="175"/>
      <c r="Q979" s="175"/>
      <c r="R979" s="175"/>
      <c r="S979" s="175"/>
      <c r="T979" s="175"/>
      <c r="U979" s="175"/>
      <c r="V979" s="175"/>
      <c r="W979" s="175"/>
      <c r="X979" s="175"/>
      <c r="Y979" s="175"/>
      <c r="Z979" s="175"/>
      <c r="AA979" s="175"/>
    </row>
    <row r="980">
      <c r="A980" s="187"/>
      <c r="D980" s="187"/>
      <c r="O980" s="175"/>
      <c r="P980" s="175"/>
      <c r="Q980" s="175"/>
      <c r="R980" s="175"/>
      <c r="S980" s="175"/>
      <c r="T980" s="175"/>
      <c r="U980" s="175"/>
      <c r="V980" s="175"/>
      <c r="W980" s="175"/>
      <c r="X980" s="175"/>
      <c r="Y980" s="175"/>
      <c r="Z980" s="175"/>
      <c r="AA980" s="175"/>
    </row>
    <row r="981">
      <c r="A981" s="187"/>
      <c r="D981" s="187"/>
      <c r="O981" s="175"/>
      <c r="P981" s="175"/>
      <c r="Q981" s="175"/>
      <c r="R981" s="175"/>
      <c r="S981" s="175"/>
      <c r="T981" s="175"/>
      <c r="U981" s="175"/>
      <c r="V981" s="175"/>
      <c r="W981" s="175"/>
      <c r="X981" s="175"/>
      <c r="Y981" s="175"/>
      <c r="Z981" s="175"/>
      <c r="AA981" s="175"/>
    </row>
    <row r="982">
      <c r="A982" s="187"/>
      <c r="D982" s="187"/>
      <c r="O982" s="175"/>
      <c r="P982" s="175"/>
      <c r="Q982" s="175"/>
      <c r="R982" s="175"/>
      <c r="S982" s="175"/>
      <c r="T982" s="175"/>
      <c r="U982" s="175"/>
      <c r="V982" s="175"/>
      <c r="W982" s="175"/>
      <c r="X982" s="175"/>
      <c r="Y982" s="175"/>
      <c r="Z982" s="175"/>
      <c r="AA982" s="175"/>
    </row>
    <row r="983">
      <c r="A983" s="187"/>
      <c r="D983" s="187"/>
      <c r="O983" s="175"/>
      <c r="P983" s="175"/>
      <c r="Q983" s="175"/>
      <c r="R983" s="175"/>
      <c r="S983" s="175"/>
      <c r="T983" s="175"/>
      <c r="U983" s="175"/>
      <c r="V983" s="175"/>
      <c r="W983" s="175"/>
      <c r="X983" s="175"/>
      <c r="Y983" s="175"/>
      <c r="Z983" s="175"/>
      <c r="AA983" s="175"/>
    </row>
    <row r="984">
      <c r="A984" s="187"/>
      <c r="D984" s="187"/>
      <c r="O984" s="175"/>
      <c r="P984" s="175"/>
      <c r="Q984" s="175"/>
      <c r="R984" s="175"/>
      <c r="S984" s="175"/>
      <c r="T984" s="175"/>
      <c r="U984" s="175"/>
      <c r="V984" s="175"/>
      <c r="W984" s="175"/>
      <c r="X984" s="175"/>
      <c r="Y984" s="175"/>
      <c r="Z984" s="175"/>
      <c r="AA984" s="175"/>
    </row>
    <row r="985">
      <c r="A985" s="187"/>
      <c r="D985" s="187"/>
      <c r="O985" s="175"/>
      <c r="P985" s="175"/>
      <c r="Q985" s="175"/>
      <c r="R985" s="175"/>
      <c r="S985" s="175"/>
      <c r="T985" s="175"/>
      <c r="U985" s="175"/>
      <c r="V985" s="175"/>
      <c r="W985" s="175"/>
      <c r="X985" s="175"/>
      <c r="Y985" s="175"/>
      <c r="Z985" s="175"/>
      <c r="AA985" s="175"/>
    </row>
    <row r="986">
      <c r="A986" s="187"/>
      <c r="D986" s="187"/>
      <c r="O986" s="175"/>
      <c r="P986" s="175"/>
      <c r="Q986" s="175"/>
      <c r="R986" s="175"/>
      <c r="S986" s="175"/>
      <c r="T986" s="175"/>
      <c r="U986" s="175"/>
      <c r="V986" s="175"/>
      <c r="W986" s="175"/>
      <c r="X986" s="175"/>
      <c r="Y986" s="175"/>
      <c r="Z986" s="175"/>
      <c r="AA986" s="175"/>
    </row>
    <row r="987">
      <c r="A987" s="187"/>
      <c r="D987" s="187"/>
      <c r="O987" s="175"/>
      <c r="P987" s="175"/>
      <c r="Q987" s="175"/>
      <c r="R987" s="175"/>
      <c r="S987" s="175"/>
      <c r="T987" s="175"/>
      <c r="U987" s="175"/>
      <c r="V987" s="175"/>
      <c r="W987" s="175"/>
      <c r="X987" s="175"/>
      <c r="Y987" s="175"/>
      <c r="Z987" s="175"/>
      <c r="AA987" s="175"/>
    </row>
    <row r="988">
      <c r="A988" s="187"/>
      <c r="D988" s="187"/>
      <c r="O988" s="175"/>
      <c r="P988" s="175"/>
      <c r="Q988" s="175"/>
      <c r="R988" s="175"/>
      <c r="S988" s="175"/>
      <c r="T988" s="175"/>
      <c r="U988" s="175"/>
      <c r="V988" s="175"/>
      <c r="W988" s="175"/>
      <c r="X988" s="175"/>
      <c r="Y988" s="175"/>
      <c r="Z988" s="175"/>
      <c r="AA988" s="175"/>
    </row>
    <row r="989">
      <c r="A989" s="187"/>
      <c r="D989" s="187"/>
      <c r="O989" s="175"/>
      <c r="P989" s="175"/>
      <c r="Q989" s="175"/>
      <c r="R989" s="175"/>
      <c r="S989" s="175"/>
      <c r="T989" s="175"/>
      <c r="U989" s="175"/>
      <c r="V989" s="175"/>
      <c r="W989" s="175"/>
      <c r="X989" s="175"/>
      <c r="Y989" s="175"/>
      <c r="Z989" s="175"/>
      <c r="AA989" s="175"/>
    </row>
    <row r="990">
      <c r="A990" s="187"/>
      <c r="D990" s="187"/>
      <c r="O990" s="175"/>
      <c r="P990" s="175"/>
      <c r="Q990" s="175"/>
      <c r="R990" s="175"/>
      <c r="S990" s="175"/>
      <c r="T990" s="175"/>
      <c r="U990" s="175"/>
      <c r="V990" s="175"/>
      <c r="W990" s="175"/>
      <c r="X990" s="175"/>
      <c r="Y990" s="175"/>
      <c r="Z990" s="175"/>
      <c r="AA990" s="175"/>
    </row>
    <row r="991">
      <c r="A991" s="187"/>
      <c r="D991" s="187"/>
      <c r="O991" s="175"/>
      <c r="P991" s="175"/>
      <c r="Q991" s="175"/>
      <c r="R991" s="175"/>
      <c r="S991" s="175"/>
      <c r="T991" s="175"/>
      <c r="U991" s="175"/>
      <c r="V991" s="175"/>
      <c r="W991" s="175"/>
      <c r="X991" s="175"/>
      <c r="Y991" s="175"/>
      <c r="Z991" s="175"/>
      <c r="AA991" s="175"/>
    </row>
    <row r="992">
      <c r="A992" s="187"/>
      <c r="D992" s="187"/>
      <c r="O992" s="175"/>
      <c r="P992" s="175"/>
      <c r="Q992" s="175"/>
      <c r="R992" s="175"/>
      <c r="S992" s="175"/>
      <c r="T992" s="175"/>
      <c r="U992" s="175"/>
      <c r="V992" s="175"/>
      <c r="W992" s="175"/>
      <c r="X992" s="175"/>
      <c r="Y992" s="175"/>
      <c r="Z992" s="175"/>
      <c r="AA992" s="175"/>
    </row>
    <row r="993">
      <c r="A993" s="187"/>
      <c r="D993" s="187"/>
      <c r="O993" s="175"/>
      <c r="P993" s="175"/>
      <c r="Q993" s="175"/>
      <c r="R993" s="175"/>
      <c r="S993" s="175"/>
      <c r="T993" s="175"/>
      <c r="U993" s="175"/>
      <c r="V993" s="175"/>
      <c r="W993" s="175"/>
      <c r="X993" s="175"/>
      <c r="Y993" s="175"/>
      <c r="Z993" s="175"/>
      <c r="AA993" s="175"/>
    </row>
    <row r="994">
      <c r="A994" s="187"/>
      <c r="D994" s="187"/>
      <c r="O994" s="175"/>
      <c r="P994" s="175"/>
      <c r="Q994" s="175"/>
      <c r="R994" s="175"/>
      <c r="S994" s="175"/>
      <c r="T994" s="175"/>
      <c r="U994" s="175"/>
      <c r="V994" s="175"/>
      <c r="W994" s="175"/>
      <c r="X994" s="175"/>
      <c r="Y994" s="175"/>
      <c r="Z994" s="175"/>
      <c r="AA994" s="175"/>
    </row>
    <row r="995">
      <c r="A995" s="187"/>
      <c r="D995" s="187"/>
      <c r="O995" s="175"/>
      <c r="P995" s="175"/>
      <c r="Q995" s="175"/>
      <c r="R995" s="175"/>
      <c r="S995" s="175"/>
      <c r="T995" s="175"/>
      <c r="U995" s="175"/>
      <c r="V995" s="175"/>
      <c r="W995" s="175"/>
      <c r="X995" s="175"/>
      <c r="Y995" s="175"/>
      <c r="Z995" s="175"/>
      <c r="AA995" s="175"/>
    </row>
    <row r="996">
      <c r="A996" s="187"/>
      <c r="D996" s="187"/>
      <c r="O996" s="175"/>
      <c r="P996" s="175"/>
      <c r="Q996" s="175"/>
      <c r="R996" s="175"/>
      <c r="S996" s="175"/>
      <c r="T996" s="175"/>
      <c r="U996" s="175"/>
      <c r="V996" s="175"/>
      <c r="W996" s="175"/>
      <c r="X996" s="175"/>
      <c r="Y996" s="175"/>
      <c r="Z996" s="175"/>
      <c r="AA996" s="175"/>
    </row>
    <row r="997">
      <c r="A997" s="187"/>
      <c r="D997" s="187"/>
      <c r="O997" s="175"/>
      <c r="P997" s="175"/>
      <c r="Q997" s="175"/>
      <c r="R997" s="175"/>
      <c r="S997" s="175"/>
      <c r="T997" s="175"/>
      <c r="U997" s="175"/>
      <c r="V997" s="175"/>
      <c r="W997" s="175"/>
      <c r="X997" s="175"/>
      <c r="Y997" s="175"/>
      <c r="Z997" s="175"/>
      <c r="AA997" s="175"/>
    </row>
    <row r="998">
      <c r="A998" s="187"/>
      <c r="D998" s="187"/>
      <c r="O998" s="175"/>
      <c r="P998" s="175"/>
      <c r="Q998" s="175"/>
      <c r="R998" s="175"/>
      <c r="S998" s="175"/>
      <c r="T998" s="175"/>
      <c r="U998" s="175"/>
      <c r="V998" s="175"/>
      <c r="W998" s="175"/>
      <c r="X998" s="175"/>
      <c r="Y998" s="175"/>
      <c r="Z998" s="175"/>
      <c r="AA998" s="175"/>
    </row>
    <row r="999">
      <c r="A999" s="187"/>
      <c r="D999" s="187"/>
      <c r="O999" s="175"/>
      <c r="P999" s="175"/>
      <c r="Q999" s="175"/>
      <c r="R999" s="175"/>
      <c r="S999" s="175"/>
      <c r="T999" s="175"/>
      <c r="U999" s="175"/>
      <c r="V999" s="175"/>
      <c r="W999" s="175"/>
      <c r="X999" s="175"/>
      <c r="Y999" s="175"/>
      <c r="Z999" s="175"/>
      <c r="AA999" s="175"/>
    </row>
    <row r="1000">
      <c r="A1000" s="187"/>
      <c r="D1000" s="187"/>
      <c r="O1000" s="175"/>
      <c r="P1000" s="175"/>
      <c r="Q1000" s="175"/>
      <c r="R1000" s="175"/>
      <c r="S1000" s="175"/>
      <c r="T1000" s="175"/>
      <c r="U1000" s="175"/>
      <c r="V1000" s="175"/>
      <c r="W1000" s="175"/>
      <c r="X1000" s="175"/>
      <c r="Y1000" s="175"/>
      <c r="Z1000" s="175"/>
      <c r="AA1000" s="175"/>
    </row>
    <row r="1001">
      <c r="A1001" s="187"/>
      <c r="D1001" s="187"/>
      <c r="O1001" s="175"/>
      <c r="P1001" s="175"/>
      <c r="Q1001" s="175"/>
      <c r="R1001" s="175"/>
      <c r="S1001" s="175"/>
      <c r="T1001" s="175"/>
      <c r="U1001" s="175"/>
      <c r="V1001" s="175"/>
      <c r="W1001" s="175"/>
      <c r="X1001" s="175"/>
      <c r="Y1001" s="175"/>
      <c r="Z1001" s="175"/>
      <c r="AA1001" s="175"/>
    </row>
    <row r="1002">
      <c r="A1002" s="187"/>
      <c r="D1002" s="187"/>
      <c r="O1002" s="175"/>
      <c r="P1002" s="175"/>
      <c r="Q1002" s="175"/>
      <c r="R1002" s="175"/>
      <c r="S1002" s="175"/>
      <c r="T1002" s="175"/>
      <c r="U1002" s="175"/>
      <c r="V1002" s="175"/>
      <c r="W1002" s="175"/>
      <c r="X1002" s="175"/>
      <c r="Y1002" s="175"/>
      <c r="Z1002" s="175"/>
      <c r="AA1002" s="175"/>
    </row>
    <row r="1003">
      <c r="A1003" s="187"/>
      <c r="D1003" s="187"/>
      <c r="O1003" s="175"/>
      <c r="P1003" s="175"/>
      <c r="Q1003" s="175"/>
      <c r="R1003" s="175"/>
      <c r="S1003" s="175"/>
      <c r="T1003" s="175"/>
      <c r="U1003" s="175"/>
      <c r="V1003" s="175"/>
      <c r="W1003" s="175"/>
      <c r="X1003" s="175"/>
      <c r="Y1003" s="175"/>
      <c r="Z1003" s="175"/>
      <c r="AA1003" s="175"/>
    </row>
    <row r="1004">
      <c r="A1004" s="187"/>
      <c r="D1004" s="187"/>
      <c r="O1004" s="175"/>
      <c r="P1004" s="175"/>
      <c r="Q1004" s="175"/>
      <c r="R1004" s="175"/>
      <c r="S1004" s="175"/>
      <c r="T1004" s="175"/>
      <c r="U1004" s="175"/>
      <c r="V1004" s="175"/>
      <c r="W1004" s="175"/>
      <c r="X1004" s="175"/>
      <c r="Y1004" s="175"/>
      <c r="Z1004" s="175"/>
      <c r="AA1004" s="175"/>
    </row>
    <row r="1005">
      <c r="A1005" s="187"/>
      <c r="D1005" s="187"/>
      <c r="O1005" s="175"/>
      <c r="P1005" s="175"/>
      <c r="Q1005" s="175"/>
      <c r="R1005" s="175"/>
      <c r="S1005" s="175"/>
      <c r="T1005" s="175"/>
      <c r="U1005" s="175"/>
      <c r="V1005" s="175"/>
      <c r="W1005" s="175"/>
      <c r="X1005" s="175"/>
      <c r="Y1005" s="175"/>
      <c r="Z1005" s="175"/>
      <c r="AA1005" s="175"/>
    </row>
    <row r="1006">
      <c r="A1006" s="187"/>
      <c r="D1006" s="187"/>
      <c r="O1006" s="175"/>
      <c r="P1006" s="175"/>
      <c r="Q1006" s="175"/>
      <c r="R1006" s="175"/>
      <c r="S1006" s="175"/>
      <c r="T1006" s="175"/>
      <c r="U1006" s="175"/>
      <c r="V1006" s="175"/>
      <c r="W1006" s="175"/>
      <c r="X1006" s="175"/>
      <c r="Y1006" s="175"/>
      <c r="Z1006" s="175"/>
      <c r="AA1006" s="175"/>
    </row>
    <row r="1007">
      <c r="A1007" s="187"/>
      <c r="D1007" s="187"/>
      <c r="O1007" s="175"/>
      <c r="P1007" s="175"/>
      <c r="Q1007" s="175"/>
      <c r="R1007" s="175"/>
      <c r="S1007" s="175"/>
      <c r="T1007" s="175"/>
      <c r="U1007" s="175"/>
      <c r="V1007" s="175"/>
      <c r="W1007" s="175"/>
      <c r="X1007" s="175"/>
      <c r="Y1007" s="175"/>
      <c r="Z1007" s="175"/>
      <c r="AA1007" s="175"/>
    </row>
    <row r="1008">
      <c r="A1008" s="187"/>
      <c r="D1008" s="187"/>
      <c r="O1008" s="175"/>
      <c r="P1008" s="175"/>
      <c r="Q1008" s="175"/>
      <c r="R1008" s="175"/>
      <c r="S1008" s="175"/>
      <c r="T1008" s="175"/>
      <c r="U1008" s="175"/>
      <c r="V1008" s="175"/>
      <c r="W1008" s="175"/>
      <c r="X1008" s="175"/>
      <c r="Y1008" s="175"/>
      <c r="Z1008" s="175"/>
      <c r="AA1008" s="175"/>
    </row>
    <row r="1009">
      <c r="A1009" s="187"/>
      <c r="D1009" s="187"/>
      <c r="O1009" s="175"/>
      <c r="P1009" s="175"/>
      <c r="Q1009" s="175"/>
      <c r="R1009" s="175"/>
      <c r="S1009" s="175"/>
      <c r="T1009" s="175"/>
      <c r="U1009" s="175"/>
      <c r="V1009" s="175"/>
      <c r="W1009" s="175"/>
      <c r="X1009" s="175"/>
      <c r="Y1009" s="175"/>
      <c r="Z1009" s="175"/>
      <c r="AA1009" s="175"/>
    </row>
    <row r="1010">
      <c r="A1010" s="187"/>
      <c r="D1010" s="187"/>
      <c r="O1010" s="175"/>
      <c r="P1010" s="175"/>
      <c r="Q1010" s="175"/>
      <c r="R1010" s="175"/>
      <c r="S1010" s="175"/>
      <c r="T1010" s="175"/>
      <c r="U1010" s="175"/>
      <c r="V1010" s="175"/>
      <c r="W1010" s="175"/>
      <c r="X1010" s="175"/>
      <c r="Y1010" s="175"/>
      <c r="Z1010" s="175"/>
      <c r="AA1010" s="175"/>
    </row>
    <row r="1011">
      <c r="A1011" s="187"/>
      <c r="D1011" s="187"/>
      <c r="O1011" s="175"/>
      <c r="P1011" s="175"/>
      <c r="Q1011" s="175"/>
      <c r="R1011" s="175"/>
      <c r="S1011" s="175"/>
      <c r="T1011" s="175"/>
      <c r="U1011" s="175"/>
      <c r="V1011" s="175"/>
      <c r="W1011" s="175"/>
      <c r="X1011" s="175"/>
      <c r="Y1011" s="175"/>
      <c r="Z1011" s="175"/>
      <c r="AA1011" s="175"/>
    </row>
    <row r="1012">
      <c r="A1012" s="187"/>
      <c r="D1012" s="187"/>
      <c r="O1012" s="175"/>
      <c r="P1012" s="175"/>
      <c r="Q1012" s="175"/>
      <c r="R1012" s="175"/>
      <c r="S1012" s="175"/>
      <c r="T1012" s="175"/>
      <c r="U1012" s="175"/>
      <c r="V1012" s="175"/>
      <c r="W1012" s="175"/>
      <c r="X1012" s="175"/>
      <c r="Y1012" s="175"/>
      <c r="Z1012" s="175"/>
      <c r="AA1012" s="175"/>
    </row>
    <row r="1013">
      <c r="A1013" s="187"/>
      <c r="D1013" s="187"/>
      <c r="O1013" s="175"/>
      <c r="P1013" s="175"/>
      <c r="Q1013" s="175"/>
      <c r="R1013" s="175"/>
      <c r="S1013" s="175"/>
      <c r="T1013" s="175"/>
      <c r="U1013" s="175"/>
      <c r="V1013" s="175"/>
      <c r="W1013" s="175"/>
      <c r="X1013" s="175"/>
      <c r="Y1013" s="175"/>
      <c r="Z1013" s="175"/>
      <c r="AA1013" s="175"/>
    </row>
    <row r="1014">
      <c r="A1014" s="187"/>
      <c r="D1014" s="187"/>
      <c r="O1014" s="175"/>
      <c r="P1014" s="175"/>
      <c r="Q1014" s="175"/>
      <c r="R1014" s="175"/>
      <c r="S1014" s="175"/>
      <c r="T1014" s="175"/>
      <c r="U1014" s="175"/>
      <c r="V1014" s="175"/>
      <c r="W1014" s="175"/>
      <c r="X1014" s="175"/>
      <c r="Y1014" s="175"/>
      <c r="Z1014" s="175"/>
      <c r="AA1014" s="175"/>
    </row>
    <row r="1015">
      <c r="A1015" s="187"/>
      <c r="D1015" s="187"/>
      <c r="O1015" s="175"/>
      <c r="P1015" s="175"/>
      <c r="Q1015" s="175"/>
      <c r="R1015" s="175"/>
      <c r="S1015" s="175"/>
      <c r="T1015" s="175"/>
      <c r="U1015" s="175"/>
      <c r="V1015" s="175"/>
      <c r="W1015" s="175"/>
      <c r="X1015" s="175"/>
      <c r="Y1015" s="175"/>
      <c r="Z1015" s="175"/>
      <c r="AA1015" s="175"/>
    </row>
    <row r="1016">
      <c r="A1016" s="187"/>
      <c r="D1016" s="187"/>
      <c r="O1016" s="175"/>
      <c r="P1016" s="175"/>
      <c r="Q1016" s="175"/>
      <c r="R1016" s="175"/>
      <c r="S1016" s="175"/>
      <c r="T1016" s="175"/>
      <c r="U1016" s="175"/>
      <c r="V1016" s="175"/>
      <c r="W1016" s="175"/>
      <c r="X1016" s="175"/>
      <c r="Y1016" s="175"/>
      <c r="Z1016" s="175"/>
      <c r="AA1016" s="175"/>
    </row>
    <row r="1017">
      <c r="A1017" s="187"/>
      <c r="D1017" s="187"/>
      <c r="O1017" s="175"/>
      <c r="P1017" s="175"/>
      <c r="Q1017" s="175"/>
      <c r="R1017" s="175"/>
      <c r="S1017" s="175"/>
      <c r="T1017" s="175"/>
      <c r="U1017" s="175"/>
      <c r="V1017" s="175"/>
      <c r="W1017" s="175"/>
      <c r="X1017" s="175"/>
      <c r="Y1017" s="175"/>
      <c r="Z1017" s="175"/>
      <c r="AA1017" s="175"/>
    </row>
    <row r="1018">
      <c r="A1018" s="187"/>
      <c r="D1018" s="187"/>
      <c r="O1018" s="175"/>
      <c r="P1018" s="175"/>
      <c r="Q1018" s="175"/>
      <c r="R1018" s="175"/>
      <c r="S1018" s="175"/>
      <c r="T1018" s="175"/>
      <c r="U1018" s="175"/>
      <c r="V1018" s="175"/>
      <c r="W1018" s="175"/>
      <c r="X1018" s="175"/>
      <c r="Y1018" s="175"/>
      <c r="Z1018" s="175"/>
      <c r="AA1018" s="175"/>
    </row>
    <row r="1019">
      <c r="A1019" s="187"/>
      <c r="D1019" s="187"/>
      <c r="O1019" s="175"/>
      <c r="P1019" s="175"/>
      <c r="Q1019" s="175"/>
      <c r="R1019" s="175"/>
      <c r="S1019" s="175"/>
      <c r="T1019" s="175"/>
      <c r="U1019" s="175"/>
      <c r="V1019" s="175"/>
      <c r="W1019" s="175"/>
      <c r="X1019" s="175"/>
      <c r="Y1019" s="175"/>
      <c r="Z1019" s="175"/>
      <c r="AA1019" s="175"/>
    </row>
    <row r="1020">
      <c r="A1020" s="187"/>
      <c r="D1020" s="187"/>
      <c r="O1020" s="175"/>
      <c r="P1020" s="175"/>
      <c r="Q1020" s="175"/>
      <c r="R1020" s="175"/>
      <c r="S1020" s="175"/>
      <c r="T1020" s="175"/>
      <c r="U1020" s="175"/>
      <c r="V1020" s="175"/>
      <c r="W1020" s="175"/>
      <c r="X1020" s="175"/>
      <c r="Y1020" s="175"/>
      <c r="Z1020" s="175"/>
      <c r="AA1020" s="175"/>
    </row>
    <row r="1021">
      <c r="A1021" s="187"/>
      <c r="D1021" s="187"/>
      <c r="O1021" s="175"/>
      <c r="P1021" s="175"/>
      <c r="Q1021" s="175"/>
      <c r="R1021" s="175"/>
      <c r="S1021" s="175"/>
      <c r="T1021" s="175"/>
      <c r="U1021" s="175"/>
      <c r="V1021" s="175"/>
      <c r="W1021" s="175"/>
      <c r="X1021" s="175"/>
      <c r="Y1021" s="175"/>
      <c r="Z1021" s="175"/>
      <c r="AA1021" s="175"/>
    </row>
    <row r="1022">
      <c r="A1022" s="187"/>
      <c r="D1022" s="187"/>
      <c r="O1022" s="175"/>
      <c r="P1022" s="175"/>
      <c r="Q1022" s="175"/>
      <c r="R1022" s="175"/>
      <c r="S1022" s="175"/>
      <c r="T1022" s="175"/>
      <c r="U1022" s="175"/>
      <c r="V1022" s="175"/>
      <c r="W1022" s="175"/>
      <c r="X1022" s="175"/>
      <c r="Y1022" s="175"/>
      <c r="Z1022" s="175"/>
      <c r="AA1022" s="175"/>
    </row>
    <row r="1023">
      <c r="A1023" s="187"/>
      <c r="D1023" s="187"/>
      <c r="O1023" s="175"/>
      <c r="P1023" s="175"/>
      <c r="Q1023" s="175"/>
      <c r="R1023" s="175"/>
      <c r="S1023" s="175"/>
      <c r="T1023" s="175"/>
      <c r="U1023" s="175"/>
      <c r="V1023" s="175"/>
      <c r="W1023" s="175"/>
      <c r="X1023" s="175"/>
      <c r="Y1023" s="175"/>
      <c r="Z1023" s="175"/>
      <c r="AA1023" s="175"/>
    </row>
    <row r="1024">
      <c r="A1024" s="187"/>
      <c r="D1024" s="187"/>
      <c r="O1024" s="175"/>
      <c r="P1024" s="175"/>
      <c r="Q1024" s="175"/>
      <c r="R1024" s="175"/>
      <c r="S1024" s="175"/>
      <c r="T1024" s="175"/>
      <c r="U1024" s="175"/>
      <c r="V1024" s="175"/>
      <c r="W1024" s="175"/>
      <c r="X1024" s="175"/>
      <c r="Y1024" s="175"/>
      <c r="Z1024" s="175"/>
      <c r="AA1024" s="175"/>
    </row>
    <row r="1025">
      <c r="A1025" s="187"/>
      <c r="D1025" s="187"/>
      <c r="O1025" s="175"/>
      <c r="P1025" s="175"/>
      <c r="Q1025" s="175"/>
      <c r="R1025" s="175"/>
      <c r="S1025" s="175"/>
      <c r="T1025" s="175"/>
      <c r="U1025" s="175"/>
      <c r="V1025" s="175"/>
      <c r="W1025" s="175"/>
      <c r="X1025" s="175"/>
      <c r="Y1025" s="175"/>
      <c r="Z1025" s="175"/>
      <c r="AA1025" s="175"/>
    </row>
    <row r="1026">
      <c r="A1026" s="187"/>
      <c r="D1026" s="187"/>
      <c r="O1026" s="175"/>
      <c r="P1026" s="175"/>
      <c r="Q1026" s="175"/>
      <c r="R1026" s="175"/>
      <c r="S1026" s="175"/>
      <c r="T1026" s="175"/>
      <c r="U1026" s="175"/>
      <c r="V1026" s="175"/>
      <c r="W1026" s="175"/>
      <c r="X1026" s="175"/>
      <c r="Y1026" s="175"/>
      <c r="Z1026" s="175"/>
      <c r="AA1026" s="175"/>
    </row>
    <row r="1027">
      <c r="A1027" s="187"/>
      <c r="D1027" s="187"/>
      <c r="O1027" s="175"/>
      <c r="P1027" s="175"/>
      <c r="Q1027" s="175"/>
      <c r="R1027" s="175"/>
      <c r="S1027" s="175"/>
      <c r="T1027" s="175"/>
      <c r="U1027" s="175"/>
      <c r="V1027" s="175"/>
      <c r="W1027" s="175"/>
      <c r="X1027" s="175"/>
      <c r="Y1027" s="175"/>
      <c r="Z1027" s="175"/>
      <c r="AA1027" s="175"/>
    </row>
    <row r="1028">
      <c r="A1028" s="187"/>
      <c r="D1028" s="187"/>
      <c r="O1028" s="175"/>
      <c r="P1028" s="175"/>
      <c r="Q1028" s="175"/>
      <c r="R1028" s="175"/>
      <c r="S1028" s="175"/>
      <c r="T1028" s="175"/>
      <c r="U1028" s="175"/>
      <c r="V1028" s="175"/>
      <c r="W1028" s="175"/>
      <c r="X1028" s="175"/>
      <c r="Y1028" s="175"/>
      <c r="Z1028" s="175"/>
      <c r="AA1028" s="175"/>
    </row>
    <row r="1029">
      <c r="A1029" s="187"/>
      <c r="D1029" s="187"/>
      <c r="O1029" s="175"/>
      <c r="P1029" s="175"/>
      <c r="Q1029" s="175"/>
      <c r="R1029" s="175"/>
      <c r="S1029" s="175"/>
      <c r="T1029" s="175"/>
      <c r="U1029" s="175"/>
      <c r="V1029" s="175"/>
      <c r="W1029" s="175"/>
      <c r="X1029" s="175"/>
      <c r="Y1029" s="175"/>
      <c r="Z1029" s="175"/>
      <c r="AA1029" s="175"/>
    </row>
    <row r="1030">
      <c r="A1030" s="187"/>
      <c r="D1030" s="187"/>
      <c r="O1030" s="175"/>
      <c r="P1030" s="175"/>
      <c r="Q1030" s="175"/>
      <c r="R1030" s="175"/>
      <c r="U1030" s="175"/>
      <c r="Y1030" s="175"/>
      <c r="Z1030" s="175"/>
      <c r="AA1030" s="175"/>
    </row>
    <row r="1031">
      <c r="A1031" s="187"/>
      <c r="D1031" s="187"/>
      <c r="O1031" s="175"/>
      <c r="P1031" s="175"/>
      <c r="Q1031" s="175"/>
      <c r="R1031" s="175"/>
      <c r="Y1031" s="175"/>
      <c r="Z1031" s="175"/>
      <c r="AA1031" s="175"/>
    </row>
    <row r="1032">
      <c r="A1032" s="187"/>
      <c r="D1032" s="187"/>
      <c r="O1032" s="175"/>
      <c r="P1032" s="175"/>
      <c r="Q1032" s="175"/>
      <c r="R1032" s="175"/>
      <c r="Y1032" s="175"/>
      <c r="Z1032" s="175"/>
      <c r="AA1032" s="175"/>
    </row>
    <row r="1033">
      <c r="A1033" s="187"/>
      <c r="D1033" s="187"/>
      <c r="O1033" s="175"/>
      <c r="P1033" s="175"/>
      <c r="Q1033" s="175"/>
      <c r="R1033" s="175"/>
      <c r="Y1033" s="175"/>
      <c r="Z1033" s="175"/>
      <c r="AA1033" s="175"/>
    </row>
    <row r="1034">
      <c r="A1034" s="187"/>
      <c r="D1034" s="187"/>
      <c r="O1034" s="175"/>
      <c r="P1034" s="175"/>
      <c r="Q1034" s="175"/>
      <c r="R1034" s="175"/>
      <c r="Y1034" s="175"/>
      <c r="Z1034" s="175"/>
      <c r="AA1034" s="175"/>
    </row>
    <row r="1035">
      <c r="A1035" s="187"/>
      <c r="D1035" s="187"/>
      <c r="O1035" s="175"/>
      <c r="P1035" s="175"/>
      <c r="Q1035" s="175"/>
      <c r="R1035" s="175"/>
      <c r="Y1035" s="175"/>
      <c r="Z1035" s="175"/>
      <c r="AA1035" s="175"/>
    </row>
    <row r="1036">
      <c r="A1036" s="187"/>
      <c r="D1036" s="187"/>
      <c r="O1036" s="175"/>
      <c r="P1036" s="175"/>
      <c r="Q1036" s="175"/>
      <c r="R1036" s="175"/>
      <c r="Y1036" s="175"/>
      <c r="Z1036" s="175"/>
      <c r="AA1036" s="175"/>
    </row>
    <row r="1037">
      <c r="A1037" s="187"/>
      <c r="D1037" s="187"/>
      <c r="O1037" s="175"/>
      <c r="P1037" s="175"/>
      <c r="Q1037" s="175"/>
      <c r="R1037" s="175"/>
      <c r="Y1037" s="175"/>
      <c r="Z1037" s="175"/>
      <c r="AA1037" s="175"/>
    </row>
    <row r="1038">
      <c r="A1038" s="187"/>
      <c r="D1038" s="187"/>
      <c r="O1038" s="175"/>
      <c r="P1038" s="175"/>
      <c r="Q1038" s="175"/>
      <c r="R1038" s="175"/>
      <c r="Y1038" s="175"/>
      <c r="Z1038" s="175"/>
      <c r="AA1038" s="175"/>
    </row>
    <row r="1039">
      <c r="A1039" s="187"/>
      <c r="D1039" s="187"/>
      <c r="O1039" s="175"/>
      <c r="P1039" s="175"/>
      <c r="Q1039" s="175"/>
      <c r="R1039" s="175"/>
      <c r="Y1039" s="175"/>
      <c r="Z1039" s="175"/>
      <c r="AA1039" s="175"/>
    </row>
    <row r="1040">
      <c r="A1040" s="187"/>
      <c r="D1040" s="187"/>
      <c r="O1040" s="175"/>
      <c r="P1040" s="175"/>
      <c r="Q1040" s="175"/>
      <c r="R1040" s="175"/>
      <c r="Y1040" s="175"/>
      <c r="Z1040" s="175"/>
      <c r="AA1040" s="175"/>
    </row>
    <row r="1041">
      <c r="A1041" s="187"/>
      <c r="D1041" s="187"/>
      <c r="O1041" s="175"/>
      <c r="P1041" s="175"/>
      <c r="Q1041" s="175"/>
      <c r="R1041" s="175"/>
      <c r="Y1041" s="175"/>
      <c r="Z1041" s="175"/>
      <c r="AA1041" s="175"/>
    </row>
    <row r="1042">
      <c r="A1042" s="187"/>
      <c r="D1042" s="187"/>
      <c r="O1042" s="175"/>
      <c r="P1042" s="175"/>
      <c r="Q1042" s="175"/>
      <c r="R1042" s="175"/>
      <c r="Y1042" s="175"/>
      <c r="Z1042" s="175"/>
      <c r="AA1042" s="175"/>
    </row>
    <row r="1043">
      <c r="A1043" s="187"/>
      <c r="D1043" s="187"/>
      <c r="O1043" s="175"/>
      <c r="P1043" s="175"/>
      <c r="Q1043" s="175"/>
      <c r="R1043" s="175"/>
      <c r="Y1043" s="175"/>
      <c r="Z1043" s="175"/>
      <c r="AA1043" s="175"/>
    </row>
    <row r="1044">
      <c r="A1044" s="187"/>
      <c r="D1044" s="187"/>
      <c r="O1044" s="175"/>
      <c r="P1044" s="175"/>
      <c r="Q1044" s="175"/>
      <c r="R1044" s="175"/>
      <c r="Y1044" s="175"/>
      <c r="Z1044" s="175"/>
      <c r="AA1044" s="175"/>
    </row>
    <row r="1045">
      <c r="A1045" s="187"/>
      <c r="D1045" s="187"/>
      <c r="O1045" s="175"/>
      <c r="P1045" s="175"/>
      <c r="Q1045" s="175"/>
      <c r="R1045" s="175"/>
      <c r="Y1045" s="175"/>
      <c r="Z1045" s="175"/>
      <c r="AA1045" s="175"/>
    </row>
    <row r="1046">
      <c r="A1046" s="187"/>
      <c r="D1046" s="187"/>
      <c r="O1046" s="175"/>
      <c r="P1046" s="175"/>
      <c r="Q1046" s="175"/>
      <c r="R1046" s="175"/>
      <c r="Y1046" s="175"/>
      <c r="Z1046" s="175"/>
      <c r="AA1046" s="175"/>
    </row>
    <row r="1047">
      <c r="A1047" s="187"/>
      <c r="D1047" s="187"/>
      <c r="O1047" s="175"/>
      <c r="P1047" s="175"/>
      <c r="Q1047" s="175"/>
      <c r="R1047" s="175"/>
      <c r="Y1047" s="175"/>
      <c r="Z1047" s="175"/>
      <c r="AA1047" s="175"/>
    </row>
    <row r="1048">
      <c r="A1048" s="187"/>
      <c r="D1048" s="187"/>
      <c r="O1048" s="175"/>
      <c r="P1048" s="175"/>
      <c r="Q1048" s="175"/>
      <c r="R1048" s="175"/>
      <c r="Y1048" s="175"/>
      <c r="Z1048" s="175"/>
      <c r="AA1048" s="175"/>
    </row>
    <row r="1049">
      <c r="A1049" s="187"/>
      <c r="D1049" s="187"/>
      <c r="O1049" s="175"/>
      <c r="P1049" s="175"/>
      <c r="Q1049" s="175"/>
      <c r="R1049" s="175"/>
      <c r="Y1049" s="175"/>
      <c r="Z1049" s="175"/>
      <c r="AA1049" s="175"/>
    </row>
    <row r="1050">
      <c r="A1050" s="187"/>
      <c r="D1050" s="187"/>
      <c r="O1050" s="175"/>
      <c r="P1050" s="175"/>
      <c r="Q1050" s="175"/>
      <c r="R1050" s="175"/>
      <c r="Y1050" s="175"/>
      <c r="Z1050" s="175"/>
      <c r="AA1050" s="175"/>
    </row>
    <row r="1051">
      <c r="A1051" s="187"/>
      <c r="D1051" s="187"/>
      <c r="O1051" s="175"/>
      <c r="P1051" s="175"/>
      <c r="Q1051" s="175"/>
      <c r="R1051" s="175"/>
      <c r="Y1051" s="175"/>
      <c r="Z1051" s="175"/>
      <c r="AA1051" s="175"/>
    </row>
    <row r="1052">
      <c r="A1052" s="187"/>
      <c r="D1052" s="187"/>
      <c r="O1052" s="175"/>
      <c r="P1052" s="175"/>
      <c r="Q1052" s="175"/>
      <c r="R1052" s="175"/>
      <c r="Y1052" s="175"/>
      <c r="Z1052" s="175"/>
      <c r="AA1052" s="175"/>
    </row>
    <row r="1053">
      <c r="A1053" s="187"/>
      <c r="D1053" s="187"/>
      <c r="O1053" s="175"/>
      <c r="P1053" s="175"/>
      <c r="Q1053" s="175"/>
      <c r="R1053" s="175"/>
      <c r="Y1053" s="175"/>
      <c r="Z1053" s="175"/>
      <c r="AA1053" s="175"/>
    </row>
    <row r="1054">
      <c r="A1054" s="187"/>
      <c r="D1054" s="187"/>
      <c r="O1054" s="175"/>
      <c r="P1054" s="175"/>
      <c r="Q1054" s="175"/>
      <c r="R1054" s="175"/>
      <c r="Y1054" s="175"/>
      <c r="Z1054" s="175"/>
      <c r="AA1054" s="175"/>
    </row>
    <row r="1055">
      <c r="A1055" s="187"/>
      <c r="D1055" s="187"/>
      <c r="O1055" s="175"/>
      <c r="P1055" s="175"/>
      <c r="Q1055" s="175"/>
      <c r="R1055" s="175"/>
      <c r="Y1055" s="175"/>
      <c r="Z1055" s="175"/>
      <c r="AA1055" s="175"/>
    </row>
    <row r="1056">
      <c r="A1056" s="187"/>
      <c r="D1056" s="187"/>
      <c r="O1056" s="175"/>
      <c r="P1056" s="175"/>
      <c r="Q1056" s="175"/>
      <c r="R1056" s="175"/>
      <c r="Y1056" s="175"/>
      <c r="Z1056" s="175"/>
      <c r="AA1056" s="175"/>
    </row>
    <row r="1057">
      <c r="A1057" s="187"/>
      <c r="D1057" s="187"/>
      <c r="O1057" s="175"/>
      <c r="P1057" s="175"/>
      <c r="Q1057" s="175"/>
      <c r="R1057" s="175"/>
      <c r="Y1057" s="175"/>
      <c r="Z1057" s="175"/>
      <c r="AA1057" s="175"/>
    </row>
    <row r="1058">
      <c r="A1058" s="187"/>
      <c r="D1058" s="187"/>
      <c r="O1058" s="175"/>
      <c r="P1058" s="175"/>
      <c r="Q1058" s="175"/>
      <c r="R1058" s="175"/>
      <c r="Y1058" s="175"/>
      <c r="Z1058" s="175"/>
      <c r="AA1058" s="175"/>
    </row>
    <row r="1059">
      <c r="A1059" s="187"/>
      <c r="D1059" s="187"/>
      <c r="O1059" s="175"/>
      <c r="P1059" s="175"/>
      <c r="Q1059" s="175"/>
      <c r="R1059" s="175"/>
      <c r="Y1059" s="175"/>
      <c r="Z1059" s="175"/>
      <c r="AA1059" s="175"/>
    </row>
    <row r="1060">
      <c r="A1060" s="187"/>
      <c r="D1060" s="187"/>
      <c r="O1060" s="175"/>
      <c r="P1060" s="175"/>
      <c r="Q1060" s="175"/>
      <c r="R1060" s="175"/>
      <c r="Z1060" s="175"/>
      <c r="AA1060" s="175"/>
    </row>
    <row r="1061">
      <c r="A1061" s="187"/>
      <c r="D1061" s="187"/>
      <c r="O1061" s="175"/>
      <c r="P1061" s="175"/>
      <c r="Q1061" s="175"/>
      <c r="R1061" s="175"/>
      <c r="AA1061" s="175"/>
    </row>
    <row r="1062">
      <c r="A1062" s="187"/>
      <c r="D1062" s="187"/>
      <c r="R1062" s="175"/>
      <c r="AA1062" s="175"/>
    </row>
  </sheetData>
  <mergeCells count="177">
    <mergeCell ref="H25:J25"/>
    <mergeCell ref="O25:Q25"/>
    <mergeCell ref="B26:C26"/>
    <mergeCell ref="H26:J26"/>
    <mergeCell ref="O26:Q26"/>
    <mergeCell ref="O27:Q27"/>
    <mergeCell ref="B28:C28"/>
    <mergeCell ref="O28:Q28"/>
    <mergeCell ref="H27:J27"/>
    <mergeCell ref="H28:J28"/>
    <mergeCell ref="H29:J29"/>
    <mergeCell ref="H30:J30"/>
    <mergeCell ref="W30:X30"/>
    <mergeCell ref="O31:Q31"/>
    <mergeCell ref="W31:X31"/>
    <mergeCell ref="E14:F14"/>
    <mergeCell ref="E15:F15"/>
    <mergeCell ref="G15:J15"/>
    <mergeCell ref="L15:M15"/>
    <mergeCell ref="N15:Q15"/>
    <mergeCell ref="L16:M16"/>
    <mergeCell ref="N16:Q16"/>
    <mergeCell ref="H16:J16"/>
    <mergeCell ref="H17:J17"/>
    <mergeCell ref="L17:M17"/>
    <mergeCell ref="N17:Q17"/>
    <mergeCell ref="W17:X17"/>
    <mergeCell ref="O18:Q18"/>
    <mergeCell ref="W18:X18"/>
    <mergeCell ref="H18:J18"/>
    <mergeCell ref="H19:J19"/>
    <mergeCell ref="O19:Q19"/>
    <mergeCell ref="W19:X19"/>
    <mergeCell ref="H20:J20"/>
    <mergeCell ref="W20:X20"/>
    <mergeCell ref="H21:J21"/>
    <mergeCell ref="O20:Q20"/>
    <mergeCell ref="O21:Q21"/>
    <mergeCell ref="B22:C22"/>
    <mergeCell ref="H22:J22"/>
    <mergeCell ref="O22:Q22"/>
    <mergeCell ref="H23:J23"/>
    <mergeCell ref="H24:J24"/>
    <mergeCell ref="O23:Q23"/>
    <mergeCell ref="O24:Q24"/>
    <mergeCell ref="O29:Q29"/>
    <mergeCell ref="O30:Q30"/>
    <mergeCell ref="O32:Q32"/>
    <mergeCell ref="O33:Q33"/>
    <mergeCell ref="O34:Q34"/>
    <mergeCell ref="Y38:Z38"/>
    <mergeCell ref="Y39:Z39"/>
    <mergeCell ref="W32:X32"/>
    <mergeCell ref="W33:X33"/>
    <mergeCell ref="W34:X34"/>
    <mergeCell ref="W35:X35"/>
    <mergeCell ref="W36:X36"/>
    <mergeCell ref="V38:W38"/>
    <mergeCell ref="V39:W39"/>
    <mergeCell ref="T8:U8"/>
    <mergeCell ref="T9:U9"/>
    <mergeCell ref="H7:K7"/>
    <mergeCell ref="O7:R7"/>
    <mergeCell ref="T7:U7"/>
    <mergeCell ref="H8:K8"/>
    <mergeCell ref="O8:R8"/>
    <mergeCell ref="H9:K9"/>
    <mergeCell ref="O9:R9"/>
    <mergeCell ref="AB4:AC4"/>
    <mergeCell ref="AB5:AC5"/>
    <mergeCell ref="AB6:AC6"/>
    <mergeCell ref="AB7:AC7"/>
    <mergeCell ref="AB8:AC8"/>
    <mergeCell ref="AB9:AC9"/>
    <mergeCell ref="AB10:AC10"/>
    <mergeCell ref="AB22:AC22"/>
    <mergeCell ref="AB23:AC23"/>
    <mergeCell ref="AB24:AC24"/>
    <mergeCell ref="AB25:AC25"/>
    <mergeCell ref="AB26:AC26"/>
    <mergeCell ref="AB11:AC11"/>
    <mergeCell ref="AB12:AC12"/>
    <mergeCell ref="AB17:AC17"/>
    <mergeCell ref="AB18:AC18"/>
    <mergeCell ref="AB19:AC19"/>
    <mergeCell ref="AB20:AC20"/>
    <mergeCell ref="AB21:AC21"/>
    <mergeCell ref="E11:F11"/>
    <mergeCell ref="L11:M11"/>
    <mergeCell ref="S11:T11"/>
    <mergeCell ref="E12:F12"/>
    <mergeCell ref="G12:J12"/>
    <mergeCell ref="L12:M12"/>
    <mergeCell ref="N12:Q12"/>
    <mergeCell ref="E13:F13"/>
    <mergeCell ref="G13:J13"/>
    <mergeCell ref="L13:M13"/>
    <mergeCell ref="N13:Q13"/>
    <mergeCell ref="G14:J14"/>
    <mergeCell ref="L14:M14"/>
    <mergeCell ref="N14:Q14"/>
    <mergeCell ref="B2:C2"/>
    <mergeCell ref="E2:Z2"/>
    <mergeCell ref="AB2:AD2"/>
    <mergeCell ref="O3:R3"/>
    <mergeCell ref="T3:U3"/>
    <mergeCell ref="X3:Y3"/>
    <mergeCell ref="AB3:AC3"/>
    <mergeCell ref="T4:U4"/>
    <mergeCell ref="T5:U5"/>
    <mergeCell ref="O5:R5"/>
    <mergeCell ref="O6:R6"/>
    <mergeCell ref="X5:Y5"/>
    <mergeCell ref="X6:Y6"/>
    <mergeCell ref="X7:Y7"/>
    <mergeCell ref="X8:Y8"/>
    <mergeCell ref="X9:Y9"/>
    <mergeCell ref="H3:K3"/>
    <mergeCell ref="H4:K4"/>
    <mergeCell ref="O4:R4"/>
    <mergeCell ref="X4:Y4"/>
    <mergeCell ref="H5:K5"/>
    <mergeCell ref="H6:K6"/>
    <mergeCell ref="T6:U6"/>
    <mergeCell ref="W15:X15"/>
    <mergeCell ref="W16:X16"/>
    <mergeCell ref="V11:Z11"/>
    <mergeCell ref="W12:X12"/>
    <mergeCell ref="W13:X13"/>
    <mergeCell ref="AB13:AC13"/>
    <mergeCell ref="W14:X14"/>
    <mergeCell ref="AB14:AC14"/>
    <mergeCell ref="AB15:AC15"/>
    <mergeCell ref="AB16:AC16"/>
    <mergeCell ref="W28:X28"/>
    <mergeCell ref="W29:X29"/>
    <mergeCell ref="W21:X21"/>
    <mergeCell ref="W22:X22"/>
    <mergeCell ref="W23:X23"/>
    <mergeCell ref="W24:X24"/>
    <mergeCell ref="W25:X25"/>
    <mergeCell ref="W26:X26"/>
    <mergeCell ref="W27:X27"/>
    <mergeCell ref="H36:J36"/>
    <mergeCell ref="H37:J37"/>
    <mergeCell ref="H31:J31"/>
    <mergeCell ref="B32:C32"/>
    <mergeCell ref="H32:J32"/>
    <mergeCell ref="H33:J33"/>
    <mergeCell ref="H34:J34"/>
    <mergeCell ref="H35:J35"/>
    <mergeCell ref="B37:C37"/>
    <mergeCell ref="H42:J42"/>
    <mergeCell ref="H43:J43"/>
    <mergeCell ref="H44:J44"/>
    <mergeCell ref="H45:J45"/>
    <mergeCell ref="B38:C38"/>
    <mergeCell ref="H38:J38"/>
    <mergeCell ref="B39:C39"/>
    <mergeCell ref="H39:J39"/>
    <mergeCell ref="H40:J40"/>
    <mergeCell ref="B41:C41"/>
    <mergeCell ref="H41:J41"/>
    <mergeCell ref="O42:Q42"/>
    <mergeCell ref="O43:Q43"/>
    <mergeCell ref="V43:Y43"/>
    <mergeCell ref="V44:Y44"/>
    <mergeCell ref="V45:Y45"/>
    <mergeCell ref="O44:Q44"/>
    <mergeCell ref="O45:Q45"/>
    <mergeCell ref="O35:Q35"/>
    <mergeCell ref="O36:Q36"/>
    <mergeCell ref="O37:Q37"/>
    <mergeCell ref="O38:Q38"/>
    <mergeCell ref="O39:Q39"/>
    <mergeCell ref="O40:Q40"/>
    <mergeCell ref="O41:Q41"/>
  </mergeCells>
  <conditionalFormatting sqref="F38 F42:F44 M42">
    <cfRule type="expression" dxfId="3" priority="1">
      <formula>value(mid(E38,11,2))&gt;=G14</formula>
    </cfRule>
  </conditionalFormatting>
  <conditionalFormatting sqref="F39">
    <cfRule type="expression" dxfId="3" priority="2">
      <formula>and(value(mid(E39,11,2))&gt;=G14,F16&gt;5)</formula>
    </cfRule>
  </conditionalFormatting>
  <conditionalFormatting sqref="F40">
    <cfRule type="expression" dxfId="3" priority="3">
      <formula>and(value(mid(E40,11,2))&gt;=G14,F16&gt;5)</formula>
    </cfRule>
  </conditionalFormatting>
  <conditionalFormatting sqref="F41">
    <cfRule type="expression" dxfId="3" priority="4">
      <formula>and(value(mid(E41,11,2))&gt;=G14,F16&gt;15)</formula>
    </cfRule>
  </conditionalFormatting>
  <conditionalFormatting sqref="M38">
    <cfRule type="expression" dxfId="4" priority="5">
      <formula>value(mid(L38,11,2))&gt;=N16</formula>
    </cfRule>
  </conditionalFormatting>
  <conditionalFormatting sqref="M39">
    <cfRule type="expression" dxfId="3" priority="6">
      <formula>and(value(mid(L39,11,2))&gt;=N16,M18&gt;5)</formula>
    </cfRule>
  </conditionalFormatting>
  <conditionalFormatting sqref="M40">
    <cfRule type="expression" dxfId="3" priority="7">
      <formula>and(value(mid(L40,11,2))&gt;=N16,M18&gt;10)</formula>
    </cfRule>
  </conditionalFormatting>
  <conditionalFormatting sqref="M41">
    <cfRule type="expression" dxfId="3" priority="8">
      <formula>and(value(mid(L41,11,2))&gt;=N16,M18&gt;15)</formula>
    </cfRule>
  </conditionalFormatting>
  <conditionalFormatting sqref="F38 F42:F44 M42">
    <cfRule type="expression" dxfId="5" priority="9">
      <formula>value(mid(E38,11,2))=1</formula>
    </cfRule>
  </conditionalFormatting>
  <conditionalFormatting sqref="F39">
    <cfRule type="expression" dxfId="6" priority="10">
      <formula>and(value(mid(E39,11,2))=1,F16&gt;5)</formula>
    </cfRule>
  </conditionalFormatting>
  <conditionalFormatting sqref="F40">
    <cfRule type="expression" dxfId="6" priority="11">
      <formula>and(value(mid(E40,11,2))=1,F16&gt;10)</formula>
    </cfRule>
  </conditionalFormatting>
  <conditionalFormatting sqref="F41">
    <cfRule type="expression" dxfId="6" priority="12">
      <formula>and(value(mid(E41,11,2))=1,F16&gt;15)</formula>
    </cfRule>
  </conditionalFormatting>
  <conditionalFormatting sqref="H38:J38">
    <cfRule type="expression" dxfId="4" priority="13">
      <formula>value(mid(E38,11,2))&gt;=G14</formula>
    </cfRule>
  </conditionalFormatting>
  <conditionalFormatting sqref="H38:J38">
    <cfRule type="expression" dxfId="5" priority="14">
      <formula>value(mid(E38,11,2))=1</formula>
    </cfRule>
  </conditionalFormatting>
  <conditionalFormatting sqref="H39:J39">
    <cfRule type="expression" dxfId="4" priority="15">
      <formula>and(value(mid(E39,11,2))&gt;=G14,F16&gt;5)</formula>
    </cfRule>
  </conditionalFormatting>
  <conditionalFormatting sqref="H39:J39">
    <cfRule type="expression" dxfId="5" priority="16">
      <formula>and(value(mid(E39,11,2))=1,F16&gt;5)</formula>
    </cfRule>
  </conditionalFormatting>
  <conditionalFormatting sqref="H40:J40">
    <cfRule type="expression" dxfId="4" priority="17">
      <formula>and(value(mid(E40,11,2))&gt;=G14,F16&gt;5)</formula>
    </cfRule>
  </conditionalFormatting>
  <conditionalFormatting sqref="H40:J40">
    <cfRule type="expression" dxfId="5" priority="18">
      <formula>and(value(mid(E40,11,2))=1,F16&gt;10)</formula>
    </cfRule>
  </conditionalFormatting>
  <conditionalFormatting sqref="H41:J41">
    <cfRule type="expression" dxfId="4" priority="19">
      <formula>and(value(mid(E41,11,2))&gt;=G14,F16&gt;15)</formula>
    </cfRule>
  </conditionalFormatting>
  <conditionalFormatting sqref="H41:J41">
    <cfRule type="expression" dxfId="5" priority="20">
      <formula>and(value(mid(E41,11,2))=1,F16&gt;15)</formula>
    </cfRule>
  </conditionalFormatting>
  <conditionalFormatting sqref="M38">
    <cfRule type="expression" dxfId="5" priority="21">
      <formula>value(mid(L38,11,2))=1</formula>
    </cfRule>
  </conditionalFormatting>
  <conditionalFormatting sqref="M39">
    <cfRule type="expression" dxfId="5" priority="22">
      <formula>and(value(mid(L39,11,2))=1,M18&gt;5)</formula>
    </cfRule>
  </conditionalFormatting>
  <conditionalFormatting sqref="M40">
    <cfRule type="expression" dxfId="5" priority="23">
      <formula>and(value(mid(L40,11,2))=1,M18&gt;10)</formula>
    </cfRule>
  </conditionalFormatting>
  <conditionalFormatting sqref="M41">
    <cfRule type="expression" dxfId="5" priority="24">
      <formula>and(value(mid(L41,11,2))=1,M18&gt;15)</formula>
    </cfRule>
  </conditionalFormatting>
  <conditionalFormatting sqref="O38:Q38">
    <cfRule type="expression" dxfId="4" priority="25">
      <formula>value(mid(L38,11,2))&gt;=N16</formula>
    </cfRule>
  </conditionalFormatting>
  <conditionalFormatting sqref="O38:Q38">
    <cfRule type="expression" dxfId="5" priority="26">
      <formula>value(mid(L38,11,2))=1</formula>
    </cfRule>
  </conditionalFormatting>
  <conditionalFormatting sqref="O39:Q39">
    <cfRule type="expression" dxfId="6" priority="27">
      <formula>and(M32&lt;-3,value(mid(L38,11,2))=1)</formula>
    </cfRule>
  </conditionalFormatting>
  <conditionalFormatting sqref="O39:Q39">
    <cfRule type="expression" dxfId="4" priority="28">
      <formula>and(value(mid(L39,11,2))&gt;=N16,M18&gt;5)</formula>
    </cfRule>
  </conditionalFormatting>
  <conditionalFormatting sqref="O39:Q39">
    <cfRule type="expression" dxfId="5" priority="29">
      <formula>and(value(mid(L39,11,2))=1,M18&gt;5)</formula>
    </cfRule>
  </conditionalFormatting>
  <conditionalFormatting sqref="O40:Q40">
    <cfRule type="expression" dxfId="6" priority="30">
      <formula>and(M32&lt;-5,value(mid(L38,11,2))=1)</formula>
    </cfRule>
  </conditionalFormatting>
  <conditionalFormatting sqref="O40:Q40">
    <cfRule type="expression" dxfId="4" priority="31">
      <formula>and(value(mid(L40,11,2))&gt;=N16,M18&gt;10)</formula>
    </cfRule>
  </conditionalFormatting>
  <conditionalFormatting sqref="O40:Q40">
    <cfRule type="expression" dxfId="5" priority="32">
      <formula>and(value(mid(L40,11,2))=1,M18&gt;10)</formula>
    </cfRule>
  </conditionalFormatting>
  <conditionalFormatting sqref="O41:Q41">
    <cfRule type="expression" dxfId="6" priority="33">
      <formula>and(M32&lt;-7,value(mid(L38,11,2))=1)</formula>
    </cfRule>
  </conditionalFormatting>
  <conditionalFormatting sqref="O41:Q41">
    <cfRule type="expression" dxfId="4" priority="34">
      <formula>and(value(mid(L41,11,2))&gt;=N16,M18&gt;15)</formula>
    </cfRule>
  </conditionalFormatting>
  <conditionalFormatting sqref="O41:Q41">
    <cfRule type="expression" dxfId="5" priority="35">
      <formula>and(value(mid(L41,11,2))=1,M18&gt;15)</formula>
    </cfRule>
  </conditionalFormatting>
  <conditionalFormatting sqref="F42:F44 M42">
    <cfRule type="expression" dxfId="3" priority="36">
      <formula>value(mid(indirect("$E$"&amp;row()),11,2))&gt;=$G$14</formula>
    </cfRule>
  </conditionalFormatting>
  <conditionalFormatting sqref="F42:F44 M42">
    <cfRule type="expression" dxfId="6" priority="37">
      <formula>value(mid(indirect("E"&amp;row()),11,2))=1</formula>
    </cfRule>
  </conditionalFormatting>
  <conditionalFormatting sqref="H42:J44 O42">
    <cfRule type="expression" dxfId="3" priority="38">
      <formula>value(mid(indirect("E"&amp;row()),11,2))&gt;=$G$14</formula>
    </cfRule>
  </conditionalFormatting>
  <conditionalFormatting sqref="H42:J44 O42">
    <cfRule type="expression" dxfId="6" priority="39">
      <formula>value(mid(indirect("E"&amp;row()),11,2))=1</formula>
    </cfRule>
  </conditionalFormatting>
  <conditionalFormatting sqref="E2:Z3">
    <cfRule type="expression" dxfId="7" priority="40">
      <formula>indirect("static")</formula>
    </cfRule>
  </conditionalFormatting>
  <conditionalFormatting sqref="E4:E9">
    <cfRule type="expression" dxfId="7" priority="41">
      <formula>indirect("static")</formula>
    </cfRule>
  </conditionalFormatting>
  <conditionalFormatting sqref="AB2:AD2">
    <cfRule type="expression" dxfId="7" priority="42">
      <formula>indirect("static")</formula>
    </cfRule>
  </conditionalFormatting>
  <conditionalFormatting sqref="AB3:AC15 AB17:AC18 AB20:AC26">
    <cfRule type="expression" dxfId="7" priority="43">
      <formula>indirect("static")</formula>
    </cfRule>
  </conditionalFormatting>
  <conditionalFormatting sqref="B2:C3">
    <cfRule type="expression" dxfId="7" priority="44">
      <formula>indirect("static")</formula>
    </cfRule>
  </conditionalFormatting>
  <conditionalFormatting sqref="B7:B20">
    <cfRule type="expression" dxfId="7" priority="45">
      <formula>indirect("static")</formula>
    </cfRule>
  </conditionalFormatting>
  <conditionalFormatting sqref="B22:C22">
    <cfRule type="expression" dxfId="7" priority="46">
      <formula>indirect("static")</formula>
    </cfRule>
  </conditionalFormatting>
  <conditionalFormatting sqref="B23:B25">
    <cfRule type="expression" dxfId="7" priority="47">
      <formula>indirect("static")</formula>
    </cfRule>
  </conditionalFormatting>
  <conditionalFormatting sqref="B26:C26">
    <cfRule type="expression" dxfId="7" priority="48">
      <formula>indirect("static")</formula>
    </cfRule>
  </conditionalFormatting>
  <conditionalFormatting sqref="B28:C28">
    <cfRule type="expression" dxfId="7" priority="49">
      <formula>indirect("static")</formula>
    </cfRule>
  </conditionalFormatting>
  <conditionalFormatting sqref="B29:B30">
    <cfRule type="expression" dxfId="7" priority="50">
      <formula>indirect("static")</formula>
    </cfRule>
  </conditionalFormatting>
  <conditionalFormatting sqref="B32:C32">
    <cfRule type="expression" dxfId="7" priority="51">
      <formula>indirect("static")</formula>
    </cfRule>
  </conditionalFormatting>
  <conditionalFormatting sqref="B33:B35">
    <cfRule type="expression" dxfId="7" priority="52">
      <formula>indirect("static")</formula>
    </cfRule>
  </conditionalFormatting>
  <conditionalFormatting sqref="B37:C37">
    <cfRule type="expression" dxfId="7" priority="53">
      <formula>indirect("static")</formula>
    </cfRule>
  </conditionalFormatting>
  <conditionalFormatting sqref="B41:C41">
    <cfRule type="expression" dxfId="7" priority="54">
      <formula>indirect("static")</formula>
    </cfRule>
  </conditionalFormatting>
  <conditionalFormatting sqref="B42:B45">
    <cfRule type="expression" dxfId="7" priority="55">
      <formula>indirect("static")</formula>
    </cfRule>
  </conditionalFormatting>
  <conditionalFormatting sqref="E12:F15">
    <cfRule type="expression" dxfId="7" priority="56">
      <formula>indirect("static")</formula>
    </cfRule>
  </conditionalFormatting>
  <conditionalFormatting sqref="G11">
    <cfRule type="expression" dxfId="7" priority="57">
      <formula>indirect("static")</formula>
    </cfRule>
  </conditionalFormatting>
  <conditionalFormatting sqref="I11">
    <cfRule type="expression" dxfId="7" priority="58">
      <formula>indirect("static")</formula>
    </cfRule>
  </conditionalFormatting>
  <conditionalFormatting sqref="G15:J15">
    <cfRule type="expression" dxfId="7" priority="59">
      <formula>indirect("static")</formula>
    </cfRule>
  </conditionalFormatting>
  <conditionalFormatting sqref="E16">
    <cfRule type="expression" dxfId="7" priority="60">
      <formula>indirect("static")</formula>
    </cfRule>
  </conditionalFormatting>
  <conditionalFormatting sqref="E18:E37">
    <cfRule type="expression" dxfId="7" priority="61">
      <formula>indirect("static")</formula>
    </cfRule>
  </conditionalFormatting>
  <conditionalFormatting sqref="G16:G30">
    <cfRule type="expression" dxfId="7" priority="62">
      <formula>indirect("static")</formula>
    </cfRule>
  </conditionalFormatting>
  <conditionalFormatting sqref="L12:M17">
    <cfRule type="expression" dxfId="7" priority="63">
      <formula>indirect("static")</formula>
    </cfRule>
  </conditionalFormatting>
  <conditionalFormatting sqref="L18:L36">
    <cfRule type="expression" dxfId="7" priority="64">
      <formula>indirect("static")</formula>
    </cfRule>
  </conditionalFormatting>
  <conditionalFormatting sqref="N17:Q17">
    <cfRule type="expression" dxfId="7" priority="65">
      <formula>indirect("static")</formula>
    </cfRule>
  </conditionalFormatting>
  <conditionalFormatting sqref="N18:N31">
    <cfRule type="expression" dxfId="7" priority="66">
      <formula>indirect("static")</formula>
    </cfRule>
  </conditionalFormatting>
  <conditionalFormatting sqref="N11">
    <cfRule type="expression" dxfId="7" priority="67">
      <formula>indirect("static")</formula>
    </cfRule>
  </conditionalFormatting>
  <conditionalFormatting sqref="P11">
    <cfRule type="expression" dxfId="7" priority="68">
      <formula>indirect("static")</formula>
    </cfRule>
  </conditionalFormatting>
  <conditionalFormatting sqref="S11:T11">
    <cfRule type="expression" dxfId="7" priority="69">
      <formula>indirect("static")</formula>
    </cfRule>
  </conditionalFormatting>
  <conditionalFormatting sqref="S12:S37">
    <cfRule type="expression" dxfId="7" priority="70">
      <formula>indirect("static")</formula>
    </cfRule>
  </conditionalFormatting>
  <conditionalFormatting sqref="S39:S41">
    <cfRule type="expression" dxfId="7" priority="71">
      <formula>indirect("static")</formula>
    </cfRule>
  </conditionalFormatting>
  <conditionalFormatting sqref="V11:Z12">
    <cfRule type="expression" dxfId="7" priority="72">
      <formula>indirect("static")</formula>
    </cfRule>
  </conditionalFormatting>
  <conditionalFormatting sqref="V13:V34 V36">
    <cfRule type="expression" dxfId="7" priority="73">
      <formula>indirect("static")</formula>
    </cfRule>
  </conditionalFormatting>
  <conditionalFormatting sqref="V38:W38">
    <cfRule type="expression" dxfId="7" priority="74">
      <formula>indirect("static")</formula>
    </cfRule>
  </conditionalFormatting>
  <conditionalFormatting sqref="Y38:Z38">
    <cfRule type="expression" dxfId="7" priority="75">
      <formula>indirect("static")</formula>
    </cfRule>
  </conditionalFormatting>
  <conditionalFormatting sqref="V41">
    <cfRule type="expression" dxfId="7" priority="76">
      <formula>indirect("static")</formula>
    </cfRule>
  </conditionalFormatting>
  <conditionalFormatting sqref="Y41">
    <cfRule type="expression" dxfId="7" priority="77">
      <formula>indirect("static")</formula>
    </cfRule>
  </conditionalFormatting>
  <conditionalFormatting sqref="V43:Y45">
    <cfRule type="expression" dxfId="7" priority="78">
      <formula>indirect("static")</formula>
    </cfRule>
  </conditionalFormatting>
  <conditionalFormatting sqref="C4:C6">
    <cfRule type="expression" dxfId="8" priority="79">
      <formula>indirect("free")</formula>
    </cfRule>
  </conditionalFormatting>
  <conditionalFormatting sqref="B4:B6">
    <cfRule type="expression" dxfId="8" priority="80">
      <formula>indirect("free")</formula>
    </cfRule>
  </conditionalFormatting>
  <conditionalFormatting sqref="C8:C19">
    <cfRule type="expression" dxfId="8" priority="81">
      <formula>indirect("free")</formula>
    </cfRule>
  </conditionalFormatting>
  <conditionalFormatting sqref="C25 C23 C29 B38:C39 C42:C43 F4:F9 H4:L9 M5 M7:M9 N4:S9 T7:V9 V4:V6 E11:F11 H11 J11 G12:J14 E17 F18 F24:F26 F37 H17:J17 H19:J19 H22:J24 H30:J37 G31:G37 E45:J45 G30 E37 L36 N31 S37 V34">
    <cfRule type="expression" dxfId="8" priority="82">
      <formula>indirect("free")</formula>
    </cfRule>
  </conditionalFormatting>
  <conditionalFormatting sqref="L11:M11 O11 Q11 N12:Q16 M20 M26:M28 L37:M37 M36 L44:Q45 O19:Q19 O21:Q21 O24:Q26 O31:Q31 N32:Q37">
    <cfRule type="expression" dxfId="8" priority="83">
      <formula>indirect("free")</formula>
    </cfRule>
  </conditionalFormatting>
  <conditionalFormatting sqref="T16">
    <cfRule type="expression" dxfId="7" priority="84">
      <formula>indirect("static")</formula>
    </cfRule>
  </conditionalFormatting>
  <conditionalFormatting sqref="AD3:AD26 T12:T15 W15:X15 Y15:Y16 Z15 AB16:AC16 T19 AB19:AC19 W21:Z22 T24 T26:T29 W30:X30 Y31 Z32 W34:Z35 T37:T38 S38 W41 Z41 Z43">
    <cfRule type="expression" dxfId="8" priority="85">
      <formula>indirect("free")</formula>
    </cfRule>
  </conditionalFormatting>
  <conditionalFormatting sqref="V35">
    <cfRule type="expression" dxfId="8" priority="86">
      <formula>indirect("free")</formula>
    </cfRule>
  </conditionalFormatting>
  <conditionalFormatting sqref="C7 C20 C24 C30 C33:C35 C44:C45 G4:G9 M4 M6 T4:U6 W4:Z9 F16:F17 F19:F23 F27:F36 E38:J44 H16:J16 H18:J18 H20:J21 H25:J29 M18:M19 M21:M25 M29:M35 O18:Q18 O20:Q20 O22:Q23 O27:Q30 L38:Q43 T17:T18 T20:T23 T25 T30:T36 T39:T41 W13:Z14 W16:X16 Z16 Y17 W18:Z20 W23:Z24 Y25 Z26 W27:Z29 W33:Z33 W36:Z36 V39:W39 Y39:Z39">
    <cfRule type="expression" dxfId="9" priority="87">
      <formula>indirect("formula")</formula>
    </cfRule>
  </conditionalFormatting>
  <conditionalFormatting sqref="Z44:Z45">
    <cfRule type="expression" dxfId="10" priority="88">
      <formula>indirect("free")</formula>
    </cfRule>
  </conditionalFormatting>
  <dataValidations>
    <dataValidation type="list" allowBlank="1" sqref="B4:B6">
      <formula1>Sheet4!$M$135:$M$157</formula1>
    </dataValidation>
    <dataValidation type="list" allowBlank="1" showDropDown="1" sqref="C14">
      <formula1>Sheet4!$M$5:$M$13</formula1>
    </dataValidation>
    <dataValidation type="list" allowBlank="1" sqref="E17">
      <formula1>"Strength,Dexterity"</formula1>
    </dataValidation>
    <dataValidation type="list" allowBlank="1" sqref="N12">
      <formula1>"Projectile,Thrown"</formula1>
    </dataValidation>
    <dataValidation type="list" allowBlank="1" sqref="T12">
      <formula1>"Light,Medium,Heavy"</formula1>
    </dataValidation>
    <dataValidation type="list" allowBlank="1" sqref="N13">
      <formula1>"Yes,No"</formula1>
    </dataValidation>
    <dataValidation type="list" allowBlank="1" sqref="AB16">
      <formula1>"Helpless,vs Helpless Opponent"</formula1>
    </dataValidation>
    <dataValidation type="list" allowBlank="1" sqref="AB19">
      <formula1>"Prone (defending vs ranged),Prone (defending vs melee)"</formula1>
    </dataValidation>
    <dataValidation type="list" allowBlank="1" sqref="G12">
      <formula1>"Two Hands,Main Hand,Off Hand"</formula1>
    </dataValidation>
    <dataValidation type="list" allowBlank="1" sqref="C15">
      <formula1>Sheet4!$N$4:$O$4</formula1>
    </dataValidation>
    <dataValidation type="list" allowBlank="1" sqref="C42">
      <formula1>"INT,WIS,CHA"</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29"/>
    <col customWidth="1" min="2" max="2" width="28.71"/>
    <col customWidth="1" min="13" max="13" width="1.29"/>
    <col customWidth="1" min="14" max="14" width="18.71"/>
    <col customWidth="1" min="15" max="15" width="13.0"/>
    <col customWidth="1" min="16" max="16" width="4.0"/>
    <col customWidth="1" min="17" max="17" width="1.29"/>
  </cols>
  <sheetData>
    <row r="2">
      <c r="B2" s="51" t="s">
        <v>411</v>
      </c>
      <c r="C2" s="4"/>
      <c r="D2" s="51" t="s">
        <v>412</v>
      </c>
      <c r="E2" s="4"/>
      <c r="F2" s="51" t="s">
        <v>319</v>
      </c>
      <c r="G2" s="4"/>
      <c r="H2" s="51" t="s">
        <v>320</v>
      </c>
      <c r="I2" s="4"/>
      <c r="J2" s="51" t="s">
        <v>321</v>
      </c>
      <c r="K2" s="4"/>
      <c r="L2" s="198" t="s">
        <v>413</v>
      </c>
    </row>
    <row r="3">
      <c r="B3" s="107" t="s">
        <v>414</v>
      </c>
      <c r="C3" s="11"/>
      <c r="D3" s="107"/>
      <c r="E3" s="11"/>
      <c r="F3" s="107"/>
      <c r="G3" s="11"/>
      <c r="H3" s="107"/>
      <c r="I3" s="11"/>
      <c r="J3" s="107"/>
      <c r="K3" s="11"/>
      <c r="L3" s="24"/>
    </row>
    <row r="4">
      <c r="B4" s="114" t="s">
        <v>415</v>
      </c>
      <c r="C4" s="4"/>
      <c r="D4" s="114"/>
      <c r="E4" s="4"/>
      <c r="F4" s="114"/>
      <c r="G4" s="4"/>
      <c r="H4" s="114"/>
      <c r="I4" s="4"/>
      <c r="J4" s="114"/>
      <c r="K4" s="4"/>
      <c r="L4" s="18"/>
    </row>
    <row r="5">
      <c r="B5" s="107" t="s">
        <v>416</v>
      </c>
      <c r="C5" s="11"/>
      <c r="D5" s="25"/>
      <c r="E5" s="11"/>
      <c r="F5" s="107"/>
      <c r="G5" s="11"/>
      <c r="H5" s="25"/>
      <c r="I5" s="11"/>
      <c r="J5" s="25"/>
      <c r="K5" s="11"/>
      <c r="L5" s="199"/>
    </row>
    <row r="6">
      <c r="B6" s="114" t="str">
        <f t="shared" ref="B6:B8" si="1">B3&amp;" Class Skills"</f>
        <v>Custom 1 Class Skills</v>
      </c>
      <c r="C6" s="3"/>
      <c r="D6" s="4"/>
      <c r="E6" s="200"/>
      <c r="F6" s="3"/>
      <c r="G6" s="3"/>
      <c r="H6" s="3"/>
      <c r="I6" s="3"/>
      <c r="J6" s="3"/>
      <c r="K6" s="3"/>
      <c r="L6" s="4"/>
    </row>
    <row r="7">
      <c r="B7" s="107" t="str">
        <f t="shared" si="1"/>
        <v>Custom 2 Class Skills</v>
      </c>
      <c r="C7" s="10"/>
      <c r="D7" s="11"/>
      <c r="E7" s="201"/>
      <c r="F7" s="10"/>
      <c r="G7" s="10"/>
      <c r="H7" s="10"/>
      <c r="I7" s="10"/>
      <c r="J7" s="10"/>
      <c r="K7" s="10"/>
      <c r="L7" s="11"/>
    </row>
    <row r="8">
      <c r="B8" s="114" t="str">
        <f t="shared" si="1"/>
        <v>Custom 3 Class Skills</v>
      </c>
      <c r="C8" s="3"/>
      <c r="D8" s="4"/>
      <c r="E8" s="200"/>
      <c r="F8" s="3"/>
      <c r="G8" s="3"/>
      <c r="H8" s="3"/>
      <c r="I8" s="3"/>
      <c r="J8" s="3"/>
      <c r="K8" s="3"/>
      <c r="L8" s="4"/>
    </row>
    <row r="10">
      <c r="B10" s="51" t="s">
        <v>417</v>
      </c>
      <c r="C10" s="202"/>
      <c r="D10" s="202"/>
      <c r="E10" s="202"/>
      <c r="F10" s="202"/>
      <c r="G10" s="202"/>
      <c r="H10" s="202"/>
      <c r="I10" s="202"/>
      <c r="J10" s="202"/>
      <c r="K10" s="202"/>
      <c r="L10" s="203"/>
      <c r="N10" s="51" t="s">
        <v>418</v>
      </c>
      <c r="O10" s="3"/>
      <c r="P10" s="4"/>
    </row>
    <row r="11">
      <c r="B11" s="24" t="s">
        <v>268</v>
      </c>
      <c r="C11" s="7" t="s">
        <v>419</v>
      </c>
      <c r="D11" s="7" t="s">
        <v>420</v>
      </c>
      <c r="E11" s="204" t="s">
        <v>421</v>
      </c>
      <c r="F11" s="202"/>
      <c r="G11" s="202"/>
      <c r="H11" s="202"/>
      <c r="I11" s="202"/>
      <c r="J11" s="202"/>
      <c r="K11" s="202"/>
      <c r="L11" s="203"/>
      <c r="N11" s="205" t="s">
        <v>392</v>
      </c>
      <c r="O11" s="174"/>
      <c r="P11" s="170" t="b">
        <v>0</v>
      </c>
    </row>
    <row r="12">
      <c r="B12" s="206"/>
      <c r="C12" s="207"/>
      <c r="D12" s="207"/>
      <c r="E12" s="208"/>
      <c r="F12" s="3"/>
      <c r="G12" s="3"/>
      <c r="H12" s="3"/>
      <c r="I12" s="3"/>
      <c r="J12" s="3"/>
      <c r="K12" s="3"/>
      <c r="L12" s="4"/>
      <c r="N12" s="149" t="s">
        <v>367</v>
      </c>
      <c r="O12" s="4"/>
      <c r="P12" s="63" t="b">
        <v>0</v>
      </c>
    </row>
    <row r="13">
      <c r="B13" s="209"/>
      <c r="C13" s="210"/>
      <c r="D13" s="210"/>
      <c r="E13" s="211"/>
      <c r="F13" s="10"/>
      <c r="G13" s="10"/>
      <c r="H13" s="10"/>
      <c r="I13" s="10"/>
      <c r="J13" s="10"/>
      <c r="K13" s="10"/>
      <c r="L13" s="11"/>
      <c r="N13" s="57" t="s">
        <v>370</v>
      </c>
      <c r="O13" s="11"/>
      <c r="P13" s="55" t="b">
        <v>0</v>
      </c>
    </row>
    <row r="14">
      <c r="B14" s="206"/>
      <c r="C14" s="207"/>
      <c r="D14" s="207"/>
      <c r="E14" s="208"/>
      <c r="F14" s="3"/>
      <c r="G14" s="3"/>
      <c r="H14" s="3"/>
      <c r="I14" s="3"/>
      <c r="J14" s="3"/>
      <c r="K14" s="3"/>
      <c r="L14" s="4"/>
      <c r="N14" s="63" t="s">
        <v>422</v>
      </c>
      <c r="O14" s="162">
        <v>0.0</v>
      </c>
      <c r="P14" s="63" t="b">
        <v>0</v>
      </c>
    </row>
    <row r="15">
      <c r="B15" s="209"/>
      <c r="C15" s="210"/>
      <c r="D15" s="210"/>
      <c r="E15" s="211"/>
      <c r="F15" s="10"/>
      <c r="G15" s="10"/>
      <c r="H15" s="10"/>
      <c r="I15" s="10"/>
      <c r="J15" s="10"/>
      <c r="K15" s="10"/>
      <c r="L15" s="11"/>
      <c r="N15" s="57" t="s">
        <v>423</v>
      </c>
      <c r="O15" s="11"/>
      <c r="P15" s="55" t="b">
        <v>0</v>
      </c>
    </row>
    <row r="16">
      <c r="B16" s="206"/>
      <c r="C16" s="207"/>
      <c r="D16" s="207"/>
      <c r="E16" s="208"/>
      <c r="F16" s="3"/>
      <c r="G16" s="3"/>
      <c r="H16" s="3"/>
      <c r="I16" s="3"/>
      <c r="J16" s="3"/>
      <c r="K16" s="3"/>
      <c r="L16" s="4"/>
      <c r="N16" s="149" t="s">
        <v>20</v>
      </c>
      <c r="O16" s="4"/>
      <c r="P16" s="63">
        <v>0.0</v>
      </c>
    </row>
    <row r="17">
      <c r="B17" s="209"/>
      <c r="C17" s="210"/>
      <c r="D17" s="210"/>
      <c r="E17" s="211"/>
      <c r="F17" s="10"/>
      <c r="G17" s="10"/>
      <c r="H17" s="10"/>
      <c r="I17" s="10"/>
      <c r="J17" s="10"/>
      <c r="K17" s="10"/>
      <c r="L17" s="11"/>
      <c r="N17" s="57" t="s">
        <v>424</v>
      </c>
      <c r="O17" s="11"/>
      <c r="P17" s="55" t="b">
        <v>0</v>
      </c>
    </row>
    <row r="18">
      <c r="B18" s="206"/>
      <c r="C18" s="207"/>
      <c r="D18" s="207"/>
      <c r="E18" s="208"/>
      <c r="F18" s="3"/>
      <c r="G18" s="3"/>
      <c r="H18" s="3"/>
      <c r="I18" s="3"/>
      <c r="J18" s="3"/>
      <c r="K18" s="3"/>
      <c r="L18" s="4"/>
      <c r="N18" s="149" t="s">
        <v>425</v>
      </c>
      <c r="O18" s="4"/>
      <c r="P18" s="63" t="b">
        <v>0</v>
      </c>
    </row>
    <row r="19">
      <c r="B19" s="209"/>
      <c r="C19" s="210"/>
      <c r="D19" s="210"/>
      <c r="E19" s="211"/>
      <c r="F19" s="10"/>
      <c r="G19" s="10"/>
      <c r="H19" s="10"/>
      <c r="I19" s="10"/>
      <c r="J19" s="10"/>
      <c r="K19" s="10"/>
      <c r="L19" s="11"/>
      <c r="N19" s="57" t="s">
        <v>426</v>
      </c>
      <c r="O19" s="11"/>
      <c r="P19" s="55" t="b">
        <v>0</v>
      </c>
    </row>
    <row r="20">
      <c r="B20" s="206"/>
      <c r="C20" s="207"/>
      <c r="D20" s="207"/>
      <c r="E20" s="208"/>
      <c r="F20" s="3"/>
      <c r="G20" s="3"/>
      <c r="H20" s="3"/>
      <c r="I20" s="3"/>
      <c r="J20" s="3"/>
      <c r="K20" s="3"/>
      <c r="L20" s="4"/>
      <c r="N20" s="149" t="s">
        <v>427</v>
      </c>
      <c r="O20" s="4"/>
      <c r="P20" s="63" t="b">
        <v>0</v>
      </c>
    </row>
    <row r="21">
      <c r="B21" s="209"/>
      <c r="C21" s="210"/>
      <c r="D21" s="210"/>
      <c r="E21" s="211"/>
      <c r="F21" s="10"/>
      <c r="G21" s="10"/>
      <c r="H21" s="10"/>
      <c r="I21" s="10"/>
      <c r="J21" s="10"/>
      <c r="K21" s="10"/>
      <c r="L21" s="11"/>
      <c r="N21" s="57" t="s">
        <v>428</v>
      </c>
      <c r="O21" s="11"/>
      <c r="P21" s="55" t="b">
        <v>0</v>
      </c>
    </row>
    <row r="22">
      <c r="B22" s="206"/>
      <c r="C22" s="207"/>
      <c r="D22" s="207"/>
      <c r="E22" s="208"/>
      <c r="F22" s="3"/>
      <c r="G22" s="3"/>
      <c r="H22" s="3"/>
      <c r="I22" s="3"/>
      <c r="J22" s="3"/>
      <c r="K22" s="3"/>
      <c r="L22" s="4"/>
      <c r="N22" s="149" t="s">
        <v>390</v>
      </c>
      <c r="O22" s="4"/>
      <c r="P22" s="63" t="b">
        <v>0</v>
      </c>
    </row>
    <row r="23">
      <c r="B23" s="209"/>
      <c r="C23" s="210"/>
      <c r="D23" s="210"/>
      <c r="E23" s="211"/>
      <c r="F23" s="10"/>
      <c r="G23" s="10"/>
      <c r="H23" s="10"/>
      <c r="I23" s="10"/>
      <c r="J23" s="10"/>
      <c r="K23" s="10"/>
      <c r="L23" s="11"/>
      <c r="M23" s="212"/>
      <c r="N23" s="57" t="s">
        <v>429</v>
      </c>
      <c r="O23" s="11"/>
      <c r="P23" s="55" t="b">
        <v>0</v>
      </c>
      <c r="Q23" s="212"/>
    </row>
    <row r="24">
      <c r="B24" s="213"/>
      <c r="C24" s="214"/>
      <c r="D24" s="207"/>
      <c r="E24" s="208"/>
      <c r="F24" s="3"/>
      <c r="G24" s="3"/>
      <c r="H24" s="3"/>
      <c r="I24" s="3"/>
      <c r="J24" s="3"/>
      <c r="K24" s="3"/>
      <c r="L24" s="4"/>
      <c r="M24" s="212"/>
      <c r="N24" s="149" t="s">
        <v>369</v>
      </c>
      <c r="O24" s="4"/>
      <c r="P24" s="63" t="b">
        <v>0</v>
      </c>
      <c r="Q24" s="212"/>
    </row>
    <row r="25">
      <c r="B25" s="215"/>
      <c r="C25" s="216"/>
      <c r="D25" s="24"/>
      <c r="E25" s="211"/>
      <c r="F25" s="10"/>
      <c r="G25" s="10"/>
      <c r="H25" s="10"/>
      <c r="I25" s="10"/>
      <c r="J25" s="10"/>
      <c r="K25" s="10"/>
      <c r="L25" s="11"/>
      <c r="M25" s="212"/>
      <c r="N25" s="57" t="s">
        <v>430</v>
      </c>
      <c r="O25" s="11"/>
      <c r="P25" s="55" t="b">
        <v>0</v>
      </c>
      <c r="Q25" s="212"/>
    </row>
    <row r="26">
      <c r="B26" s="206"/>
      <c r="C26" s="207"/>
      <c r="D26" s="207"/>
      <c r="E26" s="208"/>
      <c r="F26" s="3"/>
      <c r="G26" s="3"/>
      <c r="H26" s="3"/>
      <c r="I26" s="3"/>
      <c r="J26" s="3"/>
      <c r="K26" s="3"/>
      <c r="L26" s="4"/>
      <c r="M26" s="212"/>
      <c r="N26" s="149" t="s">
        <v>431</v>
      </c>
      <c r="O26" s="4"/>
      <c r="P26" s="63" t="b">
        <v>0</v>
      </c>
      <c r="Q26" s="212"/>
    </row>
    <row r="27">
      <c r="B27" s="209"/>
      <c r="C27" s="210"/>
      <c r="D27" s="210"/>
      <c r="E27" s="211"/>
      <c r="F27" s="10"/>
      <c r="G27" s="10"/>
      <c r="H27" s="10"/>
      <c r="I27" s="10"/>
      <c r="J27" s="10"/>
      <c r="K27" s="10"/>
      <c r="L27" s="11"/>
      <c r="M27" s="212"/>
      <c r="N27" s="57" t="s">
        <v>432</v>
      </c>
      <c r="O27" s="11"/>
      <c r="P27" s="55" t="b">
        <v>0</v>
      </c>
      <c r="Q27" s="212"/>
    </row>
    <row r="28">
      <c r="B28" s="206"/>
      <c r="C28" s="207"/>
      <c r="D28" s="207"/>
      <c r="E28" s="208"/>
      <c r="F28" s="3"/>
      <c r="G28" s="3"/>
      <c r="H28" s="3"/>
      <c r="I28" s="3"/>
      <c r="J28" s="3"/>
      <c r="K28" s="3"/>
      <c r="L28" s="4"/>
      <c r="M28" s="212"/>
      <c r="N28" s="212"/>
      <c r="O28" s="212"/>
      <c r="P28" s="212"/>
      <c r="Q28" s="212"/>
    </row>
    <row r="29">
      <c r="B29" s="209"/>
      <c r="C29" s="210"/>
      <c r="D29" s="210"/>
      <c r="E29" s="211"/>
      <c r="F29" s="10"/>
      <c r="G29" s="10"/>
      <c r="H29" s="10"/>
      <c r="I29" s="10"/>
      <c r="J29" s="10"/>
      <c r="K29" s="10"/>
      <c r="L29" s="11"/>
      <c r="M29" s="212"/>
      <c r="N29" s="212"/>
      <c r="O29" s="212"/>
      <c r="P29" s="212"/>
      <c r="Q29" s="212"/>
    </row>
    <row r="30">
      <c r="B30" s="206"/>
      <c r="C30" s="207"/>
      <c r="D30" s="207"/>
      <c r="E30" s="208"/>
      <c r="F30" s="3"/>
      <c r="G30" s="3"/>
      <c r="H30" s="3"/>
      <c r="I30" s="3"/>
      <c r="J30" s="3"/>
      <c r="K30" s="3"/>
      <c r="L30" s="4"/>
      <c r="M30" s="212"/>
      <c r="N30" s="212"/>
      <c r="O30" s="212"/>
      <c r="P30" s="212"/>
      <c r="Q30" s="212"/>
    </row>
    <row r="31">
      <c r="B31" s="209"/>
      <c r="C31" s="210"/>
      <c r="D31" s="210"/>
      <c r="E31" s="211"/>
      <c r="F31" s="10"/>
      <c r="G31" s="10"/>
      <c r="H31" s="10"/>
      <c r="I31" s="10"/>
      <c r="J31" s="10"/>
      <c r="K31" s="10"/>
      <c r="L31" s="11"/>
      <c r="M31" s="212"/>
      <c r="N31" s="212"/>
      <c r="O31" s="212"/>
      <c r="P31" s="212"/>
      <c r="Q31" s="212"/>
    </row>
    <row r="32">
      <c r="B32" s="206"/>
      <c r="C32" s="207"/>
      <c r="D32" s="207"/>
      <c r="E32" s="208"/>
      <c r="F32" s="3"/>
      <c r="G32" s="3"/>
      <c r="H32" s="3"/>
      <c r="I32" s="3"/>
      <c r="J32" s="3"/>
      <c r="K32" s="3"/>
      <c r="L32" s="4"/>
      <c r="M32" s="212"/>
      <c r="N32" s="212"/>
      <c r="O32" s="212"/>
      <c r="P32" s="212"/>
      <c r="Q32" s="212"/>
    </row>
    <row r="33">
      <c r="B33" s="209"/>
      <c r="C33" s="210"/>
      <c r="D33" s="210"/>
      <c r="E33" s="211"/>
      <c r="F33" s="10"/>
      <c r="G33" s="10"/>
      <c r="H33" s="10"/>
      <c r="I33" s="10"/>
      <c r="J33" s="10"/>
      <c r="K33" s="10"/>
      <c r="L33" s="11"/>
      <c r="M33" s="212"/>
      <c r="N33" s="212"/>
      <c r="O33" s="212"/>
      <c r="P33" s="212"/>
      <c r="Q33" s="212"/>
    </row>
    <row r="34">
      <c r="B34" s="206"/>
      <c r="C34" s="207"/>
      <c r="D34" s="207"/>
      <c r="E34" s="208"/>
      <c r="F34" s="3"/>
      <c r="G34" s="3"/>
      <c r="H34" s="3"/>
      <c r="I34" s="3"/>
      <c r="J34" s="3"/>
      <c r="K34" s="3"/>
      <c r="L34" s="4"/>
      <c r="M34" s="212"/>
      <c r="N34" s="212"/>
      <c r="O34" s="212"/>
      <c r="P34" s="212"/>
      <c r="Q34" s="212"/>
    </row>
    <row r="35">
      <c r="B35" s="209"/>
      <c r="C35" s="210"/>
      <c r="D35" s="210"/>
      <c r="E35" s="211"/>
      <c r="F35" s="10"/>
      <c r="G35" s="10"/>
      <c r="H35" s="10"/>
      <c r="I35" s="10"/>
      <c r="J35" s="10"/>
      <c r="K35" s="10"/>
      <c r="L35" s="11"/>
      <c r="M35" s="212"/>
      <c r="N35" s="212"/>
      <c r="O35" s="212"/>
      <c r="P35" s="212"/>
      <c r="Q35" s="212"/>
    </row>
    <row r="36">
      <c r="B36" s="217"/>
      <c r="C36" s="218"/>
      <c r="D36" s="219"/>
      <c r="E36" s="220"/>
      <c r="F36" s="221"/>
      <c r="G36" s="221"/>
      <c r="H36" s="221"/>
      <c r="I36" s="221"/>
      <c r="J36" s="221"/>
      <c r="K36" s="221"/>
      <c r="L36" s="222"/>
      <c r="M36" s="212"/>
      <c r="N36" s="212"/>
      <c r="O36" s="212"/>
      <c r="P36" s="212"/>
      <c r="Q36" s="212"/>
    </row>
    <row r="37">
      <c r="B37" s="223"/>
      <c r="C37" s="224"/>
      <c r="D37" s="224"/>
      <c r="E37" s="225"/>
      <c r="F37" s="173"/>
      <c r="G37" s="173"/>
      <c r="H37" s="173"/>
      <c r="I37" s="173"/>
      <c r="J37" s="173"/>
      <c r="K37" s="173"/>
      <c r="L37" s="174"/>
      <c r="M37" s="212"/>
      <c r="N37" s="212"/>
      <c r="O37" s="212"/>
      <c r="P37" s="212"/>
      <c r="Q37" s="212"/>
    </row>
    <row r="38">
      <c r="B38" s="226"/>
      <c r="C38" s="227"/>
      <c r="D38" s="227"/>
      <c r="E38" s="220"/>
      <c r="F38" s="221"/>
      <c r="G38" s="221"/>
      <c r="H38" s="221"/>
      <c r="I38" s="221"/>
      <c r="J38" s="221"/>
      <c r="K38" s="221"/>
      <c r="L38" s="222"/>
      <c r="M38" s="212"/>
      <c r="N38" s="212"/>
      <c r="O38" s="212"/>
      <c r="P38" s="212"/>
      <c r="Q38" s="212"/>
    </row>
    <row r="39">
      <c r="B39" s="228"/>
      <c r="C39" s="229"/>
      <c r="D39" s="229"/>
      <c r="E39" s="225"/>
      <c r="F39" s="173"/>
      <c r="G39" s="173"/>
      <c r="H39" s="173"/>
      <c r="I39" s="173"/>
      <c r="J39" s="173"/>
      <c r="K39" s="173"/>
      <c r="L39" s="174"/>
      <c r="M39" s="212"/>
      <c r="N39" s="212"/>
      <c r="O39" s="212"/>
      <c r="P39" s="212"/>
      <c r="Q39" s="212"/>
    </row>
    <row r="40">
      <c r="B40" s="226"/>
      <c r="C40" s="227"/>
      <c r="D40" s="227"/>
      <c r="E40" s="220"/>
      <c r="F40" s="221"/>
      <c r="G40" s="221"/>
      <c r="H40" s="221"/>
      <c r="I40" s="221"/>
      <c r="J40" s="221"/>
      <c r="K40" s="221"/>
      <c r="L40" s="222"/>
      <c r="M40" s="212"/>
      <c r="N40" s="212"/>
      <c r="O40" s="212"/>
      <c r="P40" s="212"/>
      <c r="Q40" s="212"/>
    </row>
    <row r="41">
      <c r="B41" s="228"/>
      <c r="C41" s="229"/>
      <c r="D41" s="229"/>
      <c r="E41" s="225"/>
      <c r="F41" s="173"/>
      <c r="G41" s="173"/>
      <c r="H41" s="173"/>
      <c r="I41" s="173"/>
      <c r="J41" s="173"/>
      <c r="K41" s="173"/>
      <c r="L41" s="174"/>
      <c r="M41" s="212"/>
      <c r="N41" s="212"/>
      <c r="O41" s="212"/>
      <c r="P41" s="212"/>
      <c r="Q41" s="212"/>
    </row>
    <row r="42">
      <c r="B42" s="226"/>
      <c r="C42" s="227"/>
      <c r="D42" s="227"/>
      <c r="E42" s="220"/>
      <c r="F42" s="221"/>
      <c r="G42" s="221"/>
      <c r="H42" s="221"/>
      <c r="I42" s="221"/>
      <c r="J42" s="221"/>
      <c r="K42" s="221"/>
      <c r="L42" s="222"/>
      <c r="M42" s="212"/>
      <c r="N42" s="212"/>
      <c r="O42" s="212"/>
      <c r="P42" s="212"/>
      <c r="Q42" s="212"/>
    </row>
    <row r="43">
      <c r="B43" s="228"/>
      <c r="C43" s="229"/>
      <c r="D43" s="229"/>
      <c r="E43" s="225"/>
      <c r="F43" s="173"/>
      <c r="G43" s="173"/>
      <c r="H43" s="173"/>
      <c r="I43" s="173"/>
      <c r="J43" s="173"/>
      <c r="K43" s="173"/>
      <c r="L43" s="174"/>
      <c r="M43" s="212"/>
      <c r="N43" s="212"/>
      <c r="O43" s="212"/>
      <c r="P43" s="212"/>
      <c r="Q43" s="212"/>
    </row>
    <row r="44">
      <c r="B44" s="226"/>
      <c r="C44" s="227"/>
      <c r="D44" s="227"/>
      <c r="E44" s="220"/>
      <c r="F44" s="221"/>
      <c r="G44" s="221"/>
      <c r="H44" s="221"/>
      <c r="I44" s="221"/>
      <c r="J44" s="221"/>
      <c r="K44" s="221"/>
      <c r="L44" s="222"/>
      <c r="M44" s="212"/>
      <c r="N44" s="212"/>
      <c r="O44" s="212"/>
      <c r="P44" s="212"/>
      <c r="Q44" s="212"/>
    </row>
    <row r="45">
      <c r="B45" s="228"/>
      <c r="C45" s="229"/>
      <c r="D45" s="229"/>
      <c r="E45" s="225"/>
      <c r="F45" s="173"/>
      <c r="G45" s="173"/>
      <c r="H45" s="173"/>
      <c r="I45" s="173"/>
      <c r="J45" s="173"/>
      <c r="K45" s="173"/>
      <c r="L45" s="174"/>
      <c r="M45" s="212"/>
      <c r="N45" s="212"/>
      <c r="O45" s="212"/>
      <c r="P45" s="212"/>
      <c r="Q45" s="212"/>
    </row>
    <row r="46">
      <c r="B46" s="226"/>
      <c r="C46" s="227"/>
      <c r="D46" s="227"/>
      <c r="E46" s="220"/>
      <c r="F46" s="221"/>
      <c r="G46" s="221"/>
      <c r="H46" s="221"/>
      <c r="I46" s="221"/>
      <c r="J46" s="221"/>
      <c r="K46" s="221"/>
      <c r="L46" s="222"/>
      <c r="M46" s="212"/>
      <c r="N46" s="212"/>
      <c r="O46" s="212"/>
      <c r="P46" s="212"/>
      <c r="Q46" s="212"/>
    </row>
    <row r="47">
      <c r="B47" s="228"/>
      <c r="C47" s="229"/>
      <c r="D47" s="229"/>
      <c r="E47" s="225"/>
      <c r="F47" s="173"/>
      <c r="G47" s="173"/>
      <c r="H47" s="173"/>
      <c r="I47" s="173"/>
      <c r="J47" s="173"/>
      <c r="K47" s="173"/>
      <c r="L47" s="174"/>
      <c r="M47" s="212"/>
      <c r="N47" s="212"/>
      <c r="O47" s="212"/>
      <c r="P47" s="212"/>
      <c r="Q47" s="212"/>
    </row>
    <row r="48">
      <c r="B48" s="230"/>
      <c r="C48" s="230"/>
      <c r="D48" s="230"/>
      <c r="E48" s="231"/>
      <c r="F48" s="231"/>
      <c r="G48" s="231"/>
      <c r="H48" s="231"/>
      <c r="I48" s="231"/>
      <c r="J48" s="231"/>
      <c r="K48" s="231"/>
      <c r="L48" s="231"/>
      <c r="M48" s="212"/>
      <c r="N48" s="212"/>
      <c r="O48" s="212"/>
      <c r="P48" s="212"/>
      <c r="Q48" s="212"/>
    </row>
  </sheetData>
  <mergeCells count="81">
    <mergeCell ref="N20:O20"/>
    <mergeCell ref="N21:O21"/>
    <mergeCell ref="N12:O12"/>
    <mergeCell ref="N13:O13"/>
    <mergeCell ref="N15:O15"/>
    <mergeCell ref="N16:O16"/>
    <mergeCell ref="N17:O17"/>
    <mergeCell ref="N18:O18"/>
    <mergeCell ref="N19:O19"/>
    <mergeCell ref="N24:O24"/>
    <mergeCell ref="N25:O25"/>
    <mergeCell ref="E21:L21"/>
    <mergeCell ref="E22:L22"/>
    <mergeCell ref="N22:O22"/>
    <mergeCell ref="E23:L23"/>
    <mergeCell ref="N23:O23"/>
    <mergeCell ref="E24:L24"/>
    <mergeCell ref="E25:L25"/>
    <mergeCell ref="E26:L26"/>
    <mergeCell ref="N26:O26"/>
    <mergeCell ref="E27:L27"/>
    <mergeCell ref="N27:O27"/>
    <mergeCell ref="E28:L28"/>
    <mergeCell ref="E29:L29"/>
    <mergeCell ref="E30:L30"/>
    <mergeCell ref="E31:L31"/>
    <mergeCell ref="E32:L32"/>
    <mergeCell ref="E33:L33"/>
    <mergeCell ref="E34:L34"/>
    <mergeCell ref="E35:L35"/>
    <mergeCell ref="E36:L36"/>
    <mergeCell ref="E37:L37"/>
    <mergeCell ref="E45:L45"/>
    <mergeCell ref="E46:L46"/>
    <mergeCell ref="E47:L47"/>
    <mergeCell ref="E38:L38"/>
    <mergeCell ref="E39:L39"/>
    <mergeCell ref="E40:L40"/>
    <mergeCell ref="E41:L41"/>
    <mergeCell ref="E42:L42"/>
    <mergeCell ref="E43:L43"/>
    <mergeCell ref="E44:L44"/>
    <mergeCell ref="F3:G3"/>
    <mergeCell ref="H3:I3"/>
    <mergeCell ref="B2:C2"/>
    <mergeCell ref="D2:E2"/>
    <mergeCell ref="F2:G2"/>
    <mergeCell ref="H2:I2"/>
    <mergeCell ref="J2:K2"/>
    <mergeCell ref="D3:E3"/>
    <mergeCell ref="J3:K3"/>
    <mergeCell ref="H5:I5"/>
    <mergeCell ref="J5:K5"/>
    <mergeCell ref="B3:C3"/>
    <mergeCell ref="B4:C4"/>
    <mergeCell ref="D4:E4"/>
    <mergeCell ref="F4:G4"/>
    <mergeCell ref="H4:I4"/>
    <mergeCell ref="J4:K4"/>
    <mergeCell ref="B5:C5"/>
    <mergeCell ref="D5:E5"/>
    <mergeCell ref="F5:G5"/>
    <mergeCell ref="B6:D6"/>
    <mergeCell ref="E6:L6"/>
    <mergeCell ref="B7:D7"/>
    <mergeCell ref="E7:L7"/>
    <mergeCell ref="B8:D8"/>
    <mergeCell ref="E8:L8"/>
    <mergeCell ref="B10:L10"/>
    <mergeCell ref="N10:P10"/>
    <mergeCell ref="E11:L11"/>
    <mergeCell ref="N11:O11"/>
    <mergeCell ref="E12:L12"/>
    <mergeCell ref="E13:L13"/>
    <mergeCell ref="E14:L14"/>
    <mergeCell ref="E15:L15"/>
    <mergeCell ref="E16:L16"/>
    <mergeCell ref="E17:L17"/>
    <mergeCell ref="E18:L18"/>
    <mergeCell ref="E19:L19"/>
    <mergeCell ref="E20:L20"/>
  </mergeCells>
  <conditionalFormatting sqref="P11:P27 O14">
    <cfRule type="expression" dxfId="8" priority="1">
      <formula>indirect("free")</formula>
    </cfRule>
  </conditionalFormatting>
  <conditionalFormatting sqref="N10:P10 N11:O13 N14 N15:O27">
    <cfRule type="expression" dxfId="7" priority="2">
      <formula>indirect("static")</formula>
    </cfRule>
  </conditionalFormatting>
  <conditionalFormatting sqref="B10:L11 B2:L2">
    <cfRule type="expression" dxfId="7" priority="3">
      <formula>indirect("static")</formula>
    </cfRule>
  </conditionalFormatting>
  <conditionalFormatting sqref="B3:L5 E6:L8 B12:L47">
    <cfRule type="expression" dxfId="8" priority="4">
      <formula>indirect("free")</formula>
    </cfRule>
  </conditionalFormatting>
  <conditionalFormatting sqref="B6:D8">
    <cfRule type="expression" dxfId="11" priority="5">
      <formula>indirect("formula")</formula>
    </cfRule>
  </conditionalFormatting>
  <dataValidations>
    <dataValidation type="list" allowBlank="1" sqref="L3:L5">
      <formula1>"2,4,6,8"</formula1>
    </dataValidation>
    <dataValidation type="list" allowBlank="1" sqref="D3:D5">
      <formula1>"Good BAB,Average BAB,Poor BAB"</formula1>
    </dataValidation>
    <dataValidation type="list" allowBlank="1" sqref="F3:F5 H3:H5 J3:J5">
      <formula1>"Good Save,Poor Save"</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29"/>
    <col customWidth="1" min="2" max="2" width="28.71"/>
    <col customWidth="1" min="5" max="12" width="14.43"/>
    <col customWidth="1" min="13" max="13" width="1.29"/>
    <col customWidth="1" min="14" max="14" width="18.71"/>
    <col customWidth="1" min="15" max="15" width="13.0"/>
    <col customWidth="1" min="16" max="16" width="4.0"/>
    <col customWidth="1" min="17" max="17" width="1.29"/>
  </cols>
  <sheetData>
    <row r="2">
      <c r="B2" s="51" t="s">
        <v>433</v>
      </c>
      <c r="C2" s="202"/>
      <c r="D2" s="202"/>
      <c r="E2" s="202"/>
      <c r="F2" s="202"/>
      <c r="G2" s="202"/>
      <c r="H2" s="202"/>
      <c r="I2" s="202"/>
      <c r="J2" s="202"/>
      <c r="K2" s="202"/>
      <c r="L2" s="203"/>
      <c r="N2" s="51" t="s">
        <v>434</v>
      </c>
      <c r="O2" s="3"/>
      <c r="P2" s="4"/>
    </row>
    <row r="3">
      <c r="B3" s="24" t="s">
        <v>268</v>
      </c>
      <c r="C3" s="7" t="s">
        <v>419</v>
      </c>
      <c r="D3" s="7" t="s">
        <v>420</v>
      </c>
      <c r="E3" s="204" t="s">
        <v>421</v>
      </c>
      <c r="F3" s="202"/>
      <c r="G3" s="202"/>
      <c r="H3" s="202"/>
      <c r="I3" s="202"/>
      <c r="J3" s="202"/>
      <c r="K3" s="202"/>
      <c r="L3" s="203"/>
      <c r="N3" s="205" t="s">
        <v>435</v>
      </c>
      <c r="O3" s="174"/>
      <c r="P3" s="170" t="b">
        <v>0</v>
      </c>
    </row>
    <row r="4">
      <c r="B4" s="206"/>
      <c r="C4" s="207"/>
      <c r="D4" s="207"/>
      <c r="E4" s="208"/>
      <c r="F4" s="3"/>
      <c r="G4" s="3"/>
      <c r="H4" s="3"/>
      <c r="I4" s="3"/>
      <c r="J4" s="3"/>
      <c r="K4" s="3"/>
      <c r="L4" s="4"/>
      <c r="N4" s="149" t="s">
        <v>436</v>
      </c>
      <c r="O4" s="4"/>
      <c r="P4" s="63">
        <v>0.0</v>
      </c>
    </row>
    <row r="5">
      <c r="B5" s="209"/>
      <c r="C5" s="210"/>
      <c r="D5" s="210"/>
      <c r="E5" s="211"/>
      <c r="F5" s="10"/>
      <c r="G5" s="10"/>
      <c r="H5" s="10"/>
      <c r="I5" s="10"/>
      <c r="J5" s="10"/>
      <c r="K5" s="10"/>
      <c r="L5" s="11"/>
      <c r="N5" s="57" t="s">
        <v>346</v>
      </c>
      <c r="O5" s="11"/>
      <c r="P5" s="55" t="b">
        <v>0</v>
      </c>
    </row>
    <row r="6">
      <c r="B6" s="206"/>
      <c r="C6" s="207"/>
      <c r="D6" s="207"/>
      <c r="E6" s="208"/>
      <c r="F6" s="3"/>
      <c r="G6" s="3"/>
      <c r="H6" s="3"/>
      <c r="I6" s="3"/>
      <c r="J6" s="3"/>
      <c r="K6" s="3"/>
      <c r="L6" s="4"/>
      <c r="N6" s="65" t="s">
        <v>388</v>
      </c>
      <c r="O6" s="4"/>
      <c r="P6" s="121" t="s">
        <v>437</v>
      </c>
    </row>
    <row r="7">
      <c r="B7" s="209"/>
      <c r="C7" s="210"/>
      <c r="D7" s="210"/>
      <c r="E7" s="211"/>
      <c r="F7" s="10"/>
      <c r="G7" s="10"/>
      <c r="H7" s="10"/>
      <c r="I7" s="10"/>
      <c r="J7" s="10"/>
      <c r="K7" s="10"/>
      <c r="L7" s="11"/>
      <c r="N7" s="57" t="s">
        <v>438</v>
      </c>
      <c r="O7" s="11"/>
      <c r="P7" s="55" t="b">
        <v>0</v>
      </c>
    </row>
    <row r="8">
      <c r="B8" s="206"/>
      <c r="C8" s="207"/>
      <c r="D8" s="207"/>
      <c r="E8" s="208"/>
      <c r="F8" s="3"/>
      <c r="G8" s="3"/>
      <c r="H8" s="3"/>
      <c r="I8" s="3"/>
      <c r="J8" s="3"/>
      <c r="K8" s="3"/>
      <c r="L8" s="4"/>
      <c r="N8" s="149" t="s">
        <v>439</v>
      </c>
      <c r="O8" s="4"/>
      <c r="P8" s="63" t="b">
        <v>0</v>
      </c>
    </row>
    <row r="9">
      <c r="B9" s="209"/>
      <c r="C9" s="210"/>
      <c r="D9" s="210"/>
      <c r="E9" s="211"/>
      <c r="F9" s="10"/>
      <c r="G9" s="10"/>
      <c r="H9" s="10"/>
      <c r="I9" s="10"/>
      <c r="J9" s="10"/>
      <c r="K9" s="10"/>
      <c r="L9" s="11"/>
      <c r="N9" s="57" t="s">
        <v>378</v>
      </c>
      <c r="O9" s="11"/>
      <c r="P9" s="55" t="b">
        <v>0</v>
      </c>
    </row>
    <row r="10">
      <c r="B10" s="206"/>
      <c r="C10" s="207"/>
      <c r="D10" s="207"/>
      <c r="E10" s="208"/>
      <c r="F10" s="3"/>
      <c r="G10" s="3"/>
      <c r="H10" s="3"/>
      <c r="I10" s="3"/>
      <c r="J10" s="3"/>
      <c r="K10" s="3"/>
      <c r="L10" s="4"/>
      <c r="N10" s="149" t="s">
        <v>375</v>
      </c>
      <c r="O10" s="4"/>
      <c r="P10" s="63">
        <v>0.0</v>
      </c>
    </row>
    <row r="11">
      <c r="B11" s="209"/>
      <c r="C11" s="210"/>
      <c r="D11" s="210"/>
      <c r="E11" s="211"/>
      <c r="F11" s="10"/>
      <c r="G11" s="10"/>
      <c r="H11" s="10"/>
      <c r="I11" s="10"/>
      <c r="J11" s="10"/>
      <c r="K11" s="10"/>
      <c r="L11" s="11"/>
      <c r="N11" s="57" t="s">
        <v>440</v>
      </c>
      <c r="O11" s="11"/>
      <c r="P11" s="55" t="b">
        <v>0</v>
      </c>
    </row>
    <row r="12">
      <c r="B12" s="206"/>
      <c r="C12" s="207"/>
      <c r="D12" s="207"/>
      <c r="E12" s="208"/>
      <c r="F12" s="3"/>
      <c r="G12" s="3"/>
      <c r="H12" s="3"/>
      <c r="I12" s="3"/>
      <c r="J12" s="3"/>
      <c r="K12" s="3"/>
      <c r="L12" s="4"/>
      <c r="N12" s="149" t="s">
        <v>441</v>
      </c>
      <c r="O12" s="4"/>
      <c r="P12" s="63" t="b">
        <v>0</v>
      </c>
    </row>
    <row r="13">
      <c r="B13" s="209"/>
      <c r="C13" s="210"/>
      <c r="D13" s="210"/>
      <c r="E13" s="211"/>
      <c r="F13" s="10"/>
      <c r="G13" s="10"/>
      <c r="H13" s="10"/>
      <c r="I13" s="10"/>
      <c r="J13" s="10"/>
      <c r="K13" s="10"/>
      <c r="L13" s="11"/>
      <c r="N13" s="57" t="s">
        <v>408</v>
      </c>
      <c r="O13" s="11"/>
      <c r="P13" s="55" t="b">
        <v>0</v>
      </c>
    </row>
    <row r="14">
      <c r="B14" s="206"/>
      <c r="C14" s="207"/>
      <c r="D14" s="207"/>
      <c r="E14" s="208"/>
      <c r="F14" s="3"/>
      <c r="G14" s="3"/>
      <c r="H14" s="3"/>
      <c r="I14" s="3"/>
      <c r="J14" s="3"/>
      <c r="K14" s="3"/>
      <c r="L14" s="4"/>
      <c r="N14" s="149" t="s">
        <v>442</v>
      </c>
      <c r="O14" s="4"/>
      <c r="P14" s="63" t="b">
        <v>0</v>
      </c>
    </row>
    <row r="15">
      <c r="B15" s="209"/>
      <c r="C15" s="210"/>
      <c r="D15" s="210"/>
      <c r="E15" s="211"/>
      <c r="F15" s="10"/>
      <c r="G15" s="10"/>
      <c r="H15" s="10"/>
      <c r="I15" s="10"/>
      <c r="J15" s="10"/>
      <c r="K15" s="10"/>
      <c r="L15" s="11"/>
      <c r="M15" s="212"/>
      <c r="N15" s="57" t="s">
        <v>443</v>
      </c>
      <c r="O15" s="11"/>
      <c r="P15" s="55" t="b">
        <v>0</v>
      </c>
      <c r="Q15" s="212"/>
    </row>
    <row r="16">
      <c r="B16" s="213"/>
      <c r="C16" s="214"/>
      <c r="D16" s="207"/>
      <c r="E16" s="208"/>
      <c r="F16" s="3"/>
      <c r="G16" s="3"/>
      <c r="H16" s="3"/>
      <c r="I16" s="3"/>
      <c r="J16" s="3"/>
      <c r="K16" s="3"/>
      <c r="L16" s="4"/>
      <c r="M16" s="212"/>
      <c r="N16" s="149" t="s">
        <v>444</v>
      </c>
      <c r="O16" s="4"/>
      <c r="P16" s="63" t="b">
        <v>0</v>
      </c>
      <c r="Q16" s="212"/>
    </row>
    <row r="17">
      <c r="B17" s="215"/>
      <c r="C17" s="216"/>
      <c r="D17" s="24"/>
      <c r="E17" s="211"/>
      <c r="F17" s="10"/>
      <c r="G17" s="10"/>
      <c r="H17" s="10"/>
      <c r="I17" s="10"/>
      <c r="J17" s="10"/>
      <c r="K17" s="10"/>
      <c r="L17" s="11"/>
      <c r="M17" s="212"/>
      <c r="N17" s="57" t="s">
        <v>445</v>
      </c>
      <c r="O17" s="10"/>
      <c r="P17" s="11"/>
      <c r="Q17" s="212"/>
    </row>
    <row r="18">
      <c r="B18" s="206"/>
      <c r="C18" s="207"/>
      <c r="D18" s="207"/>
      <c r="E18" s="208"/>
      <c r="F18" s="3"/>
      <c r="G18" s="3"/>
      <c r="H18" s="3"/>
      <c r="I18" s="3"/>
      <c r="J18" s="3"/>
      <c r="K18" s="3"/>
      <c r="L18" s="4"/>
      <c r="M18" s="212"/>
      <c r="N18" s="212"/>
      <c r="O18" s="212"/>
      <c r="P18" s="212"/>
      <c r="Q18" s="212"/>
    </row>
    <row r="19">
      <c r="B19" s="209"/>
      <c r="C19" s="210"/>
      <c r="D19" s="210"/>
      <c r="E19" s="211"/>
      <c r="F19" s="10"/>
      <c r="G19" s="10"/>
      <c r="H19" s="10"/>
      <c r="I19" s="10"/>
      <c r="J19" s="10"/>
      <c r="K19" s="10"/>
      <c r="L19" s="11"/>
      <c r="M19" s="212"/>
      <c r="N19" s="212"/>
      <c r="O19" s="212"/>
      <c r="P19" s="212"/>
      <c r="Q19" s="212"/>
    </row>
    <row r="20">
      <c r="B20" s="206"/>
      <c r="C20" s="207"/>
      <c r="D20" s="207"/>
      <c r="E20" s="208"/>
      <c r="F20" s="3"/>
      <c r="G20" s="3"/>
      <c r="H20" s="3"/>
      <c r="I20" s="3"/>
      <c r="J20" s="3"/>
      <c r="K20" s="3"/>
      <c r="L20" s="4"/>
      <c r="M20" s="212"/>
      <c r="N20" s="212"/>
      <c r="O20" s="212"/>
      <c r="P20" s="212"/>
      <c r="Q20" s="212"/>
    </row>
    <row r="21">
      <c r="B21" s="209"/>
      <c r="C21" s="210"/>
      <c r="D21" s="210"/>
      <c r="E21" s="211"/>
      <c r="F21" s="10"/>
      <c r="G21" s="10"/>
      <c r="H21" s="10"/>
      <c r="I21" s="10"/>
      <c r="J21" s="10"/>
      <c r="K21" s="10"/>
      <c r="L21" s="11"/>
      <c r="M21" s="212"/>
      <c r="N21" s="212"/>
      <c r="O21" s="212"/>
      <c r="P21" s="212"/>
      <c r="Q21" s="212"/>
    </row>
    <row r="22">
      <c r="B22" s="206"/>
      <c r="C22" s="207"/>
      <c r="D22" s="207"/>
      <c r="E22" s="208"/>
      <c r="F22" s="3"/>
      <c r="G22" s="3"/>
      <c r="H22" s="3"/>
      <c r="I22" s="3"/>
      <c r="J22" s="3"/>
      <c r="K22" s="3"/>
      <c r="L22" s="4"/>
      <c r="M22" s="212"/>
      <c r="N22" s="212"/>
      <c r="O22" s="212"/>
      <c r="P22" s="212"/>
      <c r="Q22" s="212"/>
    </row>
    <row r="23">
      <c r="B23" s="209"/>
      <c r="C23" s="210"/>
      <c r="D23" s="210"/>
      <c r="E23" s="211"/>
      <c r="F23" s="10"/>
      <c r="G23" s="10"/>
      <c r="H23" s="10"/>
      <c r="I23" s="10"/>
      <c r="J23" s="10"/>
      <c r="K23" s="10"/>
      <c r="L23" s="11"/>
      <c r="M23" s="212"/>
      <c r="N23" s="212"/>
      <c r="O23" s="212"/>
      <c r="P23" s="212"/>
      <c r="Q23" s="212"/>
    </row>
    <row r="24">
      <c r="B24" s="206"/>
      <c r="C24" s="207"/>
      <c r="D24" s="207"/>
      <c r="E24" s="208"/>
      <c r="F24" s="3"/>
      <c r="G24" s="3"/>
      <c r="H24" s="3"/>
      <c r="I24" s="3"/>
      <c r="J24" s="3"/>
      <c r="K24" s="3"/>
      <c r="L24" s="4"/>
      <c r="M24" s="212"/>
      <c r="N24" s="212"/>
      <c r="O24" s="212"/>
      <c r="P24" s="212"/>
      <c r="Q24" s="212"/>
    </row>
    <row r="25">
      <c r="B25" s="209"/>
      <c r="C25" s="210"/>
      <c r="D25" s="210"/>
      <c r="E25" s="211"/>
      <c r="F25" s="10"/>
      <c r="G25" s="10"/>
      <c r="H25" s="10"/>
      <c r="I25" s="10"/>
      <c r="J25" s="10"/>
      <c r="K25" s="10"/>
      <c r="L25" s="11"/>
      <c r="M25" s="212"/>
      <c r="N25" s="212"/>
      <c r="O25" s="212"/>
      <c r="P25" s="212"/>
      <c r="Q25" s="212"/>
    </row>
    <row r="26">
      <c r="B26" s="206"/>
      <c r="C26" s="207"/>
      <c r="D26" s="207"/>
      <c r="E26" s="208"/>
      <c r="F26" s="3"/>
      <c r="G26" s="3"/>
      <c r="H26" s="3"/>
      <c r="I26" s="3"/>
      <c r="J26" s="3"/>
      <c r="K26" s="3"/>
      <c r="L26" s="4"/>
      <c r="M26" s="212"/>
      <c r="N26" s="212"/>
      <c r="O26" s="212"/>
      <c r="P26" s="212"/>
      <c r="Q26" s="212"/>
    </row>
    <row r="27">
      <c r="B27" s="209"/>
      <c r="C27" s="210"/>
      <c r="D27" s="210"/>
      <c r="E27" s="211"/>
      <c r="F27" s="10"/>
      <c r="G27" s="10"/>
      <c r="H27" s="10"/>
      <c r="I27" s="10"/>
      <c r="J27" s="10"/>
      <c r="K27" s="10"/>
      <c r="L27" s="11"/>
      <c r="M27" s="212"/>
      <c r="N27" s="212"/>
      <c r="O27" s="212"/>
      <c r="P27" s="212"/>
      <c r="Q27" s="212"/>
    </row>
    <row r="28">
      <c r="B28" s="217"/>
      <c r="C28" s="218"/>
      <c r="D28" s="219"/>
      <c r="E28" s="220"/>
      <c r="F28" s="221"/>
      <c r="G28" s="221"/>
      <c r="H28" s="221"/>
      <c r="I28" s="221"/>
      <c r="J28" s="221"/>
      <c r="K28" s="221"/>
      <c r="L28" s="222"/>
      <c r="M28" s="212"/>
      <c r="N28" s="212"/>
      <c r="O28" s="212"/>
      <c r="P28" s="212"/>
      <c r="Q28" s="212"/>
    </row>
    <row r="29">
      <c r="B29" s="223"/>
      <c r="C29" s="224"/>
      <c r="D29" s="224"/>
      <c r="E29" s="225"/>
      <c r="F29" s="173"/>
      <c r="G29" s="173"/>
      <c r="H29" s="173"/>
      <c r="I29" s="173"/>
      <c r="J29" s="173"/>
      <c r="K29" s="173"/>
      <c r="L29" s="174"/>
      <c r="M29" s="212"/>
      <c r="N29" s="212"/>
      <c r="O29" s="212"/>
      <c r="P29" s="212"/>
      <c r="Q29" s="212"/>
    </row>
    <row r="30">
      <c r="B30" s="226"/>
      <c r="C30" s="227"/>
      <c r="D30" s="227"/>
      <c r="E30" s="220"/>
      <c r="F30" s="221"/>
      <c r="G30" s="221"/>
      <c r="H30" s="221"/>
      <c r="I30" s="221"/>
      <c r="J30" s="221"/>
      <c r="K30" s="221"/>
      <c r="L30" s="222"/>
      <c r="M30" s="212"/>
      <c r="N30" s="212"/>
      <c r="O30" s="212"/>
      <c r="P30" s="212"/>
      <c r="Q30" s="212"/>
    </row>
    <row r="31">
      <c r="B31" s="228"/>
      <c r="C31" s="229"/>
      <c r="D31" s="229"/>
      <c r="E31" s="225"/>
      <c r="F31" s="173"/>
      <c r="G31" s="173"/>
      <c r="H31" s="173"/>
      <c r="I31" s="173"/>
      <c r="J31" s="173"/>
      <c r="K31" s="173"/>
      <c r="L31" s="174"/>
      <c r="M31" s="212"/>
      <c r="N31" s="212"/>
      <c r="O31" s="212"/>
      <c r="P31" s="212"/>
      <c r="Q31" s="212"/>
    </row>
    <row r="32">
      <c r="B32" s="226"/>
      <c r="C32" s="227"/>
      <c r="D32" s="227"/>
      <c r="E32" s="220"/>
      <c r="F32" s="221"/>
      <c r="G32" s="221"/>
      <c r="H32" s="221"/>
      <c r="I32" s="221"/>
      <c r="J32" s="221"/>
      <c r="K32" s="221"/>
      <c r="L32" s="222"/>
      <c r="M32" s="212"/>
      <c r="N32" s="212"/>
      <c r="O32" s="212"/>
      <c r="P32" s="212"/>
      <c r="Q32" s="212"/>
    </row>
    <row r="33">
      <c r="B33" s="228"/>
      <c r="C33" s="229"/>
      <c r="D33" s="229"/>
      <c r="E33" s="225"/>
      <c r="F33" s="173"/>
      <c r="G33" s="173"/>
      <c r="H33" s="173"/>
      <c r="I33" s="173"/>
      <c r="J33" s="173"/>
      <c r="K33" s="173"/>
      <c r="L33" s="174"/>
      <c r="M33" s="212"/>
      <c r="N33" s="212"/>
      <c r="O33" s="212"/>
      <c r="P33" s="212"/>
      <c r="Q33" s="212"/>
    </row>
    <row r="34">
      <c r="B34" s="226"/>
      <c r="C34" s="227"/>
      <c r="D34" s="227"/>
      <c r="E34" s="220"/>
      <c r="F34" s="221"/>
      <c r="G34" s="221"/>
      <c r="H34" s="221"/>
      <c r="I34" s="221"/>
      <c r="J34" s="221"/>
      <c r="K34" s="221"/>
      <c r="L34" s="222"/>
      <c r="M34" s="212"/>
      <c r="N34" s="212"/>
      <c r="O34" s="212"/>
      <c r="P34" s="212"/>
      <c r="Q34" s="212"/>
    </row>
    <row r="35">
      <c r="B35" s="228"/>
      <c r="C35" s="229"/>
      <c r="D35" s="229"/>
      <c r="E35" s="225"/>
      <c r="F35" s="173"/>
      <c r="G35" s="173"/>
      <c r="H35" s="173"/>
      <c r="I35" s="173"/>
      <c r="J35" s="173"/>
      <c r="K35" s="173"/>
      <c r="L35" s="174"/>
      <c r="M35" s="212"/>
      <c r="N35" s="212"/>
      <c r="O35" s="212"/>
      <c r="P35" s="212"/>
      <c r="Q35" s="212"/>
    </row>
    <row r="36">
      <c r="B36" s="226"/>
      <c r="C36" s="227"/>
      <c r="D36" s="227"/>
      <c r="E36" s="220"/>
      <c r="F36" s="221"/>
      <c r="G36" s="221"/>
      <c r="H36" s="221"/>
      <c r="I36" s="221"/>
      <c r="J36" s="221"/>
      <c r="K36" s="221"/>
      <c r="L36" s="222"/>
      <c r="M36" s="212"/>
      <c r="N36" s="212"/>
      <c r="O36" s="212"/>
      <c r="P36" s="212"/>
      <c r="Q36" s="212"/>
    </row>
    <row r="37">
      <c r="B37" s="228"/>
      <c r="C37" s="229"/>
      <c r="D37" s="229"/>
      <c r="E37" s="225"/>
      <c r="F37" s="173"/>
      <c r="G37" s="173"/>
      <c r="H37" s="173"/>
      <c r="I37" s="173"/>
      <c r="J37" s="173"/>
      <c r="K37" s="173"/>
      <c r="L37" s="174"/>
      <c r="M37" s="212"/>
      <c r="N37" s="212"/>
      <c r="O37" s="212"/>
      <c r="P37" s="212"/>
      <c r="Q37" s="212"/>
    </row>
    <row r="38">
      <c r="B38" s="226"/>
      <c r="C38" s="227"/>
      <c r="D38" s="227"/>
      <c r="E38" s="220"/>
      <c r="F38" s="221"/>
      <c r="G38" s="221"/>
      <c r="H38" s="221"/>
      <c r="I38" s="221"/>
      <c r="J38" s="221"/>
      <c r="K38" s="221"/>
      <c r="L38" s="222"/>
      <c r="M38" s="212"/>
      <c r="N38" s="212"/>
      <c r="O38" s="212"/>
      <c r="P38" s="212"/>
      <c r="Q38" s="212"/>
    </row>
    <row r="39">
      <c r="B39" s="228"/>
      <c r="C39" s="229"/>
      <c r="D39" s="229"/>
      <c r="E39" s="225"/>
      <c r="F39" s="173"/>
      <c r="G39" s="173"/>
      <c r="H39" s="173"/>
      <c r="I39" s="173"/>
      <c r="J39" s="173"/>
      <c r="K39" s="173"/>
      <c r="L39" s="174"/>
      <c r="M39" s="212"/>
      <c r="N39" s="212"/>
      <c r="O39" s="212"/>
      <c r="P39" s="212"/>
      <c r="Q39" s="212"/>
    </row>
    <row r="40">
      <c r="B40" s="230"/>
      <c r="C40" s="230"/>
      <c r="D40" s="230"/>
      <c r="E40" s="231"/>
      <c r="F40" s="231"/>
      <c r="G40" s="231"/>
      <c r="H40" s="231"/>
      <c r="I40" s="231"/>
      <c r="J40" s="231"/>
      <c r="K40" s="231"/>
      <c r="L40" s="231"/>
      <c r="M40" s="212"/>
      <c r="N40" s="212"/>
      <c r="O40" s="212"/>
      <c r="P40" s="212"/>
      <c r="Q40" s="212"/>
    </row>
  </sheetData>
  <mergeCells count="54">
    <mergeCell ref="E37:L37"/>
    <mergeCell ref="E38:L38"/>
    <mergeCell ref="E39:L39"/>
    <mergeCell ref="E30:L30"/>
    <mergeCell ref="E31:L31"/>
    <mergeCell ref="E32:L32"/>
    <mergeCell ref="E33:L33"/>
    <mergeCell ref="E34:L34"/>
    <mergeCell ref="E35:L35"/>
    <mergeCell ref="E36:L36"/>
    <mergeCell ref="B2:L2"/>
    <mergeCell ref="N2:P2"/>
    <mergeCell ref="E3:L3"/>
    <mergeCell ref="N3:O3"/>
    <mergeCell ref="E4:L4"/>
    <mergeCell ref="N4:O4"/>
    <mergeCell ref="N5:O5"/>
    <mergeCell ref="N8:O8"/>
    <mergeCell ref="N9:O9"/>
    <mergeCell ref="E5:L5"/>
    <mergeCell ref="E6:L6"/>
    <mergeCell ref="N6:O6"/>
    <mergeCell ref="E7:L7"/>
    <mergeCell ref="N7:O7"/>
    <mergeCell ref="E8:L8"/>
    <mergeCell ref="E9:L9"/>
    <mergeCell ref="E10:L10"/>
    <mergeCell ref="N10:O10"/>
    <mergeCell ref="E11:L11"/>
    <mergeCell ref="N11:O11"/>
    <mergeCell ref="E12:L12"/>
    <mergeCell ref="N12:O12"/>
    <mergeCell ref="N13:O13"/>
    <mergeCell ref="E13:L13"/>
    <mergeCell ref="E14:L14"/>
    <mergeCell ref="N14:O14"/>
    <mergeCell ref="E15:L15"/>
    <mergeCell ref="N15:O15"/>
    <mergeCell ref="E16:L16"/>
    <mergeCell ref="N16:O16"/>
    <mergeCell ref="E17:L17"/>
    <mergeCell ref="N17:P17"/>
    <mergeCell ref="E18:L18"/>
    <mergeCell ref="E19:L19"/>
    <mergeCell ref="E20:L20"/>
    <mergeCell ref="E21:L21"/>
    <mergeCell ref="E22:L22"/>
    <mergeCell ref="E23:L23"/>
    <mergeCell ref="E24:L24"/>
    <mergeCell ref="E25:L25"/>
    <mergeCell ref="E26:L26"/>
    <mergeCell ref="E27:L27"/>
    <mergeCell ref="E28:L28"/>
    <mergeCell ref="E29:L29"/>
  </mergeCells>
  <conditionalFormatting sqref="N15:O15">
    <cfRule type="expression" dxfId="7" priority="1">
      <formula>indirect("static")</formula>
    </cfRule>
  </conditionalFormatting>
  <conditionalFormatting sqref="P3:P17 N13:O14 N16:P17">
    <cfRule type="expression" dxfId="8" priority="2">
      <formula>indirect("free")</formula>
    </cfRule>
  </conditionalFormatting>
  <conditionalFormatting sqref="N2:O12">
    <cfRule type="expression" dxfId="7" priority="3">
      <formula>indirect("static")</formula>
    </cfRule>
  </conditionalFormatting>
  <conditionalFormatting sqref="B2:L3">
    <cfRule type="expression" dxfId="7" priority="4">
      <formula>indirect("static")</formula>
    </cfRule>
  </conditionalFormatting>
  <conditionalFormatting sqref="B4:L39">
    <cfRule type="expression" dxfId="10" priority="5">
      <formula>indirect("free")</formula>
    </cfRule>
  </conditionalFormatting>
  <dataValidations>
    <dataValidation type="list" allowBlank="1" sqref="N16">
      <formula1>"Two Weapon Fighting,Improved Two Weapon Fighting,Greater Two Weapon Fighting"</formula1>
    </dataValidation>
    <dataValidation type="list" allowBlank="1" sqref="N14">
      <formula1>"Spirited Charge,Spirited Charge (Lance)"</formula1>
    </dataValidation>
    <dataValidation type="list" allowBlank="1" sqref="N13">
      <formula1>"Spell Focus,Greater Spell Focus"</formula1>
    </dataValidation>
    <dataValidation type="list" allowBlank="1" sqref="N17">
      <formula1>"Two Weapon Fighting Penalties,Normal,Light Off-Hand,TWF Feat,Light Off-Hand and TWF Feat"</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4.43" defaultRowHeight="15.75"/>
  <cols>
    <col customWidth="1" min="1" max="1" width="1.29"/>
    <col customWidth="1" min="2" max="2" width="36.86"/>
    <col customWidth="1" min="3" max="3" width="13.43"/>
    <col customWidth="1" min="4" max="4" width="16.29"/>
    <col customWidth="1" min="5" max="5" width="14.57"/>
    <col customWidth="1" min="6" max="6" width="1.29"/>
    <col customWidth="1" min="7" max="7" width="26.29"/>
    <col customWidth="1" min="8" max="8" width="12.57"/>
    <col customWidth="1" min="9" max="9" width="13.0"/>
    <col customWidth="1" min="10" max="10" width="12.86"/>
    <col customWidth="1" min="11" max="11" width="12.71"/>
    <col customWidth="1" min="12" max="12" width="1.29"/>
    <col customWidth="1" min="13" max="13" width="27.71"/>
    <col customWidth="1" min="14" max="14" width="9.57"/>
    <col customWidth="1" min="15" max="15" width="18.43"/>
    <col customWidth="1" min="16" max="16" width="36.57"/>
    <col customWidth="1" min="17" max="17" width="285.86"/>
  </cols>
  <sheetData>
    <row r="1">
      <c r="A1" s="232"/>
      <c r="B1" s="233"/>
      <c r="C1" s="232"/>
      <c r="D1" s="232"/>
      <c r="E1" s="232"/>
      <c r="F1" s="232"/>
      <c r="G1" s="232"/>
      <c r="H1" s="232"/>
      <c r="I1" s="232"/>
      <c r="J1" s="234"/>
      <c r="K1" s="232"/>
      <c r="L1" s="232"/>
      <c r="M1" s="232"/>
      <c r="N1" s="232"/>
      <c r="O1" s="232"/>
      <c r="P1" s="232"/>
      <c r="Q1" s="232"/>
    </row>
    <row r="2">
      <c r="A2" s="232"/>
      <c r="C2" s="235" t="s">
        <v>413</v>
      </c>
      <c r="D2" s="202"/>
      <c r="E2" s="203"/>
      <c r="F2" s="236"/>
      <c r="G2" s="237" t="s">
        <v>446</v>
      </c>
      <c r="H2" s="237" t="s">
        <v>295</v>
      </c>
      <c r="I2" s="235" t="s">
        <v>447</v>
      </c>
      <c r="J2" s="203"/>
      <c r="K2" s="237" t="s">
        <v>374</v>
      </c>
      <c r="L2" s="232"/>
      <c r="M2" s="238" t="s">
        <v>267</v>
      </c>
      <c r="N2" s="235" t="s">
        <v>448</v>
      </c>
      <c r="O2" s="203"/>
      <c r="P2" s="238" t="s">
        <v>266</v>
      </c>
    </row>
    <row r="3">
      <c r="A3" s="232"/>
      <c r="C3" s="239" t="s">
        <v>449</v>
      </c>
      <c r="D3" s="203"/>
      <c r="E3" s="240" t="str">
        <f t="array" ref="E3">if(P3="None","Enter Class",MAX((dget(Base_Points,P3,{"Class";"Base Points"})+N3),1)*4+IF(H3="Human",4)+MAX((dget(Base_Points,P3,{"Class";"Base Points"})+N3),1)*(M3-1)+(IF(H3="Human",1)*(M3-1))+max(dget(Base_Points,P4,{"Class";"Base Points"})+N4,1)*M4+IF(H3="Human",1)*M4+max(dget(Base_Points,P5,{"Class";"Base Points"})+N5,1)*M5+IF(H3="Human",1)*M5+max(dget(Base_Points,P6,{"Class";"Base Points"})+N6,1)*M6+IF(H3="Human",1)*M6+max(dget(Base_Points,P7,{"Class";"Base Points"})+N7,1)*M7+(IF(H3="Human",1)*M7))</f>
        <v>Enter Class</v>
      </c>
      <c r="F3" s="241"/>
      <c r="G3" s="242">
        <f>-Main!C35</f>
        <v>0</v>
      </c>
      <c r="H3" s="242" t="s">
        <v>450</v>
      </c>
      <c r="I3" s="243" t="str">
        <f>if(E3="Enter Class","Enter Class",SUM(M3:M7)+3)</f>
        <v>Enter Class</v>
      </c>
      <c r="J3" s="203"/>
      <c r="K3" s="244">
        <f>Main!C30</f>
        <v>30</v>
      </c>
      <c r="L3" s="232"/>
      <c r="M3" s="24"/>
      <c r="N3" s="245"/>
      <c r="O3" s="203"/>
      <c r="P3" s="24" t="s">
        <v>451</v>
      </c>
    </row>
    <row r="4">
      <c r="A4" s="232"/>
      <c r="C4" s="246" t="s">
        <v>452</v>
      </c>
      <c r="D4" s="203"/>
      <c r="E4" s="247" t="str">
        <f>if(E3="Enter Class","Enter Class",E3-SUM(H16:H65))</f>
        <v>Enter Class</v>
      </c>
      <c r="F4" s="232"/>
      <c r="G4" s="232"/>
      <c r="H4" s="232"/>
      <c r="I4" s="232"/>
      <c r="J4" s="234"/>
      <c r="K4" s="232"/>
      <c r="L4" s="232"/>
      <c r="M4" s="18"/>
      <c r="N4" s="248"/>
      <c r="O4" s="203"/>
      <c r="P4" s="18" t="s">
        <v>451</v>
      </c>
    </row>
    <row r="5" ht="21.0" customHeight="1">
      <c r="A5" s="232"/>
      <c r="C5" s="232"/>
      <c r="D5" s="232"/>
      <c r="E5" s="232"/>
      <c r="F5" s="249"/>
      <c r="G5" s="250"/>
      <c r="H5" s="250"/>
      <c r="I5" s="250"/>
      <c r="J5" s="250"/>
      <c r="K5" s="250"/>
      <c r="L5" s="232"/>
      <c r="M5" s="242"/>
      <c r="N5" s="245"/>
      <c r="O5" s="203"/>
      <c r="P5" s="242" t="s">
        <v>451</v>
      </c>
    </row>
    <row r="6">
      <c r="A6" s="232"/>
      <c r="C6" s="235" t="s">
        <v>453</v>
      </c>
      <c r="D6" s="3"/>
      <c r="E6" s="4"/>
      <c r="F6" s="249"/>
      <c r="G6" s="246" t="s">
        <v>454</v>
      </c>
      <c r="H6" s="203"/>
      <c r="I6" s="246" t="s">
        <v>455</v>
      </c>
      <c r="J6" s="202"/>
      <c r="K6" s="203"/>
      <c r="L6" s="232"/>
      <c r="M6" s="238"/>
      <c r="N6" s="248"/>
      <c r="O6" s="203"/>
      <c r="P6" s="238" t="s">
        <v>451</v>
      </c>
    </row>
    <row r="7">
      <c r="A7" s="232"/>
      <c r="C7" s="251" t="s">
        <v>268</v>
      </c>
      <c r="D7" s="251" t="s">
        <v>456</v>
      </c>
      <c r="E7" s="252" t="s">
        <v>14</v>
      </c>
      <c r="F7" s="249"/>
      <c r="G7" s="253" t="s">
        <v>457</v>
      </c>
      <c r="H7" s="254" t="s">
        <v>14</v>
      </c>
      <c r="I7" s="255" t="s">
        <v>457</v>
      </c>
      <c r="J7" s="203"/>
      <c r="K7" s="254" t="s">
        <v>14</v>
      </c>
      <c r="L7" s="232"/>
      <c r="M7" s="242"/>
      <c r="N7" s="245"/>
      <c r="O7" s="203"/>
      <c r="P7" s="242" t="s">
        <v>451</v>
      </c>
      <c r="Q7" s="256"/>
    </row>
    <row r="8">
      <c r="A8" s="232"/>
      <c r="C8" s="257" t="s">
        <v>284</v>
      </c>
      <c r="D8" s="188">
        <f>Main!X4</f>
        <v>10</v>
      </c>
      <c r="E8" s="258">
        <f t="shared" ref="E8:E13" si="1">_xlfn.FLOOR.MATH((D8-10)/2)</f>
        <v>0</v>
      </c>
      <c r="F8" s="249"/>
      <c r="G8" s="259"/>
      <c r="H8" s="260"/>
      <c r="I8" s="261"/>
      <c r="J8" s="203"/>
      <c r="K8" s="260"/>
      <c r="L8" s="232"/>
      <c r="M8" s="241"/>
      <c r="N8" s="241"/>
      <c r="O8" s="241"/>
      <c r="P8" s="241"/>
    </row>
    <row r="9">
      <c r="A9" s="232"/>
      <c r="C9" s="262" t="s">
        <v>287</v>
      </c>
      <c r="D9" s="186">
        <f>Main!X5</f>
        <v>10</v>
      </c>
      <c r="E9" s="263">
        <f t="shared" si="1"/>
        <v>0</v>
      </c>
      <c r="F9" s="249"/>
      <c r="G9" s="264"/>
      <c r="H9" s="265"/>
      <c r="I9" s="266"/>
      <c r="J9" s="203"/>
      <c r="K9" s="265"/>
      <c r="L9" s="232"/>
      <c r="M9" s="267" t="s">
        <v>458</v>
      </c>
      <c r="N9" s="268"/>
      <c r="O9" s="98"/>
      <c r="P9" s="269" t="s">
        <v>459</v>
      </c>
    </row>
    <row r="10">
      <c r="A10" s="232"/>
      <c r="C10" s="257" t="s">
        <v>290</v>
      </c>
      <c r="D10" s="188">
        <f>Main!X6</f>
        <v>10</v>
      </c>
      <c r="E10" s="258">
        <f t="shared" si="1"/>
        <v>0</v>
      </c>
      <c r="F10" s="249"/>
      <c r="G10" s="259"/>
      <c r="H10" s="260"/>
      <c r="I10" s="261"/>
      <c r="J10" s="203"/>
      <c r="K10" s="260"/>
      <c r="L10" s="232"/>
      <c r="M10" s="270"/>
      <c r="N10" s="271"/>
      <c r="O10" s="98"/>
      <c r="P10" s="272"/>
    </row>
    <row r="11">
      <c r="A11" s="232"/>
      <c r="C11" s="262" t="s">
        <v>293</v>
      </c>
      <c r="D11" s="186">
        <f>Main!X7</f>
        <v>10</v>
      </c>
      <c r="E11" s="263">
        <f t="shared" si="1"/>
        <v>0</v>
      </c>
      <c r="F11" s="249"/>
      <c r="G11" s="264"/>
      <c r="H11" s="265"/>
      <c r="I11" s="266"/>
      <c r="J11" s="203"/>
      <c r="K11" s="265"/>
      <c r="L11" s="232"/>
      <c r="M11" s="273" t="s">
        <v>460</v>
      </c>
      <c r="N11" s="203"/>
      <c r="O11" s="98"/>
      <c r="P11" s="274">
        <f>if('Spell Switchboard'!$D$9="Check Drain",-4,0)
+
if('Spell Switchboard'!$D$39,2,0)
+
if('Spell Switchboard'!$D$40,1,0)
+
if('Spell Switchboard'!$I$5,2,0)
+
if('Spell Switchboard'!$I$31,'Spell Switchboard'!$J$31,0)
+
if('Spell Switchboard'!$I$39,1,0)
-
if('Spell Switchboard'!$I$40,1,0)
+
if('Spell Switchboard'!$N$27,-4,0)
+
if(Main!$AD$9&gt;0,-abs(Main!$AD$9),0)
+
if(Main!$AD$14,-2,0)
+
if(Main!$AD$17,-2,0)
+
if(Main!$AD$20,-2,0)
+
if(Main!$AD$21,-2,0)</f>
        <v>0</v>
      </c>
    </row>
    <row r="12">
      <c r="A12" s="232"/>
      <c r="C12" s="257" t="s">
        <v>296</v>
      </c>
      <c r="D12" s="188">
        <f>Main!X8</f>
        <v>10</v>
      </c>
      <c r="E12" s="258">
        <f t="shared" si="1"/>
        <v>0</v>
      </c>
      <c r="F12" s="249"/>
      <c r="G12" s="259"/>
      <c r="H12" s="260"/>
      <c r="I12" s="261"/>
      <c r="J12" s="203"/>
      <c r="K12" s="260"/>
      <c r="L12" s="232"/>
      <c r="M12" s="275" t="s">
        <v>461</v>
      </c>
      <c r="N12" s="203"/>
      <c r="O12" s="98"/>
      <c r="P12" s="276"/>
    </row>
    <row r="13">
      <c r="A13" s="232"/>
      <c r="C13" s="262" t="s">
        <v>299</v>
      </c>
      <c r="D13" s="186">
        <f>Main!X9</f>
        <v>10</v>
      </c>
      <c r="E13" s="263">
        <f t="shared" si="1"/>
        <v>0</v>
      </c>
      <c r="F13" s="249"/>
      <c r="G13" s="264"/>
      <c r="H13" s="265"/>
      <c r="I13" s="266"/>
      <c r="J13" s="203"/>
      <c r="K13" s="265"/>
      <c r="L13" s="232"/>
      <c r="M13" s="277" t="s">
        <v>462</v>
      </c>
      <c r="N13" s="203"/>
      <c r="O13" s="98"/>
      <c r="P13" s="272"/>
    </row>
    <row r="14">
      <c r="A14" s="232"/>
      <c r="B14" s="232"/>
      <c r="C14" s="232"/>
      <c r="D14" s="232"/>
      <c r="E14" s="232"/>
      <c r="F14" s="232"/>
      <c r="G14" s="232"/>
      <c r="H14" s="232"/>
      <c r="I14" s="232"/>
      <c r="J14" s="234"/>
      <c r="K14" s="232"/>
      <c r="L14" s="232"/>
      <c r="M14" s="232"/>
      <c r="N14" s="232"/>
      <c r="O14" s="232"/>
      <c r="P14" s="232"/>
      <c r="Q14" s="232"/>
    </row>
    <row r="15">
      <c r="A15" s="232"/>
      <c r="B15" s="238" t="s">
        <v>463</v>
      </c>
      <c r="C15" s="238" t="s">
        <v>464</v>
      </c>
      <c r="D15" s="238" t="s">
        <v>465</v>
      </c>
      <c r="E15" s="235" t="s">
        <v>466</v>
      </c>
      <c r="F15" s="4"/>
      <c r="G15" s="238" t="s">
        <v>446</v>
      </c>
      <c r="H15" s="238" t="s">
        <v>467</v>
      </c>
      <c r="I15" s="238" t="s">
        <v>468</v>
      </c>
      <c r="J15" s="278" t="s">
        <v>469</v>
      </c>
      <c r="K15" s="18" t="s">
        <v>281</v>
      </c>
      <c r="L15" s="279"/>
      <c r="M15" s="280" t="s">
        <v>470</v>
      </c>
      <c r="N15" s="3"/>
      <c r="O15" s="3"/>
      <c r="P15" s="4"/>
      <c r="Q15" s="232"/>
    </row>
    <row r="16">
      <c r="A16" s="281"/>
      <c r="B16" s="282" t="s">
        <v>471</v>
      </c>
      <c r="C16" s="283" t="str">
        <f t="array" ref="C16">if(isblank($P$3),"Enter Class",IF(or(dget(class_skills_table,$P$3,{"Skill";indirect("B"&amp;row())}),dget(class_skills_table,$P$4,{"Skill";indirect("B"&amp;row())}),dget(class_skills_table,$P$5,{"Skill";indirect("B"&amp;row())}),dget(class_skills_table,$P$6,{"Skill";indirect("B"&amp;row())}),dget(class_skills_table,$P$7,{"Skill";indirect("B"&amp;row())})), "Yes", "No"))</f>
        <v>No</v>
      </c>
      <c r="D16" s="283" t="s">
        <v>472</v>
      </c>
      <c r="E16" s="284" t="s">
        <v>293</v>
      </c>
      <c r="F16" s="11"/>
      <c r="G16" s="283" t="s">
        <v>472</v>
      </c>
      <c r="H16" s="283">
        <v>0.0</v>
      </c>
      <c r="I16" s="283">
        <f>IF(Class_Skills="No", FLOOR(Points/2,1), Points)</f>
        <v>0</v>
      </c>
      <c r="J16" s="285">
        <f>if(countif($G$8:$G$13,indirect("B"&amp;row()))=0,0,VLOOKUP(indirect("B"&amp;row()),$G$8:$H$13,2,False))+if(countif($I$8:$K$13,indirect("B"&amp;row()))=0,0,VLOOKUP(indirect("B"&amp;row()),$I$8:$K$13,3,False))+P11</f>
        <v>0</v>
      </c>
      <c r="K16" s="285">
        <f>IF(AND(Trained_Only="Yes", Ranks=0), "NA", INDIRECT(Key_Ability)+Ranks+Misc_Mods-IF(Armor_Check_Penalty="Yes", IF(Skills="Swim", G3*2, G3)))</f>
        <v>0</v>
      </c>
      <c r="L16" s="60"/>
      <c r="M16" s="286" t="s">
        <v>473</v>
      </c>
      <c r="N16" s="11"/>
      <c r="O16" s="286" t="s">
        <v>474</v>
      </c>
      <c r="P16" s="11"/>
    </row>
    <row r="17">
      <c r="A17" s="281"/>
      <c r="B17" s="287" t="s">
        <v>475</v>
      </c>
      <c r="C17" s="288" t="str">
        <f t="array" ref="C17">if(isblank($P$3),"Enter Class",IF(or(dget(class_skills_table,$P$3,{"Skill";indirect("B"&amp;row())}),dget(class_skills_table,$P$4,{"Skill";indirect("B"&amp;row())}),dget(class_skills_table,$P$5,{"Skill";indirect("B"&amp;row())}),dget(class_skills_table,$P$6,{"Skill";indirect("B"&amp;row())}),dget(class_skills_table,$P$7,{"Skill";indirect("B"&amp;row())})), "Yes", "No"))</f>
        <v>No</v>
      </c>
      <c r="D17" s="289" t="s">
        <v>326</v>
      </c>
      <c r="E17" s="290" t="s">
        <v>296</v>
      </c>
      <c r="F17" s="4"/>
      <c r="G17" s="289" t="s">
        <v>472</v>
      </c>
      <c r="H17" s="289">
        <v>0.0</v>
      </c>
      <c r="I17" s="288">
        <f>IF(Class_Skills="No", FLOOR(Points/2,1), Points)</f>
        <v>0</v>
      </c>
      <c r="J17" s="291">
        <f>if(countif($G$8:$G$13,indirect("B"&amp;row()))=0,0,VLOOKUP(indirect("B"&amp;row()),$G$8:$H$13,2,False))+if(countif($I$8:$K$13,indirect("B"&amp;row()))=0,0,VLOOKUP(indirect("B"&amp;row()),$I$8:$K$13,3,False))+if($I$21&gt;=5,2,0)+P11</f>
        <v>0</v>
      </c>
      <c r="K17" s="291" t="str">
        <f>IF(AND(Trained_Only="Yes", Ranks=0), "NA", INDIRECT(Key_Ability)+Ranks+Misc_Mods-IF(Armor_Check_Penalty="Yes", IF(Skills="Swim", G4*2, G4)))</f>
        <v>NA</v>
      </c>
      <c r="L17" s="60"/>
      <c r="M17" s="290" t="s">
        <v>475</v>
      </c>
      <c r="N17" s="4"/>
      <c r="O17" s="292" t="s">
        <v>476</v>
      </c>
      <c r="P17" s="4"/>
    </row>
    <row r="18">
      <c r="A18" s="281"/>
      <c r="B18" s="282" t="s">
        <v>477</v>
      </c>
      <c r="C18" s="283" t="str">
        <f t="array" ref="C18">if(isblank($P$3),"Enter Class",IF(or(dget(class_skills_table,$P$3,{"Skill";indirect("B"&amp;row())}),dget(class_skills_table,$P$4,{"Skill";indirect("B"&amp;row())}),dget(class_skills_table,$P$5,{"Skill";indirect("B"&amp;row())}),dget(class_skills_table,$P$6,{"Skill";indirect("B"&amp;row())}),dget(class_skills_table,$P$7,{"Skill";indirect("B"&amp;row())})), "Yes", "No"))</f>
        <v>No</v>
      </c>
      <c r="D18" s="283" t="s">
        <v>472</v>
      </c>
      <c r="E18" s="284" t="s">
        <v>287</v>
      </c>
      <c r="F18" s="11"/>
      <c r="G18" s="283" t="s">
        <v>326</v>
      </c>
      <c r="H18" s="283">
        <v>0.0</v>
      </c>
      <c r="I18" s="283">
        <f>IF(Class_Skills="No", FLOOR(Points/2,1), Points)</f>
        <v>0</v>
      </c>
      <c r="J18" s="285">
        <f>IF(I61&gt;=5, 2, 0)+if(countif($G$8:$G$13,indirect("B"&amp;row()))=0,0,VLOOKUP(indirect("B"&amp;row()),$G$8:$H$13,2,False))+if(countif($I$8:$K$13,indirect("B"&amp;row()))=0,0,VLOOKUP(indirect("B"&amp;row()),$I$8:$K$13,3,False))+P11
+
if(Main!AD5,-4,0)</f>
        <v>0</v>
      </c>
      <c r="K18" s="285">
        <f>IF(AND(Trained_Only="Yes", Ranks=0), "NA", INDIRECT(Key_Ability)+Ranks+Misc_Mods-IF(Armor_Check_Penalty="Yes", IF(Skills="Swim", G3*2, G3)))</f>
        <v>0</v>
      </c>
      <c r="L18" s="60"/>
      <c r="M18" s="284" t="s">
        <v>478</v>
      </c>
      <c r="N18" s="11"/>
      <c r="O18" s="293" t="s">
        <v>479</v>
      </c>
      <c r="P18" s="11"/>
    </row>
    <row r="19">
      <c r="A19" s="281"/>
      <c r="B19" s="294" t="s">
        <v>478</v>
      </c>
      <c r="C19" s="288" t="str">
        <f t="array" ref="C19">if(isblank($P$3),"Enter Class",IF(or(dget(class_skills_table,$P$3,{"Skill";indirect("B"&amp;row())}),dget(class_skills_table,$P$4,{"Skill";indirect("B"&amp;row())}),dget(class_skills_table,$P$5,{"Skill";indirect("B"&amp;row())}),dget(class_skills_table,$P$6,{"Skill";indirect("B"&amp;row())}),dget(class_skills_table,$P$7,{"Skill";indirect("B"&amp;row())})), "Yes", "No"))</f>
        <v>No</v>
      </c>
      <c r="D19" s="288" t="s">
        <v>472</v>
      </c>
      <c r="E19" s="295" t="s">
        <v>299</v>
      </c>
      <c r="F19" s="4"/>
      <c r="G19" s="288" t="s">
        <v>472</v>
      </c>
      <c r="H19" s="288">
        <v>0.0</v>
      </c>
      <c r="I19" s="288">
        <f>IF(Class_Skills="No", FLOOR(Points/2,1), Points)</f>
        <v>0</v>
      </c>
      <c r="J19" s="291">
        <f t="array" ref="J19">if(countif($G$8:$G$13,indirect("B"&amp;row()))=0,0,VLOOKUP(indirect("B"&amp;row()),$G$8:$H$13,2,False))+if(countif($I$8:$K$13,indirect("B"&amp;row()))=0,0,VLOOKUP(indirect("B"&amp;row()),$I$8:$K$13,3,False))+P11
+
if(and('Class Abilities'!$P$26,iferror(dget(Main!$B$3:$C$6,Main!$C$3,{"Class";"Ranger"}),0)&gt;0),(floor(iferror(dget(Main!$B$3:$C$6,Main!$C$3,{"Class";"Ranger"}),0)/5,1)+1)*2,0)
+
if('Spell Switchboard'!D38,30,0)</f>
        <v>0</v>
      </c>
      <c r="K19" s="291">
        <f>IF(AND(Trained_Only="Yes", Ranks=0), "NA", INDIRECT(Key_Ability)+Ranks+Misc_Mods-IF(Armor_Check_Penalty="Yes", IF(Skills="Swim", G3*2, G3)))</f>
        <v>0</v>
      </c>
      <c r="L19" s="60"/>
      <c r="M19" s="295" t="s">
        <v>478</v>
      </c>
      <c r="N19" s="4"/>
      <c r="O19" s="296" t="s">
        <v>480</v>
      </c>
      <c r="P19" s="4"/>
    </row>
    <row r="20">
      <c r="A20" s="297"/>
      <c r="B20" s="282" t="s">
        <v>481</v>
      </c>
      <c r="C20" s="283" t="str">
        <f t="array" ref="C20">if(isblank($P$3),"Enter Class",IF(or(dget(class_skills_table,$P$3,{"Skill";indirect("B"&amp;row())}),dget(class_skills_table,$P$4,{"Skill";indirect("B"&amp;row())}),dget(class_skills_table,$P$5,{"Skill";indirect("B"&amp;row())}),dget(class_skills_table,$P$6,{"Skill";indirect("B"&amp;row())}),dget(class_skills_table,$P$7,{"Skill";indirect("B"&amp;row())})), "Yes", "No"))</f>
        <v>No</v>
      </c>
      <c r="D20" s="283" t="s">
        <v>472</v>
      </c>
      <c r="E20" s="284" t="s">
        <v>284</v>
      </c>
      <c r="F20" s="11"/>
      <c r="G20" s="283" t="s">
        <v>326</v>
      </c>
      <c r="H20" s="283">
        <v>0.0</v>
      </c>
      <c r="I20" s="283">
        <f>IF(Class_Skills="No", FLOOR(Points/2,1), Points)</f>
        <v>0</v>
      </c>
      <c r="J20" s="285">
        <f>IF(H3="Halfling",2,0)+if(countif($G$8:$G$13,indirect("B"&amp;row()))=0,0,VLOOKUP(indirect("B"&amp;row()),$G$8:$H$13,2,False))+if(countif($I$8:$K$13,indirect("B"&amp;row()))=0,0,VLOOKUP(indirect("B"&amp;row()),$I$8:$K$13,3,False))+P11
+
if(Main!AD5,-4,0)</f>
        <v>0</v>
      </c>
      <c r="K20" s="285">
        <f>IF(AND(Trained_Only="Yes", Ranks=0), "NA", INDIRECT(Key_Ability)+Ranks+Misc_Mods-IF(Armor_Check_Penalty="Yes", IF(Skills="Swim", G3*2, G3)))</f>
        <v>0</v>
      </c>
      <c r="L20" s="60"/>
      <c r="M20" s="284" t="s">
        <v>478</v>
      </c>
      <c r="N20" s="11"/>
      <c r="O20" s="298" t="s">
        <v>482</v>
      </c>
      <c r="P20" s="11"/>
    </row>
    <row r="21">
      <c r="A21" s="297"/>
      <c r="B21" s="294" t="s">
        <v>483</v>
      </c>
      <c r="C21" s="288" t="str">
        <f t="array" ref="C21">if(isblank($P$3),"Enter Class",IF(or(dget(class_skills_table,$P$3,{"Skill";indirect("B"&amp;row())}),dget(class_skills_table,$P$4,{"Skill";indirect("B"&amp;row())}),dget(class_skills_table,$P$5,{"Skill";indirect("B"&amp;row())}),dget(class_skills_table,$P$6,{"Skill";indirect("B"&amp;row())}),dget(class_skills_table,$P$7,{"Skill";indirect("B"&amp;row())})), "Yes", "No"))</f>
        <v>No</v>
      </c>
      <c r="D21" s="288" t="s">
        <v>472</v>
      </c>
      <c r="E21" s="295" t="s">
        <v>290</v>
      </c>
      <c r="F21" s="4"/>
      <c r="G21" s="288" t="s">
        <v>472</v>
      </c>
      <c r="H21" s="288">
        <v>0.0</v>
      </c>
      <c r="I21" s="288">
        <f>IF(Class_Skills="No", FLOOR(Points/2,1), Points)</f>
        <v>0</v>
      </c>
      <c r="J21" s="291">
        <f>if(countif($G$8:$G$13,indirect("B"&amp;row()))=0,0,VLOOKUP(indirect("B"&amp;row()),$G$8:$H$13,2,False))+if(countif($I$8:$K$13,indirect("B"&amp;row()))=0,0,VLOOKUP(indirect("B"&amp;row()),$I$8:$K$13,3,False))+P11
+
if(Feats!P3,4,0)</f>
        <v>0</v>
      </c>
      <c r="K21" s="291">
        <f>IF(AND(Trained_Only="Yes", Ranks=0), "NA", INDIRECT(Key_Ability)+Ranks+Misc_Mods-IF(Armor_Check_Penalty="Yes", IF(Skills="Swim", G3*2, G3)))</f>
        <v>0</v>
      </c>
      <c r="L21" s="60"/>
      <c r="M21" s="295" t="s">
        <v>478</v>
      </c>
      <c r="N21" s="4"/>
      <c r="O21" s="296" t="s">
        <v>484</v>
      </c>
      <c r="P21" s="4"/>
    </row>
    <row r="22">
      <c r="A22" s="297"/>
      <c r="B22" s="282" t="s">
        <v>485</v>
      </c>
      <c r="C22" s="283" t="str">
        <f t="array" ref="C22">if(isblank($P$3),"Enter Class",IF(or(dget(class_skills_table,$P$3,{"Skill";indirect("B"&amp;row())}),dget(class_skills_table,$P$4,{"Skill";indirect("B"&amp;row())}),dget(class_skills_table,$P$5,{"Skill";indirect("B"&amp;row())}),dget(class_skills_table,$P$6,{"Skill";indirect("B"&amp;row())}),dget(class_skills_table,$P$7,{"Skill";indirect("B"&amp;row())})), "Yes", "No"))</f>
        <v>No</v>
      </c>
      <c r="D22" s="283" t="s">
        <v>472</v>
      </c>
      <c r="E22" s="284" t="s">
        <v>293</v>
      </c>
      <c r="F22" s="11"/>
      <c r="G22" s="283" t="s">
        <v>472</v>
      </c>
      <c r="H22" s="283">
        <v>0.0</v>
      </c>
      <c r="I22" s="283">
        <f>IF(Class_Skills="No", FLOOR(Points/2,1), Points)</f>
        <v>0</v>
      </c>
      <c r="J22" s="285">
        <f>if(countif($G$8:$G$13,indirect("B"&amp;row()))=0,0,VLOOKUP(indirect("B"&amp;row()),$G$8:$H$13,2,False))+if(countif($I$8:$K$13,indirect("B"&amp;row()))=0,0,VLOOKUP(indirect("B"&amp;row()),$I$8:$K$13,3,False))+P11</f>
        <v>0</v>
      </c>
      <c r="K22" s="285">
        <f>IF(AND(Trained_Only="Yes", Ranks=0), "NA", INDIRECT(Key_Ability)+Ranks+Misc_Mods-IF(Armor_Check_Penalty="Yes", IF(Skills="Swim", G3*2, G3)))</f>
        <v>0</v>
      </c>
      <c r="L22" s="60"/>
      <c r="M22" s="299" t="s">
        <v>483</v>
      </c>
      <c r="N22" s="11"/>
      <c r="O22" s="300" t="s">
        <v>486</v>
      </c>
      <c r="P22" s="11"/>
    </row>
    <row r="23">
      <c r="A23" s="297"/>
      <c r="B23" s="294" t="s">
        <v>487</v>
      </c>
      <c r="C23" s="288" t="str">
        <f t="array" ref="C23">if(isblank($P$3),"Enter Class",IF(or(dget(class_skills_table,$P$3,{"Skill";indirect("B"&amp;row())}),dget(class_skills_table,$P$4,{"Skill";indirect("B"&amp;row())}),dget(class_skills_table,$P$5,{"Skill";indirect("B"&amp;row())}),dget(class_skills_table,$P$6,{"Skill";indirect("B"&amp;row())}),dget(class_skills_table,$P$7,{"Skill";indirect("B"&amp;row())})), "Yes", "No"))</f>
        <v>No</v>
      </c>
      <c r="D23" s="288" t="s">
        <v>326</v>
      </c>
      <c r="E23" s="295" t="s">
        <v>293</v>
      </c>
      <c r="F23" s="4"/>
      <c r="G23" s="288" t="s">
        <v>472</v>
      </c>
      <c r="H23" s="288">
        <v>0.0</v>
      </c>
      <c r="I23" s="288">
        <f>IF(Class_Skills="No", FLOOR(Points/2,1), Points)</f>
        <v>0</v>
      </c>
      <c r="J23" s="291">
        <f>if(countif($G$8:$G$13,indirect("B"&amp;row()))=0,0,VLOOKUP(indirect("B"&amp;row()),$G$8:$H$13,2,False))+if(countif($I$8:$K$13,indirect("B"&amp;row()))=0,0,VLOOKUP(indirect("B"&amp;row()),$I$8:$K$13,3,False))+P11</f>
        <v>0</v>
      </c>
      <c r="K23" s="291" t="str">
        <f>IF(AND(Trained_Only="Yes", Ranks=0), "NA", INDIRECT(Key_Ability)+Ranks+Misc_Mods-IF(Armor_Check_Penalty="Yes", IF(Skills="Swim", G3*2, G3)))</f>
        <v>NA</v>
      </c>
      <c r="L23" s="60"/>
      <c r="M23" s="295" t="s">
        <v>488</v>
      </c>
      <c r="N23" s="4"/>
      <c r="O23" s="296" t="s">
        <v>489</v>
      </c>
      <c r="P23" s="4"/>
    </row>
    <row r="24">
      <c r="A24" s="297"/>
      <c r="B24" s="282" t="s">
        <v>490</v>
      </c>
      <c r="C24" s="283" t="str">
        <f t="array" ref="C24">if(isblank($P$3),"Enter Class",IF(or(dget(class_skills_table,$P$3,{"Skill";indirect("B"&amp;row())}),dget(class_skills_table,$P$4,{"Skill";indirect("B"&amp;row())}),dget(class_skills_table,$P$5,{"Skill";indirect("B"&amp;row())}),dget(class_skills_table,$P$6,{"Skill";indirect("B"&amp;row())}),dget(class_skills_table,$P$7,{"Skill";indirect("B"&amp;row())})), "Yes", "No"))</f>
        <v>No</v>
      </c>
      <c r="D24" s="283" t="s">
        <v>472</v>
      </c>
      <c r="E24" s="284" t="s">
        <v>299</v>
      </c>
      <c r="F24" s="11"/>
      <c r="G24" s="283" t="s">
        <v>472</v>
      </c>
      <c r="H24" s="283">
        <v>0.0</v>
      </c>
      <c r="I24" s="283">
        <f>IF(Class_Skills="No", FLOOR(Points/2,1), Points)</f>
        <v>0</v>
      </c>
      <c r="J24" s="285">
        <f>IF(I19&gt;=5, 2, 0)+IF(I42&gt;=5, 2, 0)+IF(I54&gt;=5, 2, 0)+IF(H3="Half-Elf",2,0)+if(countif($G$8:$G$13,indirect("B"&amp;row()))=0,0,VLOOKUP(indirect("B"&amp;row()),$G$8:$H$13,2,False))+if(countif($I$8:$K$13,indirect("B"&amp;row()))=0,0,VLOOKUP(indirect("B"&amp;row()),$I$8:$K$13,3,False))+P11</f>
        <v>0</v>
      </c>
      <c r="K24" s="285">
        <f>IF(AND(Trained_Only="Yes", Ranks=0), "NA", INDIRECT(Key_Ability)+Ranks+Misc_Mods-IF(Armor_Check_Penalty="Yes", IF(Skills="Swim", G3*2, G3)))</f>
        <v>0</v>
      </c>
      <c r="L24" s="60"/>
      <c r="M24" s="284" t="s">
        <v>487</v>
      </c>
      <c r="N24" s="11"/>
      <c r="O24" s="301" t="s">
        <v>491</v>
      </c>
      <c r="P24" s="302"/>
    </row>
    <row r="25">
      <c r="A25" s="281"/>
      <c r="B25" s="294" t="s">
        <v>492</v>
      </c>
      <c r="C25" s="288" t="str">
        <f t="array" ref="C25">if(isblank($P$3),"Enter Class",IF(or(dget(class_skills_table,$P$3,{"Skill";indirect("B"&amp;row())}),dget(class_skills_table,$P$4,{"Skill";indirect("B"&amp;row())}),dget(class_skills_table,$P$5,{"Skill";indirect("B"&amp;row())}),dget(class_skills_table,$P$6,{"Skill";indirect("B"&amp;row())}),dget(class_skills_table,$P$7,{"Skill";indirect("B"&amp;row())})), "Yes", "No"))</f>
        <v>No</v>
      </c>
      <c r="D25" s="288" t="s">
        <v>326</v>
      </c>
      <c r="E25" s="295" t="s">
        <v>293</v>
      </c>
      <c r="F25" s="4"/>
      <c r="G25" s="288" t="s">
        <v>472</v>
      </c>
      <c r="H25" s="288">
        <v>0.0</v>
      </c>
      <c r="I25" s="288">
        <f>IF(Class_Skills="No", FLOOR(Points/2,1), Points)</f>
        <v>0</v>
      </c>
      <c r="J25" s="291">
        <f>if(countif($G$8:$G$13,indirect("B"&amp;row()))=0,0,VLOOKUP(indirect("B"&amp;row()),$G$8:$H$13,2,False))+if(countif($I$8:$K$13,indirect("B"&amp;row()))=0,0,VLOOKUP(indirect("B"&amp;row()),$I$8:$K$13,3,False))+P11</f>
        <v>0</v>
      </c>
      <c r="K25" s="303" t="str">
        <f>IF(AND(Trained_Only="Yes", Ranks=0), "NA", INDIRECT(Key_Ability)+Ranks+Misc_Mods-IF(Armor_Check_Penalty="Yes", IF(Skills="Swim", G3*2, G3)))</f>
        <v>NA</v>
      </c>
      <c r="L25" s="60"/>
      <c r="M25" s="295" t="s">
        <v>493</v>
      </c>
      <c r="N25" s="4"/>
      <c r="O25" s="296" t="s">
        <v>494</v>
      </c>
      <c r="P25" s="4"/>
    </row>
    <row r="26">
      <c r="A26" s="281"/>
      <c r="B26" s="282" t="s">
        <v>495</v>
      </c>
      <c r="C26" s="283" t="str">
        <f t="array" ref="C26">if(isblank($P$3),"Enter Class",IF(or(dget(class_skills_table,$P$3,{"Skill";indirect("B"&amp;row())}),dget(class_skills_table,$P$4,{"Skill";indirect("B"&amp;row())}),dget(class_skills_table,$P$5,{"Skill";indirect("B"&amp;row())}),dget(class_skills_table,$P$6,{"Skill";indirect("B"&amp;row())}),dget(class_skills_table,$P$7,{"Skill";indirect("B"&amp;row())})), "Yes", "No"))</f>
        <v>No</v>
      </c>
      <c r="D26" s="283" t="s">
        <v>472</v>
      </c>
      <c r="E26" s="284" t="s">
        <v>299</v>
      </c>
      <c r="F26" s="11"/>
      <c r="G26" s="283" t="s">
        <v>472</v>
      </c>
      <c r="H26" s="283">
        <v>0.0</v>
      </c>
      <c r="I26" s="283">
        <f>IF(Class_Skills="No", FLOOR(Points/2,1), Points)</f>
        <v>0</v>
      </c>
      <c r="J26" s="285">
        <f>if(countif($G$8:$G$13,indirect("B"&amp;row()))=0,0,VLOOKUP(indirect("B"&amp;row()),$G$8:$H$13,2,False))+if(countif($I$8:$K$13,indirect("B"&amp;row()))=0,0,VLOOKUP(indirect("B"&amp;row()),$I$8:$K$13,3,False))+P11
+if('Spell Switchboard'!D19,10,0)
+if('Spell Switchboard'!S4,10,0)</f>
        <v>0</v>
      </c>
      <c r="K26" s="285">
        <f>IF(AND(Trained_Only="Yes", Ranks=0), "NA", INDIRECT(Key_Ability)+Ranks+Misc_Mods-IF(Armor_Check_Penalty="Yes", IF(Skills="Swim", G3*2, G3)))</f>
        <v>0</v>
      </c>
      <c r="L26" s="60"/>
      <c r="M26" s="284" t="s">
        <v>496</v>
      </c>
      <c r="N26" s="11"/>
      <c r="O26" s="298" t="s">
        <v>497</v>
      </c>
      <c r="P26" s="11"/>
    </row>
    <row r="27">
      <c r="A27" s="281"/>
      <c r="B27" s="294" t="s">
        <v>493</v>
      </c>
      <c r="C27" s="288" t="str">
        <f t="array" ref="C27">if(isblank($P$3),"Enter Class",IF(or(dget(class_skills_table,$P$3,{"Skill";indirect("B"&amp;row())}),dget(class_skills_table,$P$4,{"Skill";indirect("B"&amp;row())}),dget(class_skills_table,$P$5,{"Skill";indirect("B"&amp;row())}),dget(class_skills_table,$P$6,{"Skill";indirect("B"&amp;row())}),dget(class_skills_table,$P$7,{"Skill";indirect("B"&amp;row())})), "Yes", "No"))</f>
        <v>No</v>
      </c>
      <c r="D27" s="288" t="s">
        <v>472</v>
      </c>
      <c r="E27" s="295" t="s">
        <v>287</v>
      </c>
      <c r="F27" s="4"/>
      <c r="G27" s="288" t="s">
        <v>326</v>
      </c>
      <c r="H27" s="288">
        <v>0.0</v>
      </c>
      <c r="I27" s="288">
        <f>IF(Class_Skills="No", FLOOR(Points/2,1), Points)</f>
        <v>0</v>
      </c>
      <c r="J27" s="291">
        <f>if(countif($G$8:$G$13,indirect("B"&amp;row()))=0,0,VLOOKUP(indirect("B"&amp;row()),$G$8:$H$13,2,False))+if(countif($I$8:$K$13,indirect("B"&amp;row()))=0,0,VLOOKUP(indirect("B"&amp;row()),$I$8:$K$13,3,False))+P11
+
if(Main!AD5,-4,0)</f>
        <v>0</v>
      </c>
      <c r="K27" s="291">
        <f>IF(AND(Trained_Only="Yes", Ranks=0), "NA", INDIRECT(Key_Ability)+Ranks+Misc_Mods-IF(Armor_Check_Penalty="Yes", IF(Skills="Swim", G3*2, G3)))</f>
        <v>0</v>
      </c>
      <c r="L27" s="60"/>
      <c r="M27" s="295" t="s">
        <v>496</v>
      </c>
      <c r="N27" s="4"/>
      <c r="O27" s="296" t="s">
        <v>498</v>
      </c>
      <c r="P27" s="4"/>
    </row>
    <row r="28">
      <c r="A28" s="281"/>
      <c r="B28" s="282" t="s">
        <v>499</v>
      </c>
      <c r="C28" s="283" t="str">
        <f t="array" ref="C28">if(isblank($P$3),"Enter Class",IF(or(dget(class_skills_table,$P$3,{"Skill";indirect("B"&amp;row())}),dget(class_skills_table,$P$4,{"Skill";indirect("B"&amp;row())}),dget(class_skills_table,$P$5,{"Skill";indirect("B"&amp;row())}),dget(class_skills_table,$P$6,{"Skill";indirect("B"&amp;row())}),dget(class_skills_table,$P$7,{"Skill";indirect("B"&amp;row())})), "Yes", "No"))</f>
        <v>No</v>
      </c>
      <c r="D28" s="283" t="s">
        <v>472</v>
      </c>
      <c r="E28" s="284" t="s">
        <v>293</v>
      </c>
      <c r="F28" s="11"/>
      <c r="G28" s="283" t="s">
        <v>472</v>
      </c>
      <c r="H28" s="283">
        <v>0.0</v>
      </c>
      <c r="I28" s="283">
        <f>IF(Class_Skills="No", FLOOR(Points/2,1), Points)</f>
        <v>0</v>
      </c>
      <c r="J28" s="285">
        <f>if(countif($G$8:$G$13,indirect("B"&amp;row()))=0,0,VLOOKUP(indirect("B"&amp;row()),$G$8:$H$13,2,False))+if(countif($I$8:$K$13,indirect("B"&amp;row()))=0,0,VLOOKUP(indirect("B"&amp;row()),$I$8:$K$13,3,False))+P11</f>
        <v>0</v>
      </c>
      <c r="K28" s="285">
        <f>IF(AND(Trained_Only="Yes", Ranks=0), "NA", INDIRECT(Key_Ability)+Ranks+Misc_Mods-IF(Armor_Check_Penalty="Yes", IF(Skills="Swim", G3*2, G3)))</f>
        <v>0</v>
      </c>
      <c r="L28" s="60"/>
      <c r="M28" s="284" t="s">
        <v>500</v>
      </c>
      <c r="N28" s="11"/>
      <c r="O28" s="298" t="s">
        <v>501</v>
      </c>
      <c r="P28" s="11"/>
    </row>
    <row r="29">
      <c r="A29" s="281"/>
      <c r="B29" s="294" t="s">
        <v>502</v>
      </c>
      <c r="C29" s="288" t="str">
        <f t="array" ref="C29">if(isblank($P$3),"Enter Class",IF(or(dget(class_skills_table,$P$3,{"Skill";indirect("B"&amp;row())}),dget(class_skills_table,$P$4,{"Skill";indirect("B"&amp;row())}),dget(class_skills_table,$P$5,{"Skill";indirect("B"&amp;row())}),dget(class_skills_table,$P$6,{"Skill";indirect("B"&amp;row())}),dget(class_skills_table,$P$7,{"Skill";indirect("B"&amp;row())})), "Yes", "No"))</f>
        <v>No</v>
      </c>
      <c r="D29" s="288" t="s">
        <v>472</v>
      </c>
      <c r="E29" s="295" t="s">
        <v>299</v>
      </c>
      <c r="F29" s="4"/>
      <c r="G29" s="288" t="s">
        <v>472</v>
      </c>
      <c r="H29" s="288">
        <v>0.0</v>
      </c>
      <c r="I29" s="288">
        <f>IF(Class_Skills="No", FLOOR(Points/2,1), Points)</f>
        <v>0</v>
      </c>
      <c r="J29" s="291">
        <f>IF(I40&gt;=5, 2, 0)+IF(H3="Half-Elf",2,0)+if(countif($G$8:$G$13,indirect("B"&amp;row()))=0,0,VLOOKUP(indirect("B"&amp;row()),$G$8:$H$13,2,False))+if(countif($I$8:$K$13,indirect("B"&amp;row()))=0,0,VLOOKUP(indirect("B"&amp;row()),$I$8:$K$13,3,False))+P11</f>
        <v>0</v>
      </c>
      <c r="K29" s="291">
        <f>IF(AND(Trained_Only="Yes", Ranks=0), "NA", INDIRECT(Key_Ability)+Ranks+Misc_Mods-IF(Armor_Check_Penalty="Yes", IF(Skills="Swim", G3*2, G3)))</f>
        <v>0</v>
      </c>
      <c r="L29" s="60"/>
      <c r="M29" s="295" t="s">
        <v>503</v>
      </c>
      <c r="N29" s="4"/>
      <c r="O29" s="296" t="s">
        <v>504</v>
      </c>
      <c r="P29" s="4"/>
    </row>
    <row r="30">
      <c r="A30" s="281"/>
      <c r="B30" s="282" t="s">
        <v>496</v>
      </c>
      <c r="C30" s="283" t="str">
        <f t="array" ref="C30">if(isblank($P$3),"Enter Class",IF(or(dget(class_skills_table,$P$3,{"Skill";indirect("B"&amp;row())}),dget(class_skills_table,$P$4,{"Skill";indirect("B"&amp;row())}),dget(class_skills_table,$P$5,{"Skill";indirect("B"&amp;row())}),dget(class_skills_table,$P$6,{"Skill";indirect("B"&amp;row())}),dget(class_skills_table,$P$7,{"Skill";indirect("B"&amp;row())})), "Yes", "No"))</f>
        <v>No</v>
      </c>
      <c r="D30" s="283" t="s">
        <v>326</v>
      </c>
      <c r="E30" s="284" t="s">
        <v>299</v>
      </c>
      <c r="F30" s="11"/>
      <c r="G30" s="283" t="s">
        <v>472</v>
      </c>
      <c r="H30" s="283">
        <v>0.0</v>
      </c>
      <c r="I30" s="283">
        <f>IF(Class_Skills="No", FLOOR(Points/2,1), Points)</f>
        <v>0</v>
      </c>
      <c r="J30" s="304">
        <f>if(countif($G$8:$G$13,indirect("B"&amp;row()))=0,0,VLOOKUP(indirect("B"&amp;row()),$G$8:$H$13,2,False))+if(countif($I$8:$K$13,indirect("B"&amp;row()))=0,0,VLOOKUP(indirect("B"&amp;row()),$I$8:$K$13,3,False))+P11</f>
        <v>0</v>
      </c>
      <c r="K30" s="285" t="str">
        <f>IF(AND(Trained_Only="Yes", Ranks=0), "NA", INDIRECT(Key_Ability)+Ranks+Misc_Mods-IF(Armor_Check_Penalty="Yes", IF(Skills="Swim", G3*2, G3)))</f>
        <v>NA</v>
      </c>
      <c r="L30" s="60"/>
      <c r="M30" s="266" t="s">
        <v>505</v>
      </c>
      <c r="N30" s="11"/>
      <c r="O30" s="305" t="s">
        <v>506</v>
      </c>
      <c r="P30" s="11"/>
    </row>
    <row r="31">
      <c r="A31" s="281"/>
      <c r="B31" s="294" t="s">
        <v>507</v>
      </c>
      <c r="C31" s="288" t="str">
        <f t="array" ref="C31">if(isblank($P$3),"Enter Class",IF(or(dget(class_skills_table,$P$3,{"Skill";indirect("B"&amp;row())}),dget(class_skills_table,$P$4,{"Skill";indirect("B"&amp;row())}),dget(class_skills_table,$P$5,{"Skill";indirect("B"&amp;row())}),dget(class_skills_table,$P$6,{"Skill";indirect("B"&amp;row())}),dget(class_skills_table,$P$7,{"Skill";indirect("B"&amp;row())})), "Yes", "No"))</f>
        <v>No</v>
      </c>
      <c r="D31" s="288" t="s">
        <v>472</v>
      </c>
      <c r="E31" s="295" t="s">
        <v>296</v>
      </c>
      <c r="F31" s="4"/>
      <c r="G31" s="288" t="s">
        <v>472</v>
      </c>
      <c r="H31" s="288">
        <v>0.0</v>
      </c>
      <c r="I31" s="288">
        <f>IF(Class_Skills="No", FLOOR(Points/2,1), Points)</f>
        <v>0</v>
      </c>
      <c r="J31" s="291">
        <f>if(countif($G$8:$G$13,indirect("B"&amp;row()))=0,0,VLOOKUP(indirect("B"&amp;row()),$G$8:$H$13,2,False))+if(countif($I$8:$K$13,indirect("B"&amp;row()))=0,0,VLOOKUP(indirect("B"&amp;row()),$I$8:$K$13,3,False))+P11</f>
        <v>0</v>
      </c>
      <c r="K31" s="291">
        <f>IF(AND(Trained_Only="Yes", Ranks=0), "NA", INDIRECT(Key_Ability)+Ranks+Misc_Mods-IF(Armor_Check_Penalty="Yes", IF(Skills="Swim", G3*2, G3)))</f>
        <v>0</v>
      </c>
      <c r="L31" s="60"/>
      <c r="M31" s="295" t="s">
        <v>508</v>
      </c>
      <c r="N31" s="4"/>
      <c r="O31" s="306" t="s">
        <v>509</v>
      </c>
      <c r="P31" s="4"/>
    </row>
    <row r="32">
      <c r="A32" s="281"/>
      <c r="B32" s="282" t="s">
        <v>510</v>
      </c>
      <c r="C32" s="283" t="str">
        <f t="array" ref="C32">if(isblank($P$3),"Enter Class",IF(or(dget(class_skills_table,$P$3,{"Skill";indirect("B"&amp;row())}),dget(class_skills_table,$P$4,{"Skill";indirect("B"&amp;row())}),dget(class_skills_table,$P$5,{"Skill";indirect("B"&amp;row())}),dget(class_skills_table,$P$6,{"Skill";indirect("B"&amp;row())}),dget(class_skills_table,$P$7,{"Skill";indirect("B"&amp;row())})), "Yes", "No"))</f>
        <v>No</v>
      </c>
      <c r="D32" s="283" t="s">
        <v>472</v>
      </c>
      <c r="E32" s="284" t="s">
        <v>287</v>
      </c>
      <c r="F32" s="11"/>
      <c r="G32" s="283" t="s">
        <v>326</v>
      </c>
      <c r="H32" s="283">
        <v>0.0</v>
      </c>
      <c r="I32" s="283">
        <f>IF(Class_Skills="No", FLOOR(Points/2,1), Points)</f>
        <v>0</v>
      </c>
      <c r="J32" s="285">
        <f>IF(OR(H3="Gnome",H3="Halfling"),4,0)+if(countif($G$8:$G$13,indirect("B"&amp;row()))=0,0,VLOOKUP(indirect("B"&amp;row()),$G$8:$H$13,2,False))+if(countif($I$8:$K$13,indirect("B"&amp;row()))=0,0,VLOOKUP(indirect("B"&amp;row()),$I$8:$K$13,3,False))+P11
+
if(Main!AD5,-4,0)</f>
        <v>0</v>
      </c>
      <c r="K32" s="285">
        <f>IF(AND(Trained_Only="Yes", Ranks=0), "NA", INDIRECT(Key_Ability)+Ranks+Misc_Mods-IF(Armor_Check_Penalty="Yes", IF(Skills="Swim", G3*2, G3)))</f>
        <v>0</v>
      </c>
      <c r="L32" s="60"/>
      <c r="M32" s="284" t="s">
        <v>511</v>
      </c>
      <c r="N32" s="11"/>
      <c r="O32" s="305" t="s">
        <v>512</v>
      </c>
      <c r="P32" s="11"/>
    </row>
    <row r="33">
      <c r="A33" s="281"/>
      <c r="B33" s="294" t="s">
        <v>513</v>
      </c>
      <c r="C33" s="288" t="str">
        <f t="array" ref="C33">if(isblank($P$3),"Enter Class",IF(or(dget(class_skills_table,$P$3,{"Skill";indirect("B"&amp;row())}),dget(class_skills_table,$P$4,{"Skill";indirect("B"&amp;row())}),dget(class_skills_table,$P$5,{"Skill";indirect("B"&amp;row())}),dget(class_skills_table,$P$6,{"Skill";indirect("B"&amp;row())}),dget(class_skills_table,$P$7,{"Skill";indirect("B"&amp;row())})), "Yes", "No"))</f>
        <v>No</v>
      </c>
      <c r="D33" s="288" t="s">
        <v>472</v>
      </c>
      <c r="E33" s="295" t="s">
        <v>299</v>
      </c>
      <c r="F33" s="4"/>
      <c r="G33" s="288" t="s">
        <v>472</v>
      </c>
      <c r="H33" s="288">
        <v>0.0</v>
      </c>
      <c r="I33" s="288">
        <f>IF(Class_Skills="No", FLOOR(Points/2,1), Points)</f>
        <v>0</v>
      </c>
      <c r="J33" s="291">
        <f>IF(I19&gt;=5, 2, 0)+if(countif($G$8:$G$13,indirect("B"&amp;row()))=0,0,VLOOKUP(indirect("B"&amp;row()),$G$8:$H$13,2,False))+if(countif($I$8:$K$13,indirect("B"&amp;row()))=0,0,VLOOKUP(indirect("B"&amp;row()),$I$8:$K$13,3,False))+P11</f>
        <v>0</v>
      </c>
      <c r="K33" s="291">
        <f>IF(AND(Trained_Only="Yes", Ranks=0), "NA", INDIRECT(Key_Ability)+Ranks+Misc_Mods-IF(Armor_Check_Penalty="Yes", IF(Skills="Swim", G3*2, G3)))</f>
        <v>0</v>
      </c>
      <c r="L33" s="60"/>
      <c r="M33" s="295" t="s">
        <v>514</v>
      </c>
      <c r="N33" s="4"/>
      <c r="O33" s="306" t="s">
        <v>515</v>
      </c>
      <c r="P33" s="4"/>
    </row>
    <row r="34">
      <c r="A34" s="281"/>
      <c r="B34" s="282" t="s">
        <v>500</v>
      </c>
      <c r="C34" s="283" t="str">
        <f t="array" ref="C34">if(isblank($P$3),"Enter Class",IF(or(dget(class_skills_table,$P$3,{"Skill";indirect("B"&amp;row())}),dget(class_skills_table,$P$4,{"Skill";indirect("B"&amp;row())}),dget(class_skills_table,$P$5,{"Skill";indirect("B"&amp;row())}),dget(class_skills_table,$P$6,{"Skill";indirect("B"&amp;row())}),dget(class_skills_table,$P$7,{"Skill";indirect("B"&amp;row())})), "Yes", "No"))</f>
        <v>No</v>
      </c>
      <c r="D34" s="283" t="s">
        <v>472</v>
      </c>
      <c r="E34" s="284" t="s">
        <v>284</v>
      </c>
      <c r="F34" s="11"/>
      <c r="G34" s="283" t="s">
        <v>326</v>
      </c>
      <c r="H34" s="283">
        <v>0.0</v>
      </c>
      <c r="I34" s="283">
        <f>IF(Class_Skills="No", FLOOR(Points/2,1), Points)</f>
        <v>0</v>
      </c>
      <c r="J34" s="285">
        <f>IF(I61&gt;=5, 2, 0)+IF(H3="Halfling",2,0)+IF(K3=30,0,IF(K3&gt;30, (K3-30)*(4/10),(K3-30)*(6/10)))+if(countif($G$8:$G$13,indirect("B"&amp;row()))=0,0,VLOOKUP(indirect("B"&amp;row()),$G$8:$H$13,2,False))+if(countif($I$8:$K$13,indirect("B"&amp;row()))=0,0,VLOOKUP(indirect("B"&amp;row()),$I$8:$K$13,3,False))+P11
+
if(Feats!P12,4,0)
+
if('Spell Switchboard'!I18,if('Spell Switchboard'!J18&gt;=9,30,if('Spell Switchboard'!J18&gt;=5,20,10)))
+
if(Main!AD5,-4,0)</f>
        <v>0</v>
      </c>
      <c r="K34" s="285">
        <f>IF(AND(Trained_Only="Yes", Ranks=0), "NA", INDIRECT(Key_Ability)+Ranks+Misc_Mods-IF(Armor_Check_Penalty="Yes", IF(Skills="Swim", G3*2, G3)))</f>
        <v>0</v>
      </c>
      <c r="L34" s="60"/>
      <c r="M34" s="284" t="s">
        <v>516</v>
      </c>
      <c r="N34" s="11"/>
      <c r="O34" s="305" t="s">
        <v>517</v>
      </c>
      <c r="P34" s="11"/>
    </row>
    <row r="35">
      <c r="A35" s="281"/>
      <c r="B35" s="294" t="s">
        <v>503</v>
      </c>
      <c r="C35" s="288" t="str">
        <f t="array" ref="C35">if(isblank($P$3),"Enter Class",IF(or(dget(class_skills_table,$P$3,{"Skill";indirect("B"&amp;row())}),dget(class_skills_table,$P$4,{"Skill";indirect("B"&amp;row())}),dget(class_skills_table,$P$5,{"Skill";indirect("B"&amp;row())}),dget(class_skills_table,$P$6,{"Skill";indirect("B"&amp;row())}),dget(class_skills_table,$P$7,{"Skill";indirect("B"&amp;row())})), "Yes", "No"))</f>
        <v>No</v>
      </c>
      <c r="D35" s="288" t="s">
        <v>326</v>
      </c>
      <c r="E35" s="295" t="s">
        <v>293</v>
      </c>
      <c r="F35" s="4"/>
      <c r="G35" s="288" t="s">
        <v>472</v>
      </c>
      <c r="H35" s="288">
        <v>0.0</v>
      </c>
      <c r="I35" s="288">
        <f>IF(Class_Skills="No", FLOOR(Points/2,1), Points)</f>
        <v>0</v>
      </c>
      <c r="J35" s="291">
        <f>if(countif($G$8:$G$13,indirect("B"&amp;row()))=0,0,VLOOKUP(indirect("B"&amp;row()),$G$8:$H$13,2,False))+if(countif($I$8:$K$13,indirect("B"&amp;row()))=0,0,VLOOKUP(indirect("B"&amp;row()),$I$8:$K$13,3,False))+P11</f>
        <v>0</v>
      </c>
      <c r="K35" s="291" t="str">
        <f>IF(AND(Trained_Only="Yes", Ranks=0), "NA", INDIRECT(Key_Ability)+Ranks+Misc_Mods-IF(Armor_Check_Penalty="Yes", IF(Skills="Swim", G3*2, G3)))</f>
        <v>NA</v>
      </c>
      <c r="L35" s="60"/>
      <c r="M35" s="295" t="s">
        <v>518</v>
      </c>
      <c r="N35" s="4"/>
      <c r="O35" s="306" t="s">
        <v>519</v>
      </c>
      <c r="P35" s="4"/>
    </row>
    <row r="36">
      <c r="A36" s="281"/>
      <c r="B36" s="264" t="s">
        <v>505</v>
      </c>
      <c r="C36" s="283" t="str">
        <f t="array" ref="C36">if(isblank($P$3),"Enter Class",IF(or(dget(class_skills_table,$P$3,{"Skill";indirect("B"&amp;row())}),dget(class_skills_table,$P$4,{"Skill";indirect("B"&amp;row())}),dget(class_skills_table,$P$5,{"Skill";indirect("B"&amp;row())}),dget(class_skills_table,$P$6,{"Skill";indirect("B"&amp;row())}),dget(class_skills_table,$P$7,{"Skill";indirect("B"&amp;row())})), "Yes", "No"))</f>
        <v>No</v>
      </c>
      <c r="D36" s="283" t="s">
        <v>326</v>
      </c>
      <c r="E36" s="284" t="s">
        <v>293</v>
      </c>
      <c r="F36" s="11"/>
      <c r="G36" s="283" t="s">
        <v>472</v>
      </c>
      <c r="H36" s="283">
        <v>0.0</v>
      </c>
      <c r="I36" s="283">
        <f>IF(Class_Skills="No", FLOOR(Points/2,1), Points)</f>
        <v>0</v>
      </c>
      <c r="J36" s="285">
        <f>if(countif($G$8:$G$13,indirect("B"&amp;row()))=0,0,VLOOKUP(indirect("B"&amp;row()),$G$8:$H$13,2,False))+if(countif($I$8:$K$13,indirect("B"&amp;row()))=0,0,VLOOKUP(indirect("B"&amp;row()),$I$8:$K$13,3,False))+P11</f>
        <v>0</v>
      </c>
      <c r="K36" s="285" t="str">
        <f>IF(AND(Trained_Only="Yes", Ranks=0), "NA", INDIRECT(Key_Ability)+Ranks+Misc_Mods-IF(Armor_Check_Penalty="Yes", IF(Skills="Swim", G3*2, G3)))</f>
        <v>NA</v>
      </c>
      <c r="L36" s="60"/>
      <c r="M36" s="266" t="s">
        <v>520</v>
      </c>
      <c r="N36" s="11"/>
      <c r="O36" s="305" t="s">
        <v>479</v>
      </c>
      <c r="P36" s="11"/>
    </row>
    <row r="37">
      <c r="A37" s="281"/>
      <c r="B37" s="259" t="s">
        <v>508</v>
      </c>
      <c r="C37" s="288" t="str">
        <f t="array" ref="C37">if(isblank($P$3),"Enter Class",IF(or(dget(class_skills_table,$P$3,{"Skill";indirect("B"&amp;row())}),dget(class_skills_table,$P$4,{"Skill";indirect("B"&amp;row())}),dget(class_skills_table,$P$5,{"Skill";indirect("B"&amp;row())}),dget(class_skills_table,$P$6,{"Skill";indirect("B"&amp;row())}),dget(class_skills_table,$P$7,{"Skill";indirect("B"&amp;row())})), "Yes", "No"))</f>
        <v>No</v>
      </c>
      <c r="D37" s="288" t="s">
        <v>326</v>
      </c>
      <c r="E37" s="295" t="s">
        <v>293</v>
      </c>
      <c r="F37" s="4"/>
      <c r="G37" s="288" t="s">
        <v>472</v>
      </c>
      <c r="H37" s="288">
        <v>0.0</v>
      </c>
      <c r="I37" s="288">
        <f>IF(Class_Skills="No", FLOOR(Points/2,1), Points)</f>
        <v>0</v>
      </c>
      <c r="J37" s="291">
        <f>if(countif($G$8:$G$13,indirect("B"&amp;row()))=0,0,VLOOKUP(indirect("B"&amp;row()),$G$8:$H$13,2,False))+if(countif($I$8:$K$13,indirect("B"&amp;row()))=0,0,VLOOKUP(indirect("B"&amp;row()),$I$8:$K$13,3,False))+P11</f>
        <v>0</v>
      </c>
      <c r="K37" s="291" t="str">
        <f>IF(AND(Trained_Only="Yes", Ranks=0), "NA", INDIRECT(Key_Ability)+Ranks+Misc_Mods-IF(Armor_Check_Penalty="Yes", IF(Skills="Swim", G3*2, G3)))</f>
        <v>NA</v>
      </c>
      <c r="L37" s="60"/>
      <c r="M37" s="290" t="s">
        <v>521</v>
      </c>
      <c r="N37" s="4"/>
      <c r="O37" s="208" t="s">
        <v>522</v>
      </c>
      <c r="P37" s="4"/>
    </row>
    <row r="38">
      <c r="B38" s="264" t="s">
        <v>511</v>
      </c>
      <c r="C38" s="283" t="str">
        <f t="array" ref="C38">if(isblank($P$3),"Enter Class",IF(or(dget(class_skills_table,$P$3,{"Skill";indirect("B"&amp;row())}),dget(class_skills_table,$P$4,{"Skill";indirect("B"&amp;row())}),dget(class_skills_table,$P$5,{"Skill";indirect("B"&amp;row())}),dget(class_skills_table,$P$6,{"Skill";indirect("B"&amp;row())}),dget(class_skills_table,$P$7,{"Skill";indirect("B"&amp;row())})), "Yes", "No"))</f>
        <v>No</v>
      </c>
      <c r="D38" s="283" t="s">
        <v>326</v>
      </c>
      <c r="E38" s="284" t="s">
        <v>293</v>
      </c>
      <c r="F38" s="11"/>
      <c r="G38" s="283" t="s">
        <v>472</v>
      </c>
      <c r="H38" s="283">
        <v>0.0</v>
      </c>
      <c r="I38" s="283">
        <f>IF(Class_Skills="No", FLOOR(Points/2,1), Points)</f>
        <v>0</v>
      </c>
      <c r="J38" s="285">
        <f>if(countif($G$8:$G$13,indirect("B"&amp;row()))=0,0,VLOOKUP(indirect("B"&amp;row()),$G$8:$H$13,2,False))+if(countif($I$8:$K$13,indirect("B"&amp;row()))=0,0,VLOOKUP(indirect("B"&amp;row()),$I$8:$K$13,3,False))+P11</f>
        <v>0</v>
      </c>
      <c r="K38" s="285" t="str">
        <f>IF(AND(Trained_Only="Yes", Ranks=0), "NA", INDIRECT(Key_Ability)+Ranks+Misc_Mods-IF(Armor_Check_Penalty="Yes", IF(Skills="Swim", G3*2, G3)))</f>
        <v>NA</v>
      </c>
      <c r="L38" s="60"/>
      <c r="M38" s="284" t="s">
        <v>523</v>
      </c>
      <c r="N38" s="11"/>
      <c r="O38" s="305" t="s">
        <v>524</v>
      </c>
      <c r="P38" s="11"/>
    </row>
    <row r="39">
      <c r="B39" s="259" t="s">
        <v>514</v>
      </c>
      <c r="C39" s="288" t="str">
        <f t="array" ref="C39">if(isblank($P$3),"Enter Class",IF(or(dget(class_skills_table,$P$3,{"Skill";indirect("B"&amp;row())}),dget(class_skills_table,$P$4,{"Skill";indirect("B"&amp;row())}),dget(class_skills_table,$P$5,{"Skill";indirect("B"&amp;row())}),dget(class_skills_table,$P$6,{"Skill";indirect("B"&amp;row())}),dget(class_skills_table,$P$7,{"Skill";indirect("B"&amp;row())})), "Yes", "No"))</f>
        <v>No</v>
      </c>
      <c r="D39" s="288" t="s">
        <v>326</v>
      </c>
      <c r="E39" s="295" t="s">
        <v>293</v>
      </c>
      <c r="F39" s="4"/>
      <c r="G39" s="288" t="s">
        <v>472</v>
      </c>
      <c r="H39" s="288">
        <v>0.0</v>
      </c>
      <c r="I39" s="288">
        <f>IF(Class_Skills="No", FLOOR(Points/2,1), Points)</f>
        <v>0</v>
      </c>
      <c r="J39" s="291">
        <f>if(countif($G$8:$G$13,indirect("B"&amp;row()))=0,0,VLOOKUP(indirect("B"&amp;row()),$G$8:$H$13,2,False))+if(countif($I$8:$K$13,indirect("B"&amp;row()))=0,0,VLOOKUP(indirect("B"&amp;row()),$I$8:$K$13,3,False))+P11</f>
        <v>0</v>
      </c>
      <c r="K39" s="291" t="str">
        <f>IF(AND(Trained_Only="Yes", Ranks=0), "NA", INDIRECT(Key_Ability)+Ranks+Misc_Mods-IF(Armor_Check_Penalty="Yes", IF(Skills="Swim", G3*2, G3)))</f>
        <v>NA</v>
      </c>
      <c r="L39" s="60"/>
      <c r="M39" s="295" t="s">
        <v>525</v>
      </c>
      <c r="N39" s="4"/>
      <c r="O39" s="306" t="s">
        <v>526</v>
      </c>
      <c r="P39" s="4"/>
    </row>
    <row r="40">
      <c r="B40" s="264" t="s">
        <v>516</v>
      </c>
      <c r="C40" s="283" t="str">
        <f t="array" ref="C40">if(isblank($P$3),"Enter Class",IF(or(dget(class_skills_table,$P$3,{"Skill";indirect("B"&amp;row())}),dget(class_skills_table,$P$4,{"Skill";indirect("B"&amp;row())}),dget(class_skills_table,$P$5,{"Skill";indirect("B"&amp;row())}),dget(class_skills_table,$P$6,{"Skill";indirect("B"&amp;row())}),dget(class_skills_table,$P$7,{"Skill";indirect("B"&amp;row())})), "Yes", "No"))</f>
        <v>No</v>
      </c>
      <c r="D40" s="283" t="s">
        <v>326</v>
      </c>
      <c r="E40" s="284" t="s">
        <v>293</v>
      </c>
      <c r="F40" s="11"/>
      <c r="G40" s="283" t="s">
        <v>472</v>
      </c>
      <c r="H40" s="283">
        <v>0.0</v>
      </c>
      <c r="I40" s="283">
        <f>IF(Class_Skills="No", FLOOR(Points/2,1), Points)</f>
        <v>0</v>
      </c>
      <c r="J40" s="285">
        <f>if(countif($G$8:$G$13,indirect("B"&amp;row()))=0,0,VLOOKUP(indirect("B"&amp;row()),$G$8:$H$13,2,False))+if(countif($I$8:$K$13,indirect("B"&amp;row()))=0,0,VLOOKUP(indirect("B"&amp;row()),$I$8:$K$13,3,False))+P11</f>
        <v>0</v>
      </c>
      <c r="K40" s="285" t="str">
        <f>IF(AND(Trained_Only="Yes", Ranks=0), "NA", INDIRECT(Key_Ability)+Ranks+Misc_Mods-IF(Armor_Check_Penalty="Yes", IF(Skills="Swim", G3*2, G3)))</f>
        <v>NA</v>
      </c>
      <c r="L40" s="60"/>
      <c r="M40" s="299" t="s">
        <v>527</v>
      </c>
      <c r="N40" s="11"/>
      <c r="O40" s="211" t="s">
        <v>528</v>
      </c>
      <c r="P40" s="11"/>
    </row>
    <row r="41">
      <c r="B41" s="259" t="s">
        <v>518</v>
      </c>
      <c r="C41" s="288" t="str">
        <f t="array" ref="C41">if(isblank($P$3),"Enter Class",IF(or(dget(class_skills_table,$P$3,{"Skill";indirect("B"&amp;row())}),dget(class_skills_table,$P$4,{"Skill";indirect("B"&amp;row())}),dget(class_skills_table,$P$5,{"Skill";indirect("B"&amp;row())}),dget(class_skills_table,$P$6,{"Skill";indirect("B"&amp;row())}),dget(class_skills_table,$P$7,{"Skill";indirect("B"&amp;row())})), "Yes", "No"))</f>
        <v>No</v>
      </c>
      <c r="D41" s="288" t="s">
        <v>326</v>
      </c>
      <c r="E41" s="295" t="s">
        <v>293</v>
      </c>
      <c r="F41" s="4"/>
      <c r="G41" s="288" t="s">
        <v>472</v>
      </c>
      <c r="H41" s="288">
        <v>0.0</v>
      </c>
      <c r="I41" s="288">
        <f>IF(Class_Skills="No", FLOOR(Points/2,1), Points)</f>
        <v>0</v>
      </c>
      <c r="J41" s="291">
        <f t="array" ref="J41">IF(I59&gt;=5, 2, 0)+if(countif($G$8:$G$13,indirect("B"&amp;row()))=0,0,VLOOKUP(indirect("B"&amp;row()),$G$8:$H$13,2,False))+if(countif($I$8:$K$13,indirect("B"&amp;row()))=0,0,VLOOKUP(indirect("B"&amp;row()),$I$8:$K$13,3,False))+P11
+
if(iferror(dget(Main!$B$3:$C$6,Main!$C$3,{"Class";"Druid"}),0)=0,0,2)</f>
        <v>0</v>
      </c>
      <c r="K41" s="291" t="str">
        <f>IF(AND(Trained_Only="Yes", Ranks=0), "NA", INDIRECT(Key_Ability)+Ranks+Misc_Mods-IF(Armor_Check_Penalty="Yes", IF(Skills="Swim", G3*2, G3)))</f>
        <v>NA</v>
      </c>
      <c r="L41" s="60"/>
      <c r="M41" s="295" t="s">
        <v>529</v>
      </c>
      <c r="N41" s="4"/>
      <c r="O41" s="306" t="s">
        <v>530</v>
      </c>
      <c r="P41" s="4"/>
    </row>
    <row r="42">
      <c r="B42" s="264" t="s">
        <v>531</v>
      </c>
      <c r="C42" s="283" t="str">
        <f t="array" ref="C42">if(isblank($P$3),"Enter Class",IF(or(dget(class_skills_table,$P$3,{"Skill";indirect("B"&amp;row())}),dget(class_skills_table,$P$4,{"Skill";indirect("B"&amp;row())}),dget(class_skills_table,$P$5,{"Skill";indirect("B"&amp;row())}),dget(class_skills_table,$P$6,{"Skill";indirect("B"&amp;row())}),dget(class_skills_table,$P$7,{"Skill";indirect("B"&amp;row())})), "Yes", "No"))</f>
        <v>No</v>
      </c>
      <c r="D42" s="283" t="s">
        <v>326</v>
      </c>
      <c r="E42" s="284" t="s">
        <v>293</v>
      </c>
      <c r="F42" s="11"/>
      <c r="G42" s="283" t="s">
        <v>472</v>
      </c>
      <c r="H42" s="283">
        <v>0.0</v>
      </c>
      <c r="I42" s="283">
        <f>IF(Class_Skills="No", FLOOR(Points/2,1), Points)</f>
        <v>0</v>
      </c>
      <c r="J42" s="285">
        <f>if(countif($G$8:$G$13,indirect("B"&amp;row()))=0,0,VLOOKUP(indirect("B"&amp;row()),$G$8:$H$13,2,False))+if(countif($I$8:$K$13,indirect("B"&amp;row()))=0,0,VLOOKUP(indirect("B"&amp;row()),$I$8:$K$13,3,False))+P11</f>
        <v>0</v>
      </c>
      <c r="K42" s="285" t="str">
        <f>IF(AND(Trained_Only="Yes", Ranks=0), "NA", INDIRECT(Key_Ability)+Ranks+Misc_Mods-IF(Armor_Check_Penalty="Yes", IF(Skills="Swim", G3*2, G3)))</f>
        <v>NA</v>
      </c>
      <c r="L42" s="60"/>
      <c r="M42" s="284" t="s">
        <v>532</v>
      </c>
      <c r="N42" s="11"/>
      <c r="O42" s="305" t="s">
        <v>479</v>
      </c>
      <c r="P42" s="11"/>
    </row>
    <row r="43">
      <c r="B43" s="307" t="s">
        <v>521</v>
      </c>
      <c r="C43" s="288" t="str">
        <f t="array" ref="C43">if(isblank($P$3),"Enter Class",IF(or(dget(class_skills_table,$P$3,{"Skill";indirect("B"&amp;row())}),dget(class_skills_table,$P$4,{"Skill";indirect("B"&amp;row())}),dget(class_skills_table,$P$5,{"Skill";indirect("B"&amp;row())}),dget(class_skills_table,$P$6,{"Skill";indirect("B"&amp;row())}),dget(class_skills_table,$P$7,{"Skill";indirect("B"&amp;row())})), "Yes", "No"))</f>
        <v>No</v>
      </c>
      <c r="D43" s="289" t="s">
        <v>326</v>
      </c>
      <c r="E43" s="290" t="s">
        <v>293</v>
      </c>
      <c r="F43" s="4"/>
      <c r="G43" s="289" t="s">
        <v>472</v>
      </c>
      <c r="H43" s="289">
        <v>0.0</v>
      </c>
      <c r="I43" s="288">
        <f>IF(Class_Skills="No", FLOOR(Points/2,1), Points)</f>
        <v>0</v>
      </c>
      <c r="J43" s="291">
        <f>if(countif($G$8:$G$13,indirect("B"&amp;row()))=0,0,VLOOKUP(indirect("B"&amp;row()),$G$8:$H$13,2,False))+if(countif($I$8:$K$13,indirect("B"&amp;row()))=0,0,VLOOKUP(indirect("B"&amp;row()),$I$8:$K$13,3,False))+if($I$17&gt;=5,2,0)+P11</f>
        <v>0</v>
      </c>
      <c r="K43" s="291" t="str">
        <f>IF(AND(Trained_Only="Yes", Ranks=0), "NA", INDIRECT(Key_Ability)+Ranks+Misc_Mods-IF(Armor_Check_Penalty="Yes", IF(Skills="Swim", G30*2, G30)))</f>
        <v>NA</v>
      </c>
      <c r="L43" s="60"/>
      <c r="M43" s="295" t="s">
        <v>533</v>
      </c>
      <c r="N43" s="4"/>
      <c r="O43" s="306" t="s">
        <v>491</v>
      </c>
      <c r="P43" s="4"/>
    </row>
    <row r="44">
      <c r="B44" s="264" t="s">
        <v>523</v>
      </c>
      <c r="C44" s="283" t="str">
        <f t="array" ref="C44">if(isblank($P$3),"Enter Class",IF(or(dget(class_skills_table,$P$3,{"Skill";indirect("B"&amp;row())}),dget(class_skills_table,$P$4,{"Skill";indirect("B"&amp;row())}),dget(class_skills_table,$P$5,{"Skill";indirect("B"&amp;row())}),dget(class_skills_table,$P$6,{"Skill";indirect("B"&amp;row())}),dget(class_skills_table,$P$7,{"Skill";indirect("B"&amp;row())})), "Yes", "No"))</f>
        <v>No</v>
      </c>
      <c r="D44" s="283" t="s">
        <v>326</v>
      </c>
      <c r="E44" s="284" t="s">
        <v>293</v>
      </c>
      <c r="F44" s="11"/>
      <c r="G44" s="283" t="s">
        <v>472</v>
      </c>
      <c r="H44" s="283">
        <v>0.0</v>
      </c>
      <c r="I44" s="283">
        <f>IF(Class_Skills="No", FLOOR(Points/2,1), Points)</f>
        <v>0</v>
      </c>
      <c r="J44" s="285">
        <f>if(countif($G$8:$G$13,indirect("B"&amp;row()))=0,0,VLOOKUP(indirect("B"&amp;row()),$G$8:$H$13,2,False))+if(countif($I$8:$K$13,indirect("B"&amp;row()))=0,0,VLOOKUP(indirect("B"&amp;row()),$I$8:$K$13,3,False))+P11</f>
        <v>0</v>
      </c>
      <c r="K44" s="285" t="str">
        <f>IF(AND(Trained_Only="Yes", Ranks=0), "NA", INDIRECT(Key_Ability)+Ranks+Misc_Mods-IF(Armor_Check_Penalty="Yes", IF(Skills="Swim", G3*2, G3)))</f>
        <v>NA</v>
      </c>
      <c r="L44" s="60"/>
      <c r="M44" s="284" t="s">
        <v>534</v>
      </c>
      <c r="N44" s="11"/>
      <c r="O44" s="305" t="s">
        <v>535</v>
      </c>
      <c r="P44" s="11"/>
    </row>
    <row r="45">
      <c r="B45" s="259" t="s">
        <v>525</v>
      </c>
      <c r="C45" s="288" t="str">
        <f t="array" ref="C45">if(isblank($P$3),"Enter Class",IF(or(dget(class_skills_table,$P$3,{"Skill";indirect("B"&amp;row())}),dget(class_skills_table,$P$4,{"Skill";indirect("B"&amp;row())}),dget(class_skills_table,$P$5,{"Skill";indirect("B"&amp;row())}),dget(class_skills_table,$P$6,{"Skill";indirect("B"&amp;row())}),dget(class_skills_table,$P$7,{"Skill";indirect("B"&amp;row())})), "Yes", "No"))</f>
        <v>No</v>
      </c>
      <c r="D45" s="288" t="s">
        <v>326</v>
      </c>
      <c r="E45" s="295" t="s">
        <v>293</v>
      </c>
      <c r="F45" s="4"/>
      <c r="G45" s="288" t="s">
        <v>472</v>
      </c>
      <c r="H45" s="288">
        <v>0.0</v>
      </c>
      <c r="I45" s="308">
        <f>IF(Class_Skills="No", FLOOR(Points/2,1), Points)</f>
        <v>0</v>
      </c>
      <c r="J45" s="291">
        <f>if(countif($G$8:$G$13,indirect("B"&amp;row()))=0,0,VLOOKUP(indirect("B"&amp;row()),$G$8:$H$13,2,False))+if(countif($I$8:$K$13,indirect("B"&amp;row()))=0,0,VLOOKUP(indirect("B"&amp;row()),$I$8:$K$13,3,False))+P11</f>
        <v>0</v>
      </c>
      <c r="K45" s="291" t="str">
        <f>IF(AND(Trained_Only="Yes", Ranks=0), "NA", INDIRECT(Key_Ability)+Ranks+Misc_Mods-IF(Armor_Check_Penalty="Yes", IF(Skills="Swim", G3*2, G3)))</f>
        <v>NA</v>
      </c>
      <c r="L45" s="60"/>
      <c r="M45" s="295" t="s">
        <v>536</v>
      </c>
      <c r="N45" s="4"/>
      <c r="O45" s="306" t="s">
        <v>537</v>
      </c>
      <c r="P45" s="4"/>
    </row>
    <row r="46">
      <c r="B46" s="264" t="s">
        <v>538</v>
      </c>
      <c r="C46" s="283" t="str">
        <f t="array" ref="C46">if(isblank($P$3),"Enter Class",IF(or(dget(class_skills_table,$P$3,{"Skill";indirect("B"&amp;row())}),dget(class_skills_table,$P$4,{"Skill";indirect("B"&amp;row())}),dget(class_skills_table,$P$5,{"Skill";indirect("B"&amp;row())}),dget(class_skills_table,$P$6,{"Skill";indirect("B"&amp;row())}),dget(class_skills_table,$P$7,{"Skill";indirect("B"&amp;row())})), "Yes", "No"))</f>
        <v>No</v>
      </c>
      <c r="D46" s="283" t="s">
        <v>472</v>
      </c>
      <c r="E46" s="284" t="s">
        <v>296</v>
      </c>
      <c r="F46" s="11"/>
      <c r="G46" s="283" t="s">
        <v>472</v>
      </c>
      <c r="H46" s="283">
        <v>0.0</v>
      </c>
      <c r="I46" s="283">
        <f>IF(Class_Skills="No", FLOOR(Points/2,1), Points)</f>
        <v>0</v>
      </c>
      <c r="J46" s="285">
        <f t="array" ref="J46">IF(OR(H3="Elf",H3="Gnome",H3="Halfling"), 2, IF(H3="Half-Elf",1,0))+if(countif($G$8:$G$13,indirect("B"&amp;row()))=0,0,VLOOKUP(indirect("B"&amp;row()),$G$8:$H$13,2,False))+if(countif($I$8:$K$13,indirect("B"&amp;row()))=0,0,VLOOKUP(indirect("B"&amp;row()),$I$8:$K$13,3,False))+P11
+
if(and('Class Abilities'!$P$26,iferror(dget(Main!$B$3:$C$6,Main!$C$3,{"Class";"Ranger"}),0)&gt;0),(floor(iferror(dget(Main!$B$3:$C$6,Main!$C$3,{"Class";"Ranger"}),0)/5,1)+1)*2,0)
+
if('Spell Switchboard'!I11,-4,0)
+
if('Spell Switchboard'!I23,-5,0)
+
if(Main!AD12,-4,0)</f>
        <v>0</v>
      </c>
      <c r="K46" s="285">
        <f>if( Main!AD8,"Fail",IF(AND(Trained_Only="Yes", Ranks=0), "NA", INDIRECT(Key_Ability)+Ranks+Misc_Mods-IF(Armor_Check_Penalty="Yes", IF(Skills="Swim", G3*2, G3))))</f>
        <v>0</v>
      </c>
      <c r="L46" s="60"/>
      <c r="M46" s="284" t="s">
        <v>536</v>
      </c>
      <c r="N46" s="11"/>
      <c r="O46" s="305" t="s">
        <v>539</v>
      </c>
      <c r="P46" s="11"/>
    </row>
    <row r="47">
      <c r="B47" s="259" t="s">
        <v>540</v>
      </c>
      <c r="C47" s="288" t="str">
        <f t="array" ref="C47">if(isblank($P$3),"Enter Class",IF(or(dget(class_skills_table,$P$3,{"Skill";indirect("B"&amp;row())}),dget(class_skills_table,$P$4,{"Skill";indirect("B"&amp;row())}),dget(class_skills_table,$P$5,{"Skill";indirect("B"&amp;row())}),dget(class_skills_table,$P$6,{"Skill";indirect("B"&amp;row())}),dget(class_skills_table,$P$7,{"Skill";indirect("B"&amp;row())})), "Yes", "No"))</f>
        <v>No</v>
      </c>
      <c r="D47" s="288" t="s">
        <v>472</v>
      </c>
      <c r="E47" s="295" t="s">
        <v>287</v>
      </c>
      <c r="F47" s="4"/>
      <c r="G47" s="288" t="s">
        <v>326</v>
      </c>
      <c r="H47" s="288">
        <v>0.0</v>
      </c>
      <c r="I47" s="288">
        <f>IF(Class_Skills="No", FLOOR(Points/2,1), Points)</f>
        <v>0</v>
      </c>
      <c r="J47" s="291">
        <f>IF(H3="Halfling",2,0)+if(countif($G$8:$G$13,indirect("B"&amp;row()))=0,0,VLOOKUP(indirect("B"&amp;row()),$G$8:$H$13,2,False))+if(countif($I$8:$K$13,indirect("B"&amp;row()))=0,0,VLOOKUP(indirect("B"&amp;row()),$I$8:$K$13,3,False))+P11
+
if(Main!AD5,-4,0)</f>
        <v>0</v>
      </c>
      <c r="K47" s="291">
        <f>IF(AND(Trained_Only="Yes", Ranks=0), "NA", INDIRECT(Key_Ability)+Ranks+Misc_Mods-IF(Armor_Check_Penalty="Yes", IF(Skills="Swim", G3*2, G3)))</f>
        <v>0</v>
      </c>
      <c r="L47" s="60"/>
      <c r="M47" s="295" t="s">
        <v>541</v>
      </c>
      <c r="N47" s="4"/>
      <c r="O47" s="306" t="s">
        <v>542</v>
      </c>
      <c r="P47" s="4"/>
    </row>
    <row r="48">
      <c r="B48" s="264" t="s">
        <v>543</v>
      </c>
      <c r="C48" s="283" t="str">
        <f t="array" ref="C48">if(isblank($P$3),"Enter Class",IF(or(dget(class_skills_table,$P$3,{"Skill";indirect("B"&amp;row())}),dget(class_skills_table,$P$4,{"Skill";indirect("B"&amp;row())}),dget(class_skills_table,$P$5,{"Skill";indirect("B"&amp;row())}),dget(class_skills_table,$P$6,{"Skill";indirect("B"&amp;row())}),dget(class_skills_table,$P$7,{"Skill";indirect("B"&amp;row())})), "Yes", "No"))</f>
        <v>No</v>
      </c>
      <c r="D48" s="283" t="s">
        <v>326</v>
      </c>
      <c r="E48" s="284" t="s">
        <v>287</v>
      </c>
      <c r="F48" s="11"/>
      <c r="G48" s="283" t="s">
        <v>472</v>
      </c>
      <c r="H48" s="283">
        <v>0.0</v>
      </c>
      <c r="I48" s="283">
        <f>IF(Class_Skills="No", FLOOR(Points/2,1), Points)</f>
        <v>0</v>
      </c>
      <c r="J48" s="285">
        <f>if(countif($G$8:$G$13,indirect("B"&amp;row()))=0,0,VLOOKUP(indirect("B"&amp;row()),$G$8:$H$13,2,False))+if(countif($I$8:$K$13,indirect("B"&amp;row()))=0,0,VLOOKUP(indirect("B"&amp;row()),$I$8:$K$13,3,False))+P11
+
if(Main!AD5,-4,0)</f>
        <v>0</v>
      </c>
      <c r="K48" s="285" t="str">
        <f>IF(AND(Trained_Only="Yes", Ranks=0), "NA", INDIRECT(Key_Ability)+Ranks+Misc_Mods-IF(Armor_Check_Penalty="Yes", IF(Skills="Swim", G3*2, G3)))</f>
        <v>NA</v>
      </c>
      <c r="L48" s="60"/>
      <c r="M48" s="299" t="s">
        <v>544</v>
      </c>
      <c r="N48" s="11"/>
      <c r="O48" s="211" t="s">
        <v>545</v>
      </c>
      <c r="P48" s="11"/>
    </row>
    <row r="49">
      <c r="B49" s="259" t="s">
        <v>546</v>
      </c>
      <c r="C49" s="288" t="str">
        <f t="array" ref="C49">if(isblank($P$3),"Enter Class",IF(or(dget(class_skills_table,$P$3,{"Skill";indirect("B"&amp;row())}),dget(class_skills_table,$P$4,{"Skill";indirect("B"&amp;row())}),dget(class_skills_table,$P$5,{"Skill";indirect("B"&amp;row())}),dget(class_skills_table,$P$6,{"Skill";indirect("B"&amp;row())}),dget(class_skills_table,$P$7,{"Skill";indirect("B"&amp;row())})), "Yes", "No"))</f>
        <v>No</v>
      </c>
      <c r="D49" s="288" t="s">
        <v>472</v>
      </c>
      <c r="E49" s="295" t="s">
        <v>299</v>
      </c>
      <c r="F49" s="4"/>
      <c r="G49" s="288" t="s">
        <v>472</v>
      </c>
      <c r="H49" s="288">
        <v>0.0</v>
      </c>
      <c r="I49" s="288">
        <f>IF(Class_Skills="No", FLOOR(Points/2,1), Points)</f>
        <v>0</v>
      </c>
      <c r="J49" s="291">
        <f>if(countif($G$8:$G$13,indirect("B"&amp;row()))=0,0,VLOOKUP(indirect("B"&amp;row()),$G$8:$H$13,2,False))+if(countif($I$8:$K$13,indirect("B"&amp;row()))=0,0,VLOOKUP(indirect("B"&amp;row()),$I$8:$K$13,3,False))+P11</f>
        <v>0</v>
      </c>
      <c r="K49" s="291">
        <f>IF(AND(Trained_Only="Yes", Ranks=0), "NA", INDIRECT(Key_Ability)+Ranks+Misc_Mods-IF(Armor_Check_Penalty="Yes", IF(Skills="Swim", G3*2, G3)))</f>
        <v>0</v>
      </c>
      <c r="L49" s="60"/>
      <c r="M49" s="295" t="s">
        <v>547</v>
      </c>
      <c r="N49" s="4"/>
      <c r="O49" s="306" t="s">
        <v>548</v>
      </c>
      <c r="P49" s="4"/>
    </row>
    <row r="50">
      <c r="B50" s="264" t="s">
        <v>549</v>
      </c>
      <c r="C50" s="283" t="str">
        <f t="array" ref="C50">if(isblank($P$3),"Enter Class",IF(or(dget(class_skills_table,$P$3,{"Skill";indirect("B"&amp;row())}),dget(class_skills_table,$P$4,{"Skill";indirect("B"&amp;row())}),dget(class_skills_table,$P$5,{"Skill";indirect("B"&amp;row())}),dget(class_skills_table,$P$6,{"Skill";indirect("B"&amp;row())}),dget(class_skills_table,$P$7,{"Skill";indirect("B"&amp;row())})), "Yes", "No"))</f>
        <v>No</v>
      </c>
      <c r="D50" s="283" t="s">
        <v>326</v>
      </c>
      <c r="E50" s="284" t="s">
        <v>296</v>
      </c>
      <c r="F50" s="11"/>
      <c r="G50" s="283" t="s">
        <v>472</v>
      </c>
      <c r="H50" s="283">
        <v>0.0</v>
      </c>
      <c r="I50" s="283">
        <f>IF(Class_Skills="No", FLOOR(Points/2,1), Points)</f>
        <v>0</v>
      </c>
      <c r="J50" s="285">
        <f>if(countif($G$8:$G$13,indirect("B"&amp;row()))=0,0,VLOOKUP(indirect("B"&amp;row()),$G$8:$H$13,2,False))+if(countif($I$8:$K$13,indirect("B"&amp;row()))=0,0,VLOOKUP(indirect("B"&amp;row()),$I$8:$K$13,3,False))+P11</f>
        <v>0</v>
      </c>
      <c r="K50" s="285" t="str">
        <f>IF(AND(Trained_Only="Yes", Ranks=0), "NA", INDIRECT(Key_Ability)+Ranks+Misc_Mods-IF(Armor_Check_Penalty="Yes", IF(Skills="Swim", G3*2, G3)))</f>
        <v>NA</v>
      </c>
      <c r="L50" s="60"/>
      <c r="M50" s="284" t="s">
        <v>547</v>
      </c>
      <c r="N50" s="11"/>
      <c r="O50" s="305" t="s">
        <v>550</v>
      </c>
      <c r="P50" s="11"/>
    </row>
    <row r="51">
      <c r="B51" s="307" t="s">
        <v>527</v>
      </c>
      <c r="C51" s="288" t="str">
        <f t="array" ref="C51">if(isblank($P$3),"Enter Class",IF(or(dget(class_skills_table,$P$3,{"Skill";indirect("B"&amp;row())}),dget(class_skills_table,$P$4,{"Skill";indirect("B"&amp;row())}),dget(class_skills_table,$P$5,{"Skill";indirect("B"&amp;row())}),dget(class_skills_table,$P$6,{"Skill";indirect("B"&amp;row())}),dget(class_skills_table,$P$7,{"Skill";indirect("B"&amp;row())})), "Yes", "No"))</f>
        <v>No</v>
      </c>
      <c r="D51" s="289" t="s">
        <v>326</v>
      </c>
      <c r="E51" s="290" t="s">
        <v>293</v>
      </c>
      <c r="F51" s="4"/>
      <c r="G51" s="289" t="s">
        <v>472</v>
      </c>
      <c r="H51" s="289">
        <v>0.0</v>
      </c>
      <c r="I51" s="288">
        <f>IF(Class_Skills="No", FLOOR(Points/2,1), Points)</f>
        <v>0</v>
      </c>
      <c r="J51" s="291">
        <f>if(countif($G$8:$G$13,indirect("B"&amp;row()))=0,0,VLOOKUP(indirect("B"&amp;row()),$G$8:$H$13,2,False))+if(countif($I$8:$K$13,indirect("B"&amp;row()))=0,0,VLOOKUP(indirect("B"&amp;row()),$I$8:$K$13,3,False))+if($I$43&gt;=5,2,0)+P11</f>
        <v>0</v>
      </c>
      <c r="K51" s="291" t="str">
        <f>IF(AND(Trained_Only="Yes", Ranks=0), "NA", INDIRECT(Key_Ability)+Ranks+Misc_Mods-IF(Armor_Check_Penalty="Yes", IF(Skills="Swim", G38*2, G38)))</f>
        <v>NA</v>
      </c>
    </row>
    <row r="52">
      <c r="B52" s="309" t="s">
        <v>551</v>
      </c>
      <c r="C52" s="262" t="str">
        <f t="array" ref="C52">if(isblank($P$3),"Enter Class",IF(or(dget(class_skills_table,$P$3,{"Skill";indirect("B"&amp;row())}),dget(class_skills_table,$P$4,{"Skill";indirect("B"&amp;row())}),dget(class_skills_table,$P$5,{"Skill";indirect("B"&amp;row())}),dget(class_skills_table,$P$6,{"Skill";indirect("B"&amp;row())}),dget(class_skills_table,$P$7,{"Skill";indirect("B"&amp;row())})), "Yes", "No"))</f>
        <v>No</v>
      </c>
      <c r="D52" s="262" t="s">
        <v>472</v>
      </c>
      <c r="E52" s="310" t="s">
        <v>287</v>
      </c>
      <c r="F52" s="11"/>
      <c r="G52" s="262" t="s">
        <v>472</v>
      </c>
      <c r="H52" s="262">
        <v>0.0</v>
      </c>
      <c r="I52" s="262">
        <f>IF(Class_Skills="No", FLOOR(Points/2,1), Points)</f>
        <v>0</v>
      </c>
      <c r="J52" s="263">
        <f>IF(I30&gt;=5, 2, 0)+if(countif($G$8:$G$13,indirect("B"&amp;row()))=0,0,VLOOKUP(indirect("B"&amp;row()),$G$8:$H$13,2,False))+if(countif($I$8:$K$13,indirect("B"&amp;row()))=0,0,VLOOKUP(indirect("B"&amp;row()),$I$8:$K$13,3,False))+P11
+
if(Main!AD5,-4,0)</f>
        <v>0</v>
      </c>
      <c r="K52" s="263">
        <f>IF(AND(Trained_Only="Yes", Ranks=0), "NA", INDIRECT(Key_Ability)+Ranks+Misc_Mods-IF(Armor_Check_Penalty="Yes", IF(Skills="Swim", G3*2, G3)))</f>
        <v>0</v>
      </c>
      <c r="M52" s="280" t="s">
        <v>552</v>
      </c>
      <c r="N52" s="202"/>
      <c r="O52" s="202"/>
      <c r="P52" s="203"/>
    </row>
    <row r="53">
      <c r="B53" s="259" t="s">
        <v>529</v>
      </c>
      <c r="C53" s="288" t="str">
        <f t="array" ref="C53">if(isblank($P$3),"Enter Class",IF(or(dget(class_skills_table,$P$3,{"Skill";indirect("B"&amp;row())}),dget(class_skills_table,$P$4,{"Skill";indirect("B"&amp;row())}),dget(class_skills_table,$P$5,{"Skill";indirect("B"&amp;row())}),dget(class_skills_table,$P$6,{"Skill";indirect("B"&amp;row())}),dget(class_skills_table,$P$7,{"Skill";indirect("B"&amp;row())})), "Yes", "No"))</f>
        <v>No</v>
      </c>
      <c r="D53" s="288" t="s">
        <v>472</v>
      </c>
      <c r="E53" s="295" t="s">
        <v>293</v>
      </c>
      <c r="F53" s="4"/>
      <c r="G53" s="288" t="s">
        <v>472</v>
      </c>
      <c r="H53" s="288">
        <v>0.0</v>
      </c>
      <c r="I53" s="308">
        <f>IF(Class_Skills="No", FLOOR(Points/2,1), Points)</f>
        <v>0</v>
      </c>
      <c r="J53" s="291">
        <f>IF(H3="Elf",2,IF(H3="Half-Elf",1,0))+if(countif($G$8:$G$13,indirect("B"&amp;row()))=0,0,VLOOKUP(indirect("B"&amp;row()),$G$8:$H$13,2,False))+if(countif($I$8:$K$13,indirect("B"&amp;row()))=0,0,VLOOKUP(indirect("B"&amp;row()),$I$8:$K$13,3,False))+P11
+
if(Main!AD5,-4,0)
+
+if('Spell Switchboard'!D33,min(floor('Spell Switchboard'!E33/2,1),10),0)</f>
        <v>0</v>
      </c>
      <c r="K53" s="291">
        <f>IF(AND(Trained_Only="Yes", Ranks=0), "NA", INDIRECT(Key_Ability)+Ranks+Misc_Mods-IF(Armor_Check_Penalty="Yes", IF(Skills="Swim", G3*2, G3)))</f>
        <v>0</v>
      </c>
      <c r="M53" s="311" t="s">
        <v>450</v>
      </c>
      <c r="N53" s="268"/>
      <c r="O53" s="312" t="s">
        <v>553</v>
      </c>
      <c r="P53" s="268"/>
    </row>
    <row r="54">
      <c r="B54" s="264" t="s">
        <v>532</v>
      </c>
      <c r="C54" s="283" t="str">
        <f t="array" ref="C54">if(isblank($P$3),"Enter Class",IF(or(dget(class_skills_table,$P$3,{"Skill";indirect("B"&amp;row())}),dget(class_skills_table,$P$4,{"Skill";indirect("B"&amp;row())}),dget(class_skills_table,$P$5,{"Skill";indirect("B"&amp;row())}),dget(class_skills_table,$P$6,{"Skill";indirect("B"&amp;row())}),dget(class_skills_table,$P$7,{"Skill";indirect("B"&amp;row())})), "Yes", "No"))</f>
        <v>No</v>
      </c>
      <c r="D54" s="283" t="s">
        <v>472</v>
      </c>
      <c r="E54" s="284" t="s">
        <v>296</v>
      </c>
      <c r="F54" s="11"/>
      <c r="G54" s="283" t="s">
        <v>472</v>
      </c>
      <c r="H54" s="283">
        <v>0.0</v>
      </c>
      <c r="I54" s="283">
        <f>IF(Class_Skills="No", FLOOR(Points/2,1), Points)</f>
        <v>0</v>
      </c>
      <c r="J54" s="285">
        <f t="array" ref="J54">if(countif($G$8:$G$13,indirect("B"&amp;row()))=0,0,VLOOKUP(indirect("B"&amp;row()),$G$8:$H$13,2,False))+if(countif($I$8:$K$13,indirect("B"&amp;row()))=0,0,VLOOKUP(indirect("B"&amp;row()),$I$8:$K$13,3,False))+P11
+
if(and('Class Abilities'!$P$26,iferror(dget(Main!$B$3:$C$6,Main!$C$3,{"Class";"Ranger"}),0)&gt;0),(floor(iferror(dget(Main!$B$3:$C$6,Main!$C$3,{"Class";"Ranger"}),0)/5,1)+1)*2,0)</f>
        <v>0</v>
      </c>
      <c r="K54" s="285">
        <f>IF(AND(Trained_Only="Yes", Ranks=0), "NA", INDIRECT(Key_Ability)+Ranks+Misc_Mods-IF(Armor_Check_Penalty="Yes", IF(Skills="Swim", G3*2, G3)))</f>
        <v>0</v>
      </c>
      <c r="M54" s="270"/>
      <c r="N54" s="271"/>
      <c r="O54" s="270"/>
      <c r="P54" s="271"/>
    </row>
    <row r="55">
      <c r="B55" s="259" t="s">
        <v>554</v>
      </c>
      <c r="C55" s="288" t="str">
        <f t="array" ref="C55">if(isblank($P$3),"Enter Class",IF(or(dget(class_skills_table,$P$3,{"Skill";indirect("B"&amp;row())}),dget(class_skills_table,$P$4,{"Skill";indirect("B"&amp;row())}),dget(class_skills_table,$P$5,{"Skill";indirect("B"&amp;row())}),dget(class_skills_table,$P$6,{"Skill";indirect("B"&amp;row())}),dget(class_skills_table,$P$7,{"Skill";indirect("B"&amp;row())})), "Yes", "No"))</f>
        <v>No</v>
      </c>
      <c r="D55" s="288" t="s">
        <v>326</v>
      </c>
      <c r="E55" s="295" t="s">
        <v>287</v>
      </c>
      <c r="F55" s="4"/>
      <c r="G55" s="288" t="s">
        <v>326</v>
      </c>
      <c r="H55" s="288">
        <v>0.0</v>
      </c>
      <c r="I55" s="308">
        <f>IF(Class_Skills="No", FLOOR(Points/2,1), Points)</f>
        <v>0</v>
      </c>
      <c r="J55" s="291">
        <f>IF(I19&gt;=5, 2, 0)+if(countif($G$8:$G$13,indirect("B"&amp;row()))=0,0,VLOOKUP(indirect("B"&amp;row()),$G$8:$H$13,2,False))+if(countif($I$8:$K$13,indirect("B"&amp;row()))=0,0,VLOOKUP(indirect("B"&amp;row()),$I$8:$K$13,3,False))+P11
+
if(Main!AD5,-4,0)</f>
        <v>0</v>
      </c>
      <c r="K55" s="291" t="str">
        <f>IF(AND(Trained_Only="Yes", Ranks=0), "NA", INDIRECT(Key_Ability)+Ranks+Misc_Mods-IF(Armor_Check_Penalty="Yes", IF(Skills="Swim", G3*2, G3)))</f>
        <v>NA</v>
      </c>
      <c r="M55" s="313" t="s">
        <v>555</v>
      </c>
      <c r="N55" s="268"/>
      <c r="O55" s="314" t="s">
        <v>556</v>
      </c>
      <c r="P55" s="268"/>
    </row>
    <row r="56">
      <c r="B56" s="264" t="s">
        <v>557</v>
      </c>
      <c r="C56" s="283" t="str">
        <f t="array" ref="C56">if(isblank($P$3),"Enter Class",IF(or(dget(class_skills_table,$P$3,{"Skill";indirect("B"&amp;row())}),dget(class_skills_table,$P$4,{"Skill";indirect("B"&amp;row())}),dget(class_skills_table,$P$5,{"Skill";indirect("B"&amp;row())}),dget(class_skills_table,$P$6,{"Skill";indirect("B"&amp;row())}),dget(class_skills_table,$P$7,{"Skill";indirect("B"&amp;row())})), "Yes", "No"))</f>
        <v>No</v>
      </c>
      <c r="D56" s="283" t="s">
        <v>326</v>
      </c>
      <c r="E56" s="284" t="s">
        <v>451</v>
      </c>
      <c r="F56" s="11"/>
      <c r="G56" s="283" t="s">
        <v>472</v>
      </c>
      <c r="H56" s="283">
        <v>0.0</v>
      </c>
      <c r="I56" s="283">
        <f>IF(Class_Skills="No", FLOOR(Points/2,1), Points)</f>
        <v>0</v>
      </c>
      <c r="J56" s="285">
        <f>if(countif($G$8:$G$13,indirect("B"&amp;row()))=0,0,VLOOKUP(indirect("B"&amp;row()),$G$8:$H$13,2,False))+if(countif($I$8:$K$13,indirect("B"&amp;row()))=0,0,VLOOKUP(indirect("B"&amp;row()),$I$8:$K$13,3,False))+P11</f>
        <v>0</v>
      </c>
      <c r="K56" s="285" t="str">
        <f>IF(AND(Trained_Only="Yes", Ranks=0), "NA",  Ranks+Misc_Mods-IF(Armor_Check_Penalty="Yes", IF(Skills="Swim", G3*2, G3)))</f>
        <v>NA</v>
      </c>
      <c r="M56" s="315"/>
      <c r="N56" s="316"/>
      <c r="O56" s="315"/>
      <c r="P56" s="316"/>
    </row>
    <row r="57">
      <c r="B57" s="259" t="s">
        <v>533</v>
      </c>
      <c r="C57" s="288" t="str">
        <f t="array" ref="C57">if(isblank($P$3),"Enter Class",IF(or(dget(class_skills_table,$P$3,{"Skill";indirect("B"&amp;row())}),dget(class_skills_table,$P$4,{"Skill";indirect("B"&amp;row())}),dget(class_skills_table,$P$5,{"Skill";indirect("B"&amp;row())}),dget(class_skills_table,$P$6,{"Skill";indirect("B"&amp;row())}),dget(class_skills_table,$P$7,{"Skill";indirect("B"&amp;row())})), "Yes", "No"))</f>
        <v>No</v>
      </c>
      <c r="D57" s="288" t="s">
        <v>326</v>
      </c>
      <c r="E57" s="295" t="s">
        <v>293</v>
      </c>
      <c r="F57" s="4"/>
      <c r="G57" s="288" t="s">
        <v>472</v>
      </c>
      <c r="H57" s="288">
        <v>0.0</v>
      </c>
      <c r="I57" s="288">
        <f>IF(Class_Skills="No", FLOOR(Points/2,1), Points)</f>
        <v>0</v>
      </c>
      <c r="J57" s="291">
        <f>IF(I35&gt;=5, 2, 0)+if(countif($G$8:$G$13,indirect("B"&amp;row()))=0,0,VLOOKUP(indirect("B"&amp;row()),$G$8:$H$13,2,False))+if(countif($I$8:$K$13,indirect("B"&amp;row()))=0,0,VLOOKUP(indirect("B"&amp;row()),$I$8:$K$13,3,False))+P11</f>
        <v>0</v>
      </c>
      <c r="K57" s="291" t="str">
        <f>IF(AND(Trained_Only="Yes", Ranks=0), "NA", INDIRECT(Key_Ability)+Ranks+Misc_Mods-IF(Armor_Check_Penalty="Yes", IF(Skills="Swim", G3*2, G3)))</f>
        <v>NA</v>
      </c>
      <c r="M57" s="270"/>
      <c r="N57" s="271"/>
      <c r="O57" s="270"/>
      <c r="P57" s="271"/>
    </row>
    <row r="58">
      <c r="B58" s="264" t="s">
        <v>558</v>
      </c>
      <c r="C58" s="283" t="str">
        <f t="array" ref="C58">if(isblank($P$3),"Enter Class",IF(or(dget(class_skills_table,$P$3,{"Skill";indirect("B"&amp;row())}),dget(class_skills_table,$P$4,{"Skill";indirect("B"&amp;row())}),dget(class_skills_table,$P$5,{"Skill";indirect("B"&amp;row())}),dget(class_skills_table,$P$6,{"Skill";indirect("B"&amp;row())}),dget(class_skills_table,$P$7,{"Skill";indirect("B"&amp;row())})), "Yes", "No"))</f>
        <v>No</v>
      </c>
      <c r="D58" s="283" t="s">
        <v>472</v>
      </c>
      <c r="E58" s="284" t="s">
        <v>296</v>
      </c>
      <c r="F58" s="11"/>
      <c r="G58" s="283" t="s">
        <v>472</v>
      </c>
      <c r="H58" s="283">
        <v>0.0</v>
      </c>
      <c r="I58" s="283">
        <f>IF(Class_Skills="No", FLOOR(Points/2,1), Points)</f>
        <v>0</v>
      </c>
      <c r="J58" s="285">
        <f t="array" ref="J58">IF(H3="Elf",2,IF(H3="Half-Elf",1,0))+if(countif($G$8:$G$13,indirect("B"&amp;row()))=0,0,VLOOKUP(indirect("B"&amp;row()),$G$8:$H$13,2,False))+if(countif($I$8:$K$13,indirect("B"&amp;row()))=0,0,VLOOKUP(indirect("B"&amp;row()),$I$8:$K$13,3,False))+P11
+
if(and('Class Abilities'!$P$26,iferror(dget(Main!$B$3:$C$6,Main!$C$3,{"Class";"Ranger"}),0)&gt;0),(floor(iferror(dget(Main!$B$3:$C$6,Main!$C$3,{"Class";"Ranger"}),0)/5,1)+1)*2,0)
+
if('Spell Switchboard'!I23,-5,0)
+
if(Main!AD12,-4,0)</f>
        <v>0</v>
      </c>
      <c r="K58" s="285">
        <f>IF(AND(Trained_Only="Yes", Ranks=0), "NA", INDIRECT(Key_Ability)+Ranks+Misc_Mods-IF(Armor_Check_Penalty="Yes", IF(Skills="Swim", G3*2, G3)))</f>
        <v>0</v>
      </c>
      <c r="M58" s="284" t="s">
        <v>559</v>
      </c>
      <c r="N58" s="203"/>
      <c r="O58" s="298" t="s">
        <v>560</v>
      </c>
      <c r="P58" s="203"/>
    </row>
    <row r="59">
      <c r="B59" s="259" t="s">
        <v>534</v>
      </c>
      <c r="C59" s="288" t="str">
        <f t="array" ref="C59">if(isblank($P$3),"Enter Class",IF(or(dget(class_skills_table,$P$3,{"Skill";indirect("B"&amp;row())}),dget(class_skills_table,$P$4,{"Skill";indirect("B"&amp;row())}),dget(class_skills_table,$P$5,{"Skill";indirect("B"&amp;row())}),dget(class_skills_table,$P$6,{"Skill";indirect("B"&amp;row())}),dget(class_skills_table,$P$7,{"Skill";indirect("B"&amp;row())})), "Yes", "No"))</f>
        <v>No</v>
      </c>
      <c r="D59" s="288" t="s">
        <v>472</v>
      </c>
      <c r="E59" s="295" t="s">
        <v>296</v>
      </c>
      <c r="F59" s="4"/>
      <c r="G59" s="288" t="s">
        <v>472</v>
      </c>
      <c r="H59" s="288">
        <v>0.0</v>
      </c>
      <c r="I59" s="288">
        <f>IF(Class_Skills="No", FLOOR(Points/2,1), Points)</f>
        <v>0</v>
      </c>
      <c r="J59" s="291">
        <f t="array" ref="J59">if(countif($G$8:$G$13,indirect("B"&amp;row()))=0,0,VLOOKUP(indirect("B"&amp;row()),$G$8:$H$13,2,False))+if(countif($I$8:$K$13,indirect("B"&amp;row()))=0,0,VLOOKUP(indirect("B"&amp;row()),$I$8:$K$13,3,False))+P11
+
if(iferror(dget(Main!$B$3:$C$6,Main!$C$3,{"Class";"Druid"}),0)=0,0,2)
+
if(and('Class Abilities'!$P$26,iferror(dget(Main!$B$3:$C$6,Main!$C$3,{"Class";"Ranger"}),0)&gt;0),(floor(iferror(dget(Main!$B$3:$C$6,Main!$C$3,{"Class";"Ranger"}),0)/5,1)+1)*2,0)</f>
        <v>0</v>
      </c>
      <c r="K59" s="291">
        <f>IF(AND(Trained_Only="Yes", Ranks=0), "NA", INDIRECT(Key_Ability)+Ranks+Misc_Mods-IF(Armor_Check_Penalty="Yes", IF(Skills="Swim", G3*2, G3)))</f>
        <v>0</v>
      </c>
      <c r="M59" s="313" t="s">
        <v>561</v>
      </c>
      <c r="N59" s="268"/>
      <c r="O59" s="314" t="s">
        <v>562</v>
      </c>
      <c r="P59" s="268"/>
    </row>
    <row r="60">
      <c r="B60" s="264" t="s">
        <v>563</v>
      </c>
      <c r="C60" s="283" t="str">
        <f t="array" ref="C60">if(isblank($P$3),"Enter Class",IF(or(dget(class_skills_table,$P$3,{"Skill";indirect("B"&amp;row())}),dget(class_skills_table,$P$4,{"Skill";indirect("B"&amp;row())}),dget(class_skills_table,$P$5,{"Skill";indirect("B"&amp;row())}),dget(class_skills_table,$P$6,{"Skill";indirect("B"&amp;row())}),dget(class_skills_table,$P$7,{"Skill";indirect("B"&amp;row())})), "Yes", "No"))</f>
        <v>No</v>
      </c>
      <c r="D60" s="283" t="s">
        <v>472</v>
      </c>
      <c r="E60" s="284" t="s">
        <v>284</v>
      </c>
      <c r="F60" s="11"/>
      <c r="G60" s="283" t="s">
        <v>326</v>
      </c>
      <c r="H60" s="283">
        <v>0.0</v>
      </c>
      <c r="I60" s="283">
        <f>IF(Class_Skills="No", FLOOR(Points/2,1), Points)</f>
        <v>0</v>
      </c>
      <c r="J60" s="285">
        <f>if(countif($G$8:$G$13,indirect("B"&amp;row()))=0,0,VLOOKUP(indirect("B"&amp;row()),$G$8:$H$13,2,False))+if(countif($I$8:$K$13,indirect("B"&amp;row()))=0,0,VLOOKUP(indirect("B"&amp;row()),$I$8:$K$13,3,False))+P11
+
if(Main!AD5,-4,0)</f>
        <v>0</v>
      </c>
      <c r="K60" s="285">
        <f>IF(AND(Trained_Only="Yes", Ranks=0), "NA", INDIRECT(Key_Ability)+Ranks+Misc_Mods-IF(Armor_Check_Penalty="Yes", IF(Skills="Swim", G3*2, G3)))</f>
        <v>0</v>
      </c>
      <c r="M60" s="270"/>
      <c r="N60" s="271"/>
      <c r="O60" s="270"/>
      <c r="P60" s="271"/>
    </row>
    <row r="61">
      <c r="B61" s="259" t="s">
        <v>536</v>
      </c>
      <c r="C61" s="288" t="str">
        <f t="array" ref="C61">if(isblank($P$3),"Enter Class",IF(or(dget(class_skills_table,$P$3,{"Skill";indirect("B"&amp;row())}),dget(class_skills_table,$P$4,{"Skill";indirect("B"&amp;row())}),dget(class_skills_table,$P$5,{"Skill";indirect("B"&amp;row())}),dget(class_skills_table,$P$6,{"Skill";indirect("B"&amp;row())}),dget(class_skills_table,$P$7,{"Skill";indirect("B"&amp;row())})), "Yes", "No"))</f>
        <v>No</v>
      </c>
      <c r="D61" s="288" t="s">
        <v>326</v>
      </c>
      <c r="E61" s="295" t="s">
        <v>287</v>
      </c>
      <c r="F61" s="4"/>
      <c r="G61" s="288" t="s">
        <v>326</v>
      </c>
      <c r="H61" s="288">
        <v>0.0</v>
      </c>
      <c r="I61" s="288">
        <f>IF(Class_Skills="No", FLOOR(Points/2,1), Points)</f>
        <v>0</v>
      </c>
      <c r="J61" s="291">
        <f>IF(I34&gt;=5, 2, 0)+if(countif($G$8:$G$13,indirect("B"&amp;row()))=0,0,VLOOKUP(indirect("B"&amp;row()),$G$8:$H$13,2,False))+if(countif($I$8:$K$13,indirect("B"&amp;row()))=0,0,VLOOKUP(indirect("B"&amp;row()),$I$8:$K$13,3,False))+P11
+
if(Main!AD5,-4,0)</f>
        <v>0</v>
      </c>
      <c r="K61" s="291" t="str">
        <f>IF(AND(Trained_Only="Yes", Ranks=0), "NA", INDIRECT(Key_Ability)+Ranks+Misc_Mods-IF(Armor_Check_Penalty="Yes", IF(Skills="Swim", G3*2, G3)))</f>
        <v>NA</v>
      </c>
      <c r="M61" s="311" t="s">
        <v>564</v>
      </c>
      <c r="N61" s="268"/>
      <c r="O61" s="312" t="s">
        <v>565</v>
      </c>
      <c r="P61" s="268"/>
    </row>
    <row r="62">
      <c r="B62" s="264" t="s">
        <v>541</v>
      </c>
      <c r="C62" s="283" t="str">
        <f t="array" ref="C62">if(isblank($P$3),"Enter Class",IF(or(dget(class_skills_table,$P$3,{"Skill";indirect("B"&amp;row())}),dget(class_skills_table,$P$4,{"Skill";indirect("B"&amp;row())}),dget(class_skills_table,$P$5,{"Skill";indirect("B"&amp;row())}),dget(class_skills_table,$P$6,{"Skill";indirect("B"&amp;row())}),dget(class_skills_table,$P$7,{"Skill";indirect("B"&amp;row())})), "Yes", "No"))</f>
        <v>No</v>
      </c>
      <c r="D62" s="283" t="s">
        <v>326</v>
      </c>
      <c r="E62" s="284" t="s">
        <v>299</v>
      </c>
      <c r="F62" s="11"/>
      <c r="G62" s="283" t="s">
        <v>472</v>
      </c>
      <c r="H62" s="283">
        <v>0.0</v>
      </c>
      <c r="I62" s="283">
        <f>IF(Class_Skills="No", FLOOR(Points/2,1), Points)</f>
        <v>0</v>
      </c>
      <c r="J62" s="285">
        <f>if(countif($G$8:$G$13,indirect("B"&amp;row()))=0,0,VLOOKUP(indirect("B"&amp;row()),$G$8:$H$13,2,False))+if(countif($I$8:$K$13,indirect("B"&amp;row()))=0,0,VLOOKUP(indirect("B"&amp;row()),$I$8:$K$13,3,False))+P11</f>
        <v>0</v>
      </c>
      <c r="K62" s="285" t="str">
        <f>IF(AND(Trained_Only="Yes", Ranks=0), "NA", INDIRECT(Key_Ability)+Ranks+Misc_Mods-IF(Armor_Check_Penalty="Yes", IF(Skills="Swim", G3*2, G3)))</f>
        <v>NA</v>
      </c>
      <c r="M62" s="270"/>
      <c r="N62" s="271"/>
      <c r="O62" s="270"/>
      <c r="P62" s="271"/>
    </row>
    <row r="63">
      <c r="B63" s="307" t="s">
        <v>544</v>
      </c>
      <c r="C63" s="288" t="str">
        <f t="array" ref="C63">if(isblank($P$3),"Enter Class",IF(or(dget(class_skills_table,$P$3,{"Skill";indirect("B"&amp;row())}),dget(class_skills_table,$P$4,{"Skill";indirect("B"&amp;row())}),dget(class_skills_table,$P$5,{"Skill";indirect("B"&amp;row())}),dget(class_skills_table,$P$6,{"Skill";indirect("B"&amp;row())}),dget(class_skills_table,$P$7,{"Skill";indirect("B"&amp;row())})), "Yes", "No"))</f>
        <v>No</v>
      </c>
      <c r="D63" s="289" t="s">
        <v>326</v>
      </c>
      <c r="E63" s="290" t="s">
        <v>299</v>
      </c>
      <c r="F63" s="4"/>
      <c r="G63" s="289" t="s">
        <v>472</v>
      </c>
      <c r="H63" s="289">
        <v>0.0</v>
      </c>
      <c r="I63" s="288">
        <f>IF(Class_Skills="No", FLOOR(Points/2,1), Points)</f>
        <v>0</v>
      </c>
      <c r="J63" s="291">
        <f>if(countif($G$8:$G$13,indirect("B"&amp;row()))=0,0,VLOOKUP(indirect("B"&amp;row()),$G$8:$H$13,2,False))+if(countif($I$8:$K$13,indirect("B"&amp;row()))=0,0,VLOOKUP(indirect("B"&amp;row()),$I$8:$K$13,3,False))+P11</f>
        <v>0</v>
      </c>
      <c r="K63" s="291" t="str">
        <f>IF(AND(Trained_Only="Yes", Ranks=0), "NA", INDIRECT(Key_Ability)+Ranks+Misc_Mods-IF(Armor_Check_Penalty="Yes", IF(Skills="Swim", G50*2, G50)))</f>
        <v>NA</v>
      </c>
      <c r="M63" s="295" t="s">
        <v>566</v>
      </c>
      <c r="N63" s="203"/>
      <c r="O63" s="296" t="s">
        <v>567</v>
      </c>
      <c r="P63" s="203"/>
    </row>
    <row r="64">
      <c r="B64" s="264" t="s">
        <v>547</v>
      </c>
      <c r="C64" s="283" t="str">
        <f t="array" ref="C64">if(isblank($P$3),"Enter Class",IF(or(dget(class_skills_table,$P$3,{"Skill";indirect("B"&amp;row())}),dget(class_skills_table,$P$4,{"Skill";indirect("B"&amp;row())}),dget(class_skills_table,$P$5,{"Skill";indirect("B"&amp;row())}),dget(class_skills_table,$P$6,{"Skill";indirect("B"&amp;row())}),dget(class_skills_table,$P$7,{"Skill";indirect("B"&amp;row())})), "Yes", "No"))</f>
        <v>No</v>
      </c>
      <c r="D64" s="283" t="s">
        <v>472</v>
      </c>
      <c r="E64" s="284" t="s">
        <v>287</v>
      </c>
      <c r="F64" s="11"/>
      <c r="G64" s="283" t="s">
        <v>472</v>
      </c>
      <c r="H64" s="283">
        <v>0.0</v>
      </c>
      <c r="I64" s="283">
        <f>IF(Class_Skills="No", FLOOR(Points/2,1), Points)</f>
        <v>0</v>
      </c>
      <c r="J64" s="285">
        <f>if(countif($G$8:$G$13,indirect("B"&amp;row()))=0,0,VLOOKUP(indirect("B"&amp;row()),$G$8:$H$13,2,False))+if(countif($I$8:$K$13,indirect("B"&amp;row()))=0,0,VLOOKUP(indirect("B"&amp;row()),$I$8:$K$13,3,False))+P11
+
if(Main!AD5,-4,0)</f>
        <v>0</v>
      </c>
      <c r="K64" s="285">
        <f>IF(AND(Trained_Only="Yes", Ranks=0), "NA", INDIRECT(Key_Ability)+Ranks+Misc_Mods-IF(Armor_Check_Penalty="Yes", IF(Skills="Swim", G3*2, G3)))</f>
        <v>0</v>
      </c>
      <c r="M64" s="311" t="s">
        <v>568</v>
      </c>
      <c r="N64" s="268"/>
      <c r="O64" s="312" t="s">
        <v>569</v>
      </c>
      <c r="P64" s="268"/>
    </row>
    <row r="65">
      <c r="B65" s="259" t="s">
        <v>570</v>
      </c>
      <c r="C65" s="288" t="str">
        <f t="array" ref="C65">if(isblank($P$3),"Enter Class",IF(or(dget(class_skills_table,$P$3,{"Skill";indirect("B"&amp;row())}),dget(class_skills_table,$P$4,{"Skill";indirect("B"&amp;row())}),dget(class_skills_table,$P$5,{"Skill";indirect("B"&amp;row())}),dget(class_skills_table,$P$6,{"Skill";indirect("B"&amp;row())}),dget(class_skills_table,$P$7,{"Skill";indirect("B"&amp;row())})), "Yes", "No"))</f>
        <v>No</v>
      </c>
      <c r="D65" s="288" t="s">
        <v>567</v>
      </c>
      <c r="E65" s="295" t="s">
        <v>567</v>
      </c>
      <c r="F65" s="4"/>
      <c r="G65" s="288" t="s">
        <v>567</v>
      </c>
      <c r="H65" s="288">
        <v>0.0</v>
      </c>
      <c r="I65" s="288" t="s">
        <v>567</v>
      </c>
      <c r="J65" s="291" t="s">
        <v>567</v>
      </c>
      <c r="K65" s="291" t="str">
        <f>IF(AND(P3="Barbarian",P4="None"),IF(Points=2, "Literate","Illiterate"),"NA")</f>
        <v>NA</v>
      </c>
      <c r="M65" s="315"/>
      <c r="N65" s="316"/>
      <c r="O65" s="315"/>
      <c r="P65" s="316"/>
    </row>
    <row r="66">
      <c r="C66" s="317"/>
      <c r="D66" s="317"/>
      <c r="E66" s="317"/>
      <c r="F66" s="317"/>
      <c r="G66" s="317"/>
      <c r="H66" s="317"/>
      <c r="I66" s="317"/>
      <c r="J66" s="318"/>
      <c r="K66" s="317"/>
      <c r="M66" s="295" t="str">
        <f>G6</f>
        <v>Custom Race</v>
      </c>
      <c r="N66" s="203"/>
      <c r="O66" s="296" t="s">
        <v>571</v>
      </c>
      <c r="P66" s="203"/>
    </row>
    <row r="67">
      <c r="C67" s="317"/>
      <c r="D67" s="317"/>
      <c r="E67" s="317"/>
      <c r="F67" s="317"/>
      <c r="G67" s="317"/>
      <c r="H67" s="317"/>
      <c r="I67" s="317"/>
      <c r="J67" s="318"/>
      <c r="K67" s="317"/>
    </row>
    <row r="68">
      <c r="C68" s="317"/>
      <c r="D68" s="317"/>
      <c r="E68" s="317"/>
      <c r="F68" s="317"/>
      <c r="G68" s="317"/>
      <c r="H68" s="317"/>
      <c r="I68" s="317"/>
      <c r="J68" s="318"/>
      <c r="K68" s="317"/>
    </row>
    <row r="69">
      <c r="C69" s="317"/>
      <c r="D69" s="317"/>
      <c r="E69" s="317"/>
      <c r="F69" s="317"/>
      <c r="G69" s="317"/>
      <c r="H69" s="317"/>
      <c r="I69" s="317"/>
      <c r="J69" s="318"/>
      <c r="K69" s="317"/>
    </row>
    <row r="70">
      <c r="C70" s="317"/>
      <c r="D70" s="317"/>
      <c r="E70" s="317"/>
      <c r="F70" s="317"/>
      <c r="G70" s="317"/>
      <c r="H70" s="317"/>
      <c r="I70" s="317"/>
      <c r="J70" s="318"/>
      <c r="K70" s="317"/>
    </row>
    <row r="71">
      <c r="C71" s="317"/>
      <c r="D71" s="317"/>
      <c r="E71" s="317"/>
      <c r="F71" s="317"/>
      <c r="G71" s="317"/>
      <c r="H71" s="317"/>
      <c r="I71" s="317"/>
      <c r="J71" s="318"/>
      <c r="K71" s="317"/>
    </row>
    <row r="72">
      <c r="C72" s="317"/>
      <c r="D72" s="317"/>
      <c r="E72" s="317"/>
      <c r="F72" s="317"/>
      <c r="G72" s="317"/>
      <c r="H72" s="317"/>
      <c r="I72" s="317"/>
      <c r="J72" s="318"/>
      <c r="K72" s="317"/>
    </row>
    <row r="73">
      <c r="C73" s="317"/>
      <c r="D73" s="317"/>
      <c r="E73" s="317"/>
      <c r="F73" s="317"/>
      <c r="G73" s="317"/>
      <c r="H73" s="317"/>
      <c r="I73" s="317"/>
      <c r="J73" s="318"/>
      <c r="K73" s="317"/>
    </row>
    <row r="74">
      <c r="C74" s="317"/>
      <c r="D74" s="317"/>
      <c r="E74" s="317"/>
      <c r="F74" s="317"/>
      <c r="G74" s="317"/>
      <c r="H74" s="317"/>
      <c r="I74" s="317"/>
      <c r="J74" s="318"/>
      <c r="K74" s="317"/>
    </row>
    <row r="75">
      <c r="C75" s="317"/>
      <c r="D75" s="317"/>
      <c r="E75" s="317"/>
      <c r="F75" s="317"/>
      <c r="G75" s="317"/>
      <c r="H75" s="317"/>
      <c r="I75" s="317"/>
      <c r="J75" s="318"/>
      <c r="K75" s="317"/>
    </row>
    <row r="76">
      <c r="C76" s="317"/>
      <c r="D76" s="317"/>
      <c r="E76" s="317"/>
      <c r="F76" s="317"/>
      <c r="G76" s="317"/>
      <c r="H76" s="317"/>
      <c r="I76" s="317"/>
      <c r="J76" s="318"/>
      <c r="K76" s="317"/>
    </row>
    <row r="77">
      <c r="C77" s="317"/>
      <c r="D77" s="317"/>
      <c r="E77" s="317"/>
      <c r="F77" s="317"/>
      <c r="G77" s="317"/>
      <c r="H77" s="317"/>
      <c r="I77" s="317"/>
      <c r="J77" s="318"/>
      <c r="K77" s="317"/>
    </row>
    <row r="78">
      <c r="C78" s="317"/>
      <c r="D78" s="317"/>
      <c r="E78" s="317"/>
      <c r="F78" s="317"/>
      <c r="G78" s="317"/>
      <c r="H78" s="317"/>
      <c r="I78" s="317"/>
      <c r="J78" s="318"/>
      <c r="K78" s="317"/>
    </row>
    <row r="79">
      <c r="C79" s="317"/>
      <c r="D79" s="317"/>
      <c r="E79" s="317"/>
      <c r="F79" s="317"/>
      <c r="G79" s="317"/>
      <c r="H79" s="317"/>
      <c r="I79" s="317"/>
      <c r="J79" s="318"/>
      <c r="K79" s="317"/>
    </row>
    <row r="80">
      <c r="C80" s="317"/>
      <c r="D80" s="317"/>
      <c r="E80" s="317"/>
      <c r="F80" s="317"/>
      <c r="G80" s="317"/>
      <c r="H80" s="317"/>
      <c r="I80" s="317"/>
      <c r="J80" s="318"/>
      <c r="K80" s="317"/>
    </row>
    <row r="81">
      <c r="C81" s="317"/>
      <c r="D81" s="317"/>
      <c r="E81" s="317"/>
      <c r="F81" s="317"/>
      <c r="G81" s="317"/>
      <c r="H81" s="317"/>
      <c r="I81" s="317"/>
      <c r="J81" s="318"/>
      <c r="K81" s="317"/>
    </row>
    <row r="82">
      <c r="C82" s="317"/>
      <c r="D82" s="317"/>
      <c r="E82" s="317"/>
      <c r="F82" s="317"/>
      <c r="G82" s="317"/>
      <c r="H82" s="317"/>
      <c r="I82" s="317"/>
      <c r="J82" s="318"/>
      <c r="K82" s="317"/>
    </row>
    <row r="83">
      <c r="C83" s="317"/>
      <c r="D83" s="317"/>
      <c r="E83" s="317"/>
      <c r="F83" s="317"/>
      <c r="G83" s="317"/>
      <c r="H83" s="317"/>
      <c r="I83" s="317"/>
      <c r="J83" s="318"/>
      <c r="K83" s="317"/>
    </row>
    <row r="84">
      <c r="C84" s="317"/>
      <c r="D84" s="317"/>
      <c r="E84" s="317"/>
      <c r="F84" s="317"/>
      <c r="G84" s="317"/>
      <c r="H84" s="317"/>
      <c r="I84" s="317"/>
      <c r="J84" s="318"/>
      <c r="K84" s="317"/>
    </row>
    <row r="85">
      <c r="C85" s="317"/>
      <c r="D85" s="317"/>
      <c r="E85" s="317"/>
      <c r="F85" s="317"/>
      <c r="G85" s="317"/>
      <c r="H85" s="317"/>
      <c r="I85" s="317"/>
      <c r="J85" s="318"/>
      <c r="K85" s="317"/>
    </row>
    <row r="86">
      <c r="C86" s="317"/>
      <c r="D86" s="317"/>
      <c r="E86" s="317"/>
      <c r="F86" s="317"/>
      <c r="G86" s="317"/>
      <c r="H86" s="317"/>
      <c r="I86" s="317"/>
      <c r="J86" s="318"/>
      <c r="K86" s="317"/>
    </row>
    <row r="87">
      <c r="C87" s="317"/>
      <c r="D87" s="317"/>
      <c r="E87" s="317"/>
      <c r="F87" s="317"/>
      <c r="G87" s="317"/>
      <c r="H87" s="317"/>
      <c r="I87" s="317"/>
      <c r="J87" s="318"/>
      <c r="K87" s="317"/>
    </row>
    <row r="88">
      <c r="C88" s="317"/>
      <c r="D88" s="317"/>
      <c r="E88" s="317"/>
      <c r="F88" s="317"/>
      <c r="G88" s="317"/>
      <c r="H88" s="317"/>
      <c r="I88" s="317"/>
      <c r="J88" s="318"/>
      <c r="K88" s="317"/>
    </row>
    <row r="89">
      <c r="C89" s="317"/>
      <c r="D89" s="317"/>
      <c r="E89" s="317"/>
      <c r="F89" s="317"/>
      <c r="G89" s="317"/>
      <c r="H89" s="317"/>
      <c r="I89" s="317"/>
      <c r="J89" s="318"/>
      <c r="K89" s="317"/>
    </row>
    <row r="90">
      <c r="C90" s="317"/>
      <c r="D90" s="317"/>
      <c r="E90" s="317"/>
      <c r="F90" s="317"/>
      <c r="G90" s="317"/>
      <c r="H90" s="317"/>
      <c r="I90" s="317"/>
      <c r="J90" s="318"/>
      <c r="K90" s="317"/>
    </row>
    <row r="91">
      <c r="C91" s="317"/>
      <c r="D91" s="317"/>
      <c r="E91" s="317"/>
      <c r="F91" s="317"/>
      <c r="G91" s="317"/>
      <c r="H91" s="317"/>
      <c r="I91" s="317"/>
      <c r="J91" s="318"/>
      <c r="K91" s="317"/>
    </row>
    <row r="92">
      <c r="C92" s="317"/>
      <c r="D92" s="317"/>
      <c r="E92" s="317"/>
      <c r="F92" s="317"/>
      <c r="G92" s="317"/>
      <c r="H92" s="317"/>
      <c r="I92" s="317"/>
      <c r="J92" s="318"/>
      <c r="K92" s="317"/>
    </row>
    <row r="93">
      <c r="C93" s="317"/>
      <c r="D93" s="317"/>
      <c r="E93" s="317"/>
      <c r="F93" s="317"/>
      <c r="G93" s="317"/>
      <c r="H93" s="317"/>
      <c r="I93" s="317"/>
      <c r="J93" s="318"/>
      <c r="K93" s="317"/>
    </row>
    <row r="94">
      <c r="C94" s="317"/>
      <c r="D94" s="317"/>
      <c r="E94" s="317"/>
      <c r="F94" s="317"/>
      <c r="G94" s="317"/>
      <c r="H94" s="317"/>
      <c r="I94" s="317"/>
      <c r="J94" s="318"/>
      <c r="K94" s="317"/>
    </row>
    <row r="95">
      <c r="C95" s="317"/>
      <c r="D95" s="317"/>
      <c r="E95" s="317"/>
      <c r="F95" s="317"/>
      <c r="G95" s="317"/>
      <c r="H95" s="317"/>
      <c r="I95" s="317"/>
      <c r="J95" s="318"/>
      <c r="K95" s="317"/>
    </row>
    <row r="96">
      <c r="C96" s="317"/>
      <c r="D96" s="317"/>
      <c r="E96" s="317"/>
      <c r="F96" s="317"/>
      <c r="G96" s="317"/>
      <c r="H96" s="317"/>
      <c r="I96" s="317"/>
      <c r="J96" s="318"/>
      <c r="K96" s="317"/>
    </row>
    <row r="97">
      <c r="C97" s="317"/>
      <c r="D97" s="317"/>
      <c r="E97" s="317"/>
      <c r="F97" s="317"/>
      <c r="G97" s="317"/>
      <c r="H97" s="317"/>
      <c r="I97" s="317"/>
      <c r="J97" s="318"/>
      <c r="K97" s="317"/>
    </row>
    <row r="98">
      <c r="C98" s="317"/>
      <c r="D98" s="317"/>
      <c r="E98" s="317"/>
      <c r="F98" s="317"/>
      <c r="G98" s="317"/>
      <c r="H98" s="317"/>
      <c r="I98" s="317"/>
      <c r="J98" s="318"/>
      <c r="K98" s="317"/>
    </row>
    <row r="99">
      <c r="C99" s="317"/>
      <c r="D99" s="317"/>
      <c r="E99" s="317"/>
      <c r="F99" s="317"/>
      <c r="G99" s="317"/>
      <c r="H99" s="317"/>
      <c r="I99" s="317"/>
      <c r="J99" s="318"/>
      <c r="K99" s="317"/>
    </row>
    <row r="100">
      <c r="C100" s="317"/>
      <c r="D100" s="317"/>
      <c r="E100" s="317"/>
      <c r="F100" s="317"/>
      <c r="G100" s="317"/>
      <c r="H100" s="317"/>
      <c r="I100" s="317"/>
      <c r="J100" s="318"/>
      <c r="K100" s="317"/>
    </row>
    <row r="101">
      <c r="C101" s="317"/>
      <c r="D101" s="317"/>
      <c r="E101" s="317"/>
      <c r="F101" s="317"/>
      <c r="G101" s="317"/>
      <c r="H101" s="317"/>
      <c r="I101" s="317"/>
      <c r="J101" s="318"/>
      <c r="K101" s="317"/>
    </row>
    <row r="102">
      <c r="C102" s="317"/>
      <c r="D102" s="317"/>
      <c r="E102" s="317"/>
      <c r="F102" s="317"/>
      <c r="G102" s="317"/>
      <c r="H102" s="317"/>
      <c r="I102" s="317"/>
      <c r="J102" s="318"/>
      <c r="K102" s="317"/>
    </row>
    <row r="103">
      <c r="C103" s="317"/>
      <c r="D103" s="317"/>
      <c r="E103" s="317"/>
      <c r="F103" s="317"/>
      <c r="G103" s="317"/>
      <c r="H103" s="317"/>
      <c r="I103" s="317"/>
      <c r="J103" s="318"/>
      <c r="K103" s="317"/>
    </row>
    <row r="104">
      <c r="C104" s="317"/>
      <c r="D104" s="317"/>
      <c r="E104" s="317"/>
      <c r="F104" s="317"/>
      <c r="G104" s="317"/>
      <c r="H104" s="317"/>
      <c r="I104" s="317"/>
      <c r="J104" s="318"/>
      <c r="K104" s="317"/>
    </row>
    <row r="105">
      <c r="C105" s="317"/>
      <c r="D105" s="317"/>
      <c r="E105" s="317"/>
      <c r="F105" s="317"/>
      <c r="G105" s="317"/>
      <c r="H105" s="317"/>
      <c r="I105" s="317"/>
      <c r="J105" s="318"/>
      <c r="K105" s="317"/>
    </row>
    <row r="106">
      <c r="C106" s="317"/>
      <c r="D106" s="317"/>
      <c r="E106" s="317"/>
      <c r="F106" s="317"/>
      <c r="G106" s="317"/>
      <c r="H106" s="317"/>
      <c r="I106" s="317"/>
      <c r="J106" s="318"/>
      <c r="K106" s="317"/>
    </row>
    <row r="107">
      <c r="C107" s="317"/>
      <c r="D107" s="317"/>
      <c r="E107" s="317"/>
      <c r="F107" s="317"/>
      <c r="G107" s="317"/>
      <c r="H107" s="317"/>
      <c r="I107" s="317"/>
      <c r="J107" s="318"/>
      <c r="K107" s="317"/>
    </row>
    <row r="108">
      <c r="C108" s="317"/>
      <c r="D108" s="317"/>
      <c r="E108" s="317"/>
      <c r="F108" s="317"/>
      <c r="G108" s="317"/>
      <c r="H108" s="317"/>
      <c r="I108" s="317"/>
      <c r="J108" s="318"/>
      <c r="K108" s="317"/>
    </row>
    <row r="109">
      <c r="C109" s="317"/>
      <c r="D109" s="317"/>
      <c r="E109" s="317"/>
      <c r="F109" s="317"/>
      <c r="G109" s="317"/>
      <c r="H109" s="317"/>
      <c r="I109" s="317"/>
      <c r="J109" s="318"/>
      <c r="K109" s="317"/>
    </row>
    <row r="110">
      <c r="C110" s="317"/>
      <c r="D110" s="317"/>
      <c r="E110" s="317"/>
      <c r="F110" s="317"/>
      <c r="G110" s="317"/>
      <c r="H110" s="317"/>
      <c r="I110" s="317"/>
      <c r="J110" s="318"/>
      <c r="K110" s="317"/>
    </row>
    <row r="111">
      <c r="C111" s="317"/>
      <c r="D111" s="317"/>
      <c r="E111" s="317"/>
      <c r="F111" s="317"/>
      <c r="G111" s="317"/>
      <c r="H111" s="317"/>
      <c r="I111" s="317"/>
      <c r="J111" s="318"/>
      <c r="K111" s="317"/>
    </row>
    <row r="112">
      <c r="C112" s="317"/>
      <c r="D112" s="317"/>
      <c r="E112" s="317"/>
      <c r="F112" s="317"/>
      <c r="G112" s="317"/>
      <c r="H112" s="317"/>
      <c r="I112" s="317"/>
      <c r="J112" s="318"/>
      <c r="K112" s="317"/>
    </row>
    <row r="113">
      <c r="C113" s="317"/>
      <c r="D113" s="317"/>
      <c r="E113" s="317"/>
      <c r="F113" s="317"/>
      <c r="G113" s="317"/>
      <c r="H113" s="317"/>
      <c r="I113" s="317"/>
      <c r="J113" s="318"/>
      <c r="K113" s="317"/>
    </row>
    <row r="114">
      <c r="C114" s="317"/>
      <c r="D114" s="317"/>
      <c r="E114" s="317"/>
      <c r="F114" s="317"/>
      <c r="G114" s="317"/>
      <c r="H114" s="317"/>
      <c r="I114" s="317"/>
      <c r="J114" s="318"/>
      <c r="K114" s="317"/>
    </row>
    <row r="115">
      <c r="C115" s="317"/>
      <c r="D115" s="317"/>
      <c r="E115" s="317"/>
      <c r="F115" s="317"/>
      <c r="G115" s="317"/>
      <c r="H115" s="317"/>
      <c r="I115" s="317"/>
      <c r="J115" s="318"/>
      <c r="K115" s="317"/>
    </row>
    <row r="116">
      <c r="C116" s="317"/>
      <c r="D116" s="317"/>
      <c r="E116" s="317"/>
      <c r="F116" s="317"/>
      <c r="G116" s="317"/>
      <c r="H116" s="317"/>
      <c r="I116" s="317"/>
      <c r="J116" s="318"/>
      <c r="K116" s="317"/>
    </row>
    <row r="117">
      <c r="C117" s="317"/>
      <c r="D117" s="317"/>
      <c r="E117" s="317"/>
      <c r="F117" s="317"/>
      <c r="G117" s="317"/>
      <c r="H117" s="317"/>
      <c r="I117" s="317"/>
      <c r="J117" s="318"/>
      <c r="K117" s="317"/>
    </row>
    <row r="118">
      <c r="C118" s="317"/>
      <c r="D118" s="317"/>
      <c r="E118" s="317"/>
      <c r="F118" s="317"/>
      <c r="G118" s="317"/>
      <c r="H118" s="317"/>
      <c r="I118" s="317"/>
      <c r="J118" s="318"/>
      <c r="K118" s="317"/>
    </row>
    <row r="119">
      <c r="C119" s="317"/>
      <c r="D119" s="317"/>
      <c r="E119" s="317"/>
      <c r="F119" s="317"/>
      <c r="G119" s="317"/>
      <c r="H119" s="317"/>
      <c r="I119" s="317"/>
      <c r="J119" s="318"/>
      <c r="K119" s="317"/>
    </row>
    <row r="120">
      <c r="C120" s="317"/>
      <c r="D120" s="317"/>
      <c r="E120" s="317"/>
      <c r="F120" s="317"/>
      <c r="G120" s="317"/>
      <c r="H120" s="317"/>
      <c r="I120" s="317"/>
      <c r="J120" s="318"/>
      <c r="K120" s="317"/>
    </row>
    <row r="121">
      <c r="C121" s="317"/>
      <c r="D121" s="317"/>
      <c r="E121" s="317"/>
      <c r="F121" s="317"/>
      <c r="G121" s="317"/>
      <c r="H121" s="317"/>
      <c r="I121" s="317"/>
      <c r="J121" s="318"/>
      <c r="K121" s="317"/>
    </row>
    <row r="122">
      <c r="C122" s="317"/>
      <c r="D122" s="317"/>
      <c r="E122" s="317"/>
      <c r="F122" s="317"/>
      <c r="G122" s="317"/>
      <c r="H122" s="317"/>
      <c r="I122" s="317"/>
      <c r="J122" s="318"/>
      <c r="K122" s="317"/>
    </row>
    <row r="123">
      <c r="C123" s="317"/>
      <c r="D123" s="317"/>
      <c r="E123" s="317"/>
      <c r="F123" s="317"/>
      <c r="G123" s="317"/>
      <c r="H123" s="317"/>
      <c r="I123" s="317"/>
      <c r="J123" s="318"/>
      <c r="K123" s="317"/>
    </row>
    <row r="124">
      <c r="C124" s="317"/>
      <c r="D124" s="317"/>
      <c r="E124" s="317"/>
      <c r="F124" s="317"/>
      <c r="G124" s="317"/>
      <c r="H124" s="317"/>
      <c r="I124" s="317"/>
      <c r="J124" s="318"/>
      <c r="K124" s="317"/>
    </row>
    <row r="125">
      <c r="C125" s="317"/>
      <c r="D125" s="317"/>
      <c r="E125" s="317"/>
      <c r="F125" s="317"/>
      <c r="G125" s="317"/>
      <c r="H125" s="317"/>
      <c r="I125" s="317"/>
      <c r="J125" s="318"/>
      <c r="K125" s="317"/>
    </row>
    <row r="126">
      <c r="C126" s="317"/>
      <c r="D126" s="317"/>
      <c r="E126" s="317"/>
      <c r="F126" s="317"/>
      <c r="G126" s="317"/>
      <c r="H126" s="317"/>
      <c r="I126" s="317"/>
      <c r="J126" s="318"/>
      <c r="K126" s="317"/>
    </row>
    <row r="127">
      <c r="C127" s="317"/>
      <c r="D127" s="317"/>
      <c r="E127" s="317"/>
      <c r="F127" s="317"/>
      <c r="G127" s="317"/>
      <c r="H127" s="317"/>
      <c r="I127" s="317"/>
      <c r="J127" s="318"/>
      <c r="K127" s="317"/>
    </row>
    <row r="128">
      <c r="C128" s="317"/>
      <c r="D128" s="317"/>
      <c r="E128" s="317"/>
      <c r="F128" s="317"/>
      <c r="G128" s="317"/>
      <c r="H128" s="317"/>
      <c r="I128" s="317"/>
      <c r="J128" s="318"/>
      <c r="K128" s="317"/>
    </row>
    <row r="129">
      <c r="C129" s="317"/>
      <c r="D129" s="317"/>
      <c r="E129" s="317"/>
      <c r="F129" s="317"/>
      <c r="G129" s="317"/>
      <c r="H129" s="317"/>
      <c r="I129" s="317"/>
      <c r="J129" s="318"/>
      <c r="K129" s="317"/>
    </row>
    <row r="130">
      <c r="C130" s="317"/>
      <c r="D130" s="317"/>
      <c r="E130" s="317"/>
      <c r="F130" s="317"/>
      <c r="G130" s="317"/>
      <c r="H130" s="317"/>
      <c r="I130" s="317"/>
      <c r="J130" s="318"/>
      <c r="K130" s="317"/>
    </row>
    <row r="131">
      <c r="C131" s="317"/>
      <c r="D131" s="317"/>
      <c r="E131" s="317"/>
      <c r="F131" s="317"/>
      <c r="G131" s="317"/>
      <c r="H131" s="317"/>
      <c r="I131" s="317"/>
      <c r="J131" s="318"/>
      <c r="K131" s="317"/>
    </row>
    <row r="132">
      <c r="C132" s="317"/>
      <c r="D132" s="317"/>
      <c r="E132" s="317"/>
      <c r="F132" s="317"/>
      <c r="G132" s="317"/>
      <c r="H132" s="317"/>
      <c r="I132" s="317"/>
      <c r="J132" s="318"/>
      <c r="K132" s="317"/>
    </row>
    <row r="133">
      <c r="C133" s="317"/>
      <c r="D133" s="317"/>
      <c r="E133" s="317"/>
      <c r="F133" s="317"/>
      <c r="G133" s="317"/>
      <c r="H133" s="317"/>
      <c r="I133" s="317"/>
      <c r="J133" s="318"/>
      <c r="K133" s="317"/>
    </row>
    <row r="134">
      <c r="C134" s="317"/>
      <c r="D134" s="317"/>
      <c r="E134" s="317"/>
      <c r="F134" s="317"/>
      <c r="G134" s="317"/>
      <c r="H134" s="317"/>
      <c r="I134" s="317"/>
      <c r="J134" s="318"/>
      <c r="K134" s="317"/>
    </row>
    <row r="135">
      <c r="C135" s="317"/>
      <c r="D135" s="317"/>
      <c r="E135" s="317"/>
      <c r="F135" s="317"/>
      <c r="G135" s="317"/>
      <c r="H135" s="317"/>
      <c r="I135" s="317"/>
      <c r="J135" s="318"/>
      <c r="K135" s="317"/>
    </row>
    <row r="136">
      <c r="C136" s="317"/>
      <c r="D136" s="317"/>
      <c r="E136" s="317"/>
      <c r="F136" s="317"/>
      <c r="G136" s="317"/>
      <c r="H136" s="317"/>
      <c r="I136" s="317"/>
      <c r="J136" s="318"/>
      <c r="K136" s="317"/>
    </row>
    <row r="137">
      <c r="C137" s="317"/>
      <c r="D137" s="317"/>
      <c r="E137" s="317"/>
      <c r="F137" s="317"/>
      <c r="G137" s="317"/>
      <c r="H137" s="317"/>
      <c r="I137" s="317"/>
      <c r="J137" s="318"/>
      <c r="K137" s="317"/>
    </row>
    <row r="138">
      <c r="C138" s="317"/>
      <c r="D138" s="317"/>
      <c r="E138" s="317"/>
      <c r="F138" s="317"/>
      <c r="G138" s="317"/>
      <c r="H138" s="317"/>
      <c r="I138" s="317"/>
      <c r="J138" s="318"/>
      <c r="K138" s="317"/>
    </row>
    <row r="139">
      <c r="C139" s="317"/>
      <c r="D139" s="317"/>
      <c r="E139" s="317"/>
      <c r="F139" s="317"/>
      <c r="G139" s="317"/>
      <c r="H139" s="317"/>
      <c r="I139" s="317"/>
      <c r="J139" s="318"/>
      <c r="K139" s="317"/>
    </row>
    <row r="140">
      <c r="C140" s="317"/>
      <c r="D140" s="317"/>
      <c r="E140" s="317"/>
      <c r="F140" s="317"/>
      <c r="G140" s="317"/>
      <c r="H140" s="317"/>
      <c r="I140" s="317"/>
      <c r="J140" s="318"/>
      <c r="K140" s="317"/>
    </row>
    <row r="141">
      <c r="C141" s="317"/>
      <c r="D141" s="317"/>
      <c r="E141" s="317"/>
      <c r="F141" s="317"/>
      <c r="G141" s="317"/>
      <c r="H141" s="317"/>
      <c r="I141" s="317"/>
      <c r="J141" s="318"/>
      <c r="K141" s="317"/>
    </row>
    <row r="142">
      <c r="C142" s="317"/>
      <c r="D142" s="317"/>
      <c r="E142" s="317"/>
      <c r="F142" s="317"/>
      <c r="G142" s="317"/>
      <c r="H142" s="317"/>
      <c r="I142" s="317"/>
      <c r="J142" s="318"/>
      <c r="K142" s="317"/>
    </row>
    <row r="143">
      <c r="C143" s="317"/>
      <c r="D143" s="317"/>
      <c r="E143" s="317"/>
      <c r="F143" s="317"/>
      <c r="G143" s="317"/>
      <c r="H143" s="317"/>
      <c r="I143" s="317"/>
      <c r="J143" s="318"/>
      <c r="K143" s="317"/>
    </row>
    <row r="144">
      <c r="C144" s="317"/>
      <c r="D144" s="317"/>
      <c r="E144" s="317"/>
      <c r="F144" s="317"/>
      <c r="G144" s="317"/>
      <c r="H144" s="317"/>
      <c r="I144" s="317"/>
      <c r="J144" s="318"/>
      <c r="K144" s="317"/>
    </row>
    <row r="145">
      <c r="C145" s="317"/>
      <c r="D145" s="317"/>
      <c r="E145" s="317"/>
      <c r="F145" s="317"/>
      <c r="G145" s="317"/>
      <c r="H145" s="317"/>
      <c r="I145" s="317"/>
      <c r="J145" s="318"/>
      <c r="K145" s="317"/>
    </row>
    <row r="146">
      <c r="C146" s="317"/>
      <c r="D146" s="317"/>
      <c r="E146" s="317"/>
      <c r="F146" s="317"/>
      <c r="G146" s="317"/>
      <c r="H146" s="317"/>
      <c r="I146" s="317"/>
      <c r="J146" s="318"/>
      <c r="K146" s="317"/>
    </row>
    <row r="147">
      <c r="C147" s="317"/>
      <c r="D147" s="317"/>
      <c r="E147" s="317"/>
      <c r="F147" s="317"/>
      <c r="G147" s="317"/>
      <c r="H147" s="317"/>
      <c r="I147" s="317"/>
      <c r="J147" s="318"/>
      <c r="K147" s="317"/>
    </row>
    <row r="148">
      <c r="C148" s="317"/>
      <c r="D148" s="317"/>
      <c r="E148" s="317"/>
      <c r="F148" s="317"/>
      <c r="G148" s="317"/>
      <c r="H148" s="317"/>
      <c r="I148" s="317"/>
      <c r="J148" s="318"/>
      <c r="K148" s="317"/>
    </row>
    <row r="149">
      <c r="C149" s="317"/>
      <c r="D149" s="317"/>
      <c r="E149" s="317"/>
      <c r="F149" s="317"/>
      <c r="G149" s="317"/>
      <c r="H149" s="317"/>
      <c r="I149" s="317"/>
      <c r="J149" s="318"/>
      <c r="K149" s="317"/>
    </row>
    <row r="150">
      <c r="C150" s="317"/>
      <c r="D150" s="317"/>
      <c r="E150" s="317"/>
      <c r="F150" s="317"/>
      <c r="G150" s="317"/>
      <c r="H150" s="317"/>
      <c r="I150" s="317"/>
      <c r="J150" s="318"/>
      <c r="K150" s="317"/>
    </row>
    <row r="151">
      <c r="C151" s="317"/>
      <c r="D151" s="317"/>
      <c r="E151" s="317"/>
      <c r="F151" s="317"/>
      <c r="G151" s="317"/>
      <c r="H151" s="317"/>
      <c r="I151" s="317"/>
      <c r="J151" s="318"/>
      <c r="K151" s="317"/>
    </row>
    <row r="152">
      <c r="C152" s="317"/>
      <c r="D152" s="317"/>
      <c r="E152" s="317"/>
      <c r="F152" s="317"/>
      <c r="G152" s="317"/>
      <c r="H152" s="317"/>
      <c r="I152" s="317"/>
      <c r="J152" s="318"/>
      <c r="K152" s="317"/>
    </row>
    <row r="153">
      <c r="C153" s="317"/>
      <c r="D153" s="317"/>
      <c r="E153" s="317"/>
      <c r="F153" s="317"/>
      <c r="G153" s="317"/>
      <c r="H153" s="317"/>
      <c r="I153" s="317"/>
      <c r="J153" s="318"/>
      <c r="K153" s="317"/>
    </row>
    <row r="154">
      <c r="C154" s="317"/>
      <c r="D154" s="317"/>
      <c r="E154" s="317"/>
      <c r="F154" s="317"/>
      <c r="G154" s="317"/>
      <c r="H154" s="317"/>
      <c r="I154" s="317"/>
      <c r="J154" s="318"/>
      <c r="K154" s="317"/>
    </row>
    <row r="155">
      <c r="C155" s="317"/>
      <c r="D155" s="317"/>
      <c r="E155" s="317"/>
      <c r="F155" s="317"/>
      <c r="G155" s="317"/>
      <c r="H155" s="317"/>
      <c r="I155" s="317"/>
      <c r="J155" s="318"/>
      <c r="K155" s="317"/>
    </row>
    <row r="156">
      <c r="C156" s="317"/>
      <c r="D156" s="317"/>
      <c r="E156" s="317"/>
      <c r="F156" s="317"/>
      <c r="G156" s="317"/>
      <c r="H156" s="317"/>
      <c r="I156" s="317"/>
      <c r="J156" s="318"/>
      <c r="K156" s="317"/>
    </row>
    <row r="157">
      <c r="C157" s="317"/>
      <c r="D157" s="317"/>
      <c r="E157" s="317"/>
      <c r="F157" s="317"/>
      <c r="G157" s="317"/>
      <c r="H157" s="317"/>
      <c r="I157" s="317"/>
      <c r="J157" s="318"/>
      <c r="K157" s="317"/>
    </row>
    <row r="158">
      <c r="C158" s="317"/>
      <c r="D158" s="317"/>
      <c r="E158" s="317"/>
      <c r="F158" s="317"/>
      <c r="G158" s="317"/>
      <c r="H158" s="317"/>
      <c r="I158" s="317"/>
      <c r="J158" s="318"/>
      <c r="K158" s="317"/>
    </row>
    <row r="159">
      <c r="C159" s="317"/>
      <c r="D159" s="317"/>
      <c r="E159" s="317"/>
      <c r="F159" s="317"/>
      <c r="G159" s="317"/>
      <c r="H159" s="317"/>
      <c r="I159" s="317"/>
      <c r="J159" s="318"/>
      <c r="K159" s="317"/>
    </row>
    <row r="160">
      <c r="C160" s="317"/>
      <c r="D160" s="317"/>
      <c r="E160" s="317"/>
      <c r="F160" s="317"/>
      <c r="G160" s="317"/>
      <c r="H160" s="317"/>
      <c r="I160" s="317"/>
      <c r="J160" s="318"/>
      <c r="K160" s="317"/>
    </row>
    <row r="161">
      <c r="C161" s="317"/>
      <c r="D161" s="317"/>
      <c r="E161" s="317"/>
      <c r="F161" s="317"/>
      <c r="G161" s="317"/>
      <c r="H161" s="317"/>
      <c r="I161" s="317"/>
      <c r="J161" s="318"/>
      <c r="K161" s="317"/>
    </row>
    <row r="162">
      <c r="C162" s="317"/>
      <c r="D162" s="317"/>
      <c r="E162" s="317"/>
      <c r="F162" s="317"/>
      <c r="G162" s="317"/>
      <c r="H162" s="317"/>
      <c r="I162" s="317"/>
      <c r="J162" s="318"/>
      <c r="K162" s="317"/>
    </row>
    <row r="163">
      <c r="C163" s="317"/>
      <c r="D163" s="317"/>
      <c r="E163" s="317"/>
      <c r="F163" s="317"/>
      <c r="G163" s="317"/>
      <c r="H163" s="317"/>
      <c r="I163" s="317"/>
      <c r="J163" s="318"/>
      <c r="K163" s="317"/>
    </row>
    <row r="164">
      <c r="C164" s="317"/>
      <c r="D164" s="317"/>
      <c r="E164" s="317"/>
      <c r="F164" s="317"/>
      <c r="G164" s="317"/>
      <c r="H164" s="317"/>
      <c r="I164" s="317"/>
      <c r="J164" s="318"/>
      <c r="K164" s="317"/>
    </row>
    <row r="165">
      <c r="C165" s="317"/>
      <c r="D165" s="317"/>
      <c r="E165" s="317"/>
      <c r="F165" s="317"/>
      <c r="G165" s="317"/>
      <c r="H165" s="317"/>
      <c r="I165" s="317"/>
      <c r="J165" s="318"/>
      <c r="K165" s="317"/>
    </row>
    <row r="166">
      <c r="C166" s="317"/>
      <c r="D166" s="317"/>
      <c r="E166" s="317"/>
      <c r="F166" s="317"/>
      <c r="G166" s="317"/>
      <c r="H166" s="317"/>
      <c r="I166" s="317"/>
      <c r="J166" s="318"/>
      <c r="K166" s="317"/>
    </row>
    <row r="167">
      <c r="C167" s="317"/>
      <c r="D167" s="317"/>
      <c r="E167" s="317"/>
      <c r="F167" s="317"/>
      <c r="G167" s="317"/>
      <c r="H167" s="317"/>
      <c r="I167" s="317"/>
      <c r="J167" s="318"/>
      <c r="K167" s="317"/>
    </row>
    <row r="168">
      <c r="C168" s="317"/>
      <c r="D168" s="317"/>
      <c r="E168" s="317"/>
      <c r="F168" s="317"/>
      <c r="G168" s="317"/>
      <c r="H168" s="317"/>
      <c r="I168" s="317"/>
      <c r="J168" s="318"/>
      <c r="K168" s="317"/>
    </row>
    <row r="169">
      <c r="C169" s="317"/>
      <c r="D169" s="317"/>
      <c r="E169" s="317"/>
      <c r="F169" s="317"/>
      <c r="G169" s="317"/>
      <c r="H169" s="317"/>
      <c r="I169" s="317"/>
      <c r="J169" s="318"/>
      <c r="K169" s="317"/>
    </row>
    <row r="170">
      <c r="C170" s="317"/>
      <c r="D170" s="317"/>
      <c r="E170" s="317"/>
      <c r="F170" s="317"/>
      <c r="G170" s="317"/>
      <c r="H170" s="317"/>
      <c r="I170" s="317"/>
      <c r="J170" s="318"/>
      <c r="K170" s="317"/>
    </row>
    <row r="171">
      <c r="C171" s="317"/>
      <c r="D171" s="317"/>
      <c r="E171" s="317"/>
      <c r="F171" s="317"/>
      <c r="G171" s="317"/>
      <c r="H171" s="317"/>
      <c r="I171" s="317"/>
      <c r="J171" s="318"/>
      <c r="K171" s="317"/>
    </row>
    <row r="172">
      <c r="C172" s="317"/>
      <c r="D172" s="317"/>
      <c r="E172" s="317"/>
      <c r="F172" s="317"/>
      <c r="G172" s="317"/>
      <c r="H172" s="317"/>
      <c r="I172" s="317"/>
      <c r="J172" s="318"/>
      <c r="K172" s="317"/>
    </row>
    <row r="173">
      <c r="C173" s="317"/>
      <c r="D173" s="317"/>
      <c r="E173" s="317"/>
      <c r="F173" s="317"/>
      <c r="G173" s="317"/>
      <c r="H173" s="317"/>
      <c r="I173" s="317"/>
      <c r="J173" s="318"/>
      <c r="K173" s="317"/>
    </row>
    <row r="174">
      <c r="C174" s="317"/>
      <c r="D174" s="317"/>
      <c r="E174" s="317"/>
      <c r="F174" s="317"/>
      <c r="G174" s="317"/>
      <c r="H174" s="317"/>
      <c r="I174" s="317"/>
      <c r="J174" s="318"/>
      <c r="K174" s="317"/>
    </row>
    <row r="175">
      <c r="C175" s="317"/>
      <c r="D175" s="317"/>
      <c r="E175" s="317"/>
      <c r="F175" s="317"/>
      <c r="G175" s="317"/>
      <c r="H175" s="317"/>
      <c r="I175" s="317"/>
      <c r="J175" s="318"/>
      <c r="K175" s="317"/>
    </row>
    <row r="176">
      <c r="C176" s="317"/>
      <c r="D176" s="317"/>
      <c r="E176" s="317"/>
      <c r="F176" s="317"/>
      <c r="G176" s="317"/>
      <c r="H176" s="317"/>
      <c r="I176" s="317"/>
      <c r="J176" s="318"/>
      <c r="K176" s="317"/>
    </row>
    <row r="177">
      <c r="C177" s="317"/>
      <c r="D177" s="317"/>
      <c r="E177" s="317"/>
      <c r="F177" s="317"/>
      <c r="G177" s="317"/>
      <c r="H177" s="317"/>
      <c r="I177" s="317"/>
      <c r="J177" s="318"/>
      <c r="K177" s="317"/>
    </row>
    <row r="178">
      <c r="C178" s="317"/>
      <c r="D178" s="317"/>
      <c r="E178" s="317"/>
      <c r="F178" s="317"/>
      <c r="G178" s="317"/>
      <c r="H178" s="317"/>
      <c r="I178" s="317"/>
      <c r="J178" s="318"/>
      <c r="K178" s="317"/>
    </row>
    <row r="179">
      <c r="C179" s="317"/>
      <c r="D179" s="317"/>
      <c r="E179" s="317"/>
      <c r="F179" s="317"/>
      <c r="G179" s="317"/>
      <c r="H179" s="317"/>
      <c r="I179" s="317"/>
      <c r="J179" s="318"/>
      <c r="K179" s="317"/>
    </row>
    <row r="180">
      <c r="C180" s="317"/>
      <c r="D180" s="317"/>
      <c r="E180" s="317"/>
      <c r="F180" s="317"/>
      <c r="G180" s="317"/>
      <c r="H180" s="317"/>
      <c r="I180" s="317"/>
      <c r="J180" s="318"/>
      <c r="K180" s="317"/>
    </row>
    <row r="181">
      <c r="C181" s="317"/>
      <c r="D181" s="317"/>
      <c r="E181" s="317"/>
      <c r="F181" s="317"/>
      <c r="G181" s="317"/>
      <c r="H181" s="317"/>
      <c r="I181" s="317"/>
      <c r="J181" s="318"/>
      <c r="K181" s="317"/>
    </row>
    <row r="182">
      <c r="C182" s="317"/>
      <c r="D182" s="317"/>
      <c r="E182" s="317"/>
      <c r="F182" s="317"/>
      <c r="G182" s="317"/>
      <c r="H182" s="317"/>
      <c r="I182" s="317"/>
      <c r="J182" s="318"/>
      <c r="K182" s="317"/>
    </row>
    <row r="183">
      <c r="C183" s="317"/>
      <c r="D183" s="317"/>
      <c r="E183" s="317"/>
      <c r="F183" s="317"/>
      <c r="G183" s="317"/>
      <c r="H183" s="317"/>
      <c r="I183" s="317"/>
      <c r="J183" s="318"/>
      <c r="K183" s="317"/>
    </row>
    <row r="184">
      <c r="C184" s="317"/>
      <c r="D184" s="317"/>
      <c r="E184" s="317"/>
      <c r="F184" s="317"/>
      <c r="G184" s="317"/>
      <c r="H184" s="317"/>
      <c r="I184" s="317"/>
      <c r="J184" s="318"/>
      <c r="K184" s="317"/>
    </row>
    <row r="185">
      <c r="C185" s="317"/>
      <c r="D185" s="317"/>
      <c r="E185" s="317"/>
      <c r="F185" s="317"/>
      <c r="G185" s="317"/>
      <c r="H185" s="317"/>
      <c r="I185" s="317"/>
      <c r="J185" s="318"/>
      <c r="K185" s="317"/>
    </row>
    <row r="186">
      <c r="C186" s="317"/>
      <c r="D186" s="317"/>
      <c r="E186" s="317"/>
      <c r="F186" s="317"/>
      <c r="G186" s="317"/>
      <c r="H186" s="317"/>
      <c r="I186" s="317"/>
      <c r="J186" s="318"/>
      <c r="K186" s="317"/>
    </row>
    <row r="187">
      <c r="C187" s="317"/>
      <c r="D187" s="317"/>
      <c r="E187" s="317"/>
      <c r="F187" s="317"/>
      <c r="G187" s="317"/>
      <c r="H187" s="317"/>
      <c r="I187" s="317"/>
      <c r="J187" s="318"/>
      <c r="K187" s="317"/>
    </row>
    <row r="188">
      <c r="C188" s="317"/>
      <c r="D188" s="317"/>
      <c r="E188" s="317"/>
      <c r="F188" s="317"/>
      <c r="G188" s="317"/>
      <c r="H188" s="317"/>
      <c r="I188" s="317"/>
      <c r="J188" s="318"/>
      <c r="K188" s="317"/>
    </row>
    <row r="189">
      <c r="C189" s="317"/>
      <c r="D189" s="317"/>
      <c r="E189" s="317"/>
      <c r="F189" s="317"/>
      <c r="G189" s="317"/>
      <c r="H189" s="317"/>
      <c r="I189" s="317"/>
      <c r="J189" s="318"/>
      <c r="K189" s="317"/>
    </row>
    <row r="190">
      <c r="C190" s="317"/>
      <c r="D190" s="317"/>
      <c r="E190" s="317"/>
      <c r="F190" s="317"/>
      <c r="G190" s="317"/>
      <c r="H190" s="317"/>
      <c r="I190" s="317"/>
      <c r="J190" s="318"/>
      <c r="K190" s="317"/>
    </row>
    <row r="191">
      <c r="C191" s="317"/>
      <c r="D191" s="317"/>
      <c r="E191" s="317"/>
      <c r="F191" s="317"/>
      <c r="G191" s="317"/>
      <c r="H191" s="317"/>
      <c r="I191" s="317"/>
      <c r="J191" s="318"/>
      <c r="K191" s="317"/>
    </row>
    <row r="192">
      <c r="C192" s="317"/>
      <c r="D192" s="317"/>
      <c r="E192" s="317"/>
      <c r="F192" s="317"/>
      <c r="G192" s="317"/>
      <c r="H192" s="317"/>
      <c r="I192" s="317"/>
      <c r="J192" s="318"/>
      <c r="K192" s="317"/>
    </row>
    <row r="193">
      <c r="C193" s="317"/>
      <c r="D193" s="317"/>
      <c r="E193" s="317"/>
      <c r="F193" s="317"/>
      <c r="G193" s="317"/>
      <c r="H193" s="317"/>
      <c r="I193" s="317"/>
      <c r="J193" s="318"/>
      <c r="K193" s="317"/>
    </row>
    <row r="194">
      <c r="C194" s="317"/>
      <c r="D194" s="317"/>
      <c r="E194" s="317"/>
      <c r="F194" s="317"/>
      <c r="G194" s="317"/>
      <c r="H194" s="317"/>
      <c r="I194" s="317"/>
      <c r="J194" s="318"/>
      <c r="K194" s="317"/>
    </row>
    <row r="195">
      <c r="C195" s="317"/>
      <c r="D195" s="317"/>
      <c r="E195" s="317"/>
      <c r="F195" s="317"/>
      <c r="G195" s="317"/>
      <c r="H195" s="317"/>
      <c r="I195" s="317"/>
      <c r="J195" s="318"/>
      <c r="K195" s="317"/>
    </row>
    <row r="196">
      <c r="C196" s="317"/>
      <c r="D196" s="317"/>
      <c r="E196" s="317"/>
      <c r="F196" s="317"/>
      <c r="G196" s="317"/>
      <c r="H196" s="317"/>
      <c r="I196" s="317"/>
      <c r="J196" s="318"/>
      <c r="K196" s="317"/>
    </row>
    <row r="197">
      <c r="C197" s="317"/>
      <c r="D197" s="317"/>
      <c r="E197" s="317"/>
      <c r="F197" s="317"/>
      <c r="G197" s="317"/>
      <c r="H197" s="317"/>
      <c r="I197" s="317"/>
      <c r="J197" s="318"/>
      <c r="K197" s="317"/>
    </row>
    <row r="198">
      <c r="C198" s="317"/>
      <c r="D198" s="317"/>
      <c r="E198" s="317"/>
      <c r="F198" s="317"/>
      <c r="G198" s="317"/>
      <c r="H198" s="317"/>
      <c r="I198" s="317"/>
      <c r="J198" s="318"/>
      <c r="K198" s="317"/>
    </row>
    <row r="199">
      <c r="C199" s="317"/>
      <c r="D199" s="317"/>
      <c r="E199" s="317"/>
      <c r="F199" s="317"/>
      <c r="G199" s="317"/>
      <c r="H199" s="317"/>
      <c r="I199" s="317"/>
      <c r="J199" s="318"/>
      <c r="K199" s="317"/>
    </row>
    <row r="200">
      <c r="C200" s="317"/>
      <c r="D200" s="317"/>
      <c r="E200" s="317"/>
      <c r="F200" s="317"/>
      <c r="G200" s="317"/>
      <c r="H200" s="317"/>
      <c r="I200" s="317"/>
      <c r="J200" s="318"/>
      <c r="K200" s="317"/>
    </row>
    <row r="201">
      <c r="C201" s="317"/>
      <c r="D201" s="317"/>
      <c r="E201" s="317"/>
      <c r="F201" s="317"/>
      <c r="G201" s="317"/>
      <c r="H201" s="317"/>
      <c r="I201" s="317"/>
      <c r="J201" s="318"/>
      <c r="K201" s="317"/>
    </row>
    <row r="202">
      <c r="C202" s="317"/>
      <c r="D202" s="317"/>
      <c r="E202" s="317"/>
      <c r="F202" s="317"/>
      <c r="G202" s="317"/>
      <c r="H202" s="317"/>
      <c r="I202" s="317"/>
      <c r="J202" s="318"/>
      <c r="K202" s="317"/>
    </row>
    <row r="203">
      <c r="C203" s="317"/>
      <c r="D203" s="317"/>
      <c r="E203" s="317"/>
      <c r="F203" s="317"/>
      <c r="G203" s="317"/>
      <c r="H203" s="317"/>
      <c r="I203" s="317"/>
      <c r="J203" s="318"/>
      <c r="K203" s="317"/>
    </row>
    <row r="204">
      <c r="C204" s="317"/>
      <c r="D204" s="317"/>
      <c r="E204" s="317"/>
      <c r="F204" s="317"/>
      <c r="G204" s="317"/>
      <c r="H204" s="317"/>
      <c r="I204" s="317"/>
      <c r="J204" s="318"/>
      <c r="K204" s="317"/>
    </row>
    <row r="205">
      <c r="C205" s="317"/>
      <c r="D205" s="317"/>
      <c r="E205" s="317"/>
      <c r="F205" s="317"/>
      <c r="G205" s="317"/>
      <c r="H205" s="317"/>
      <c r="I205" s="317"/>
      <c r="J205" s="318"/>
      <c r="K205" s="317"/>
    </row>
    <row r="206">
      <c r="C206" s="317"/>
      <c r="D206" s="317"/>
      <c r="E206" s="317"/>
      <c r="F206" s="317"/>
      <c r="G206" s="317"/>
      <c r="H206" s="317"/>
      <c r="I206" s="317"/>
      <c r="J206" s="318"/>
      <c r="K206" s="317"/>
    </row>
    <row r="207">
      <c r="C207" s="317"/>
      <c r="D207" s="317"/>
      <c r="E207" s="317"/>
      <c r="F207" s="317"/>
      <c r="G207" s="317"/>
      <c r="H207" s="317"/>
      <c r="I207" s="317"/>
      <c r="J207" s="318"/>
      <c r="K207" s="317"/>
    </row>
    <row r="208">
      <c r="C208" s="317"/>
      <c r="D208" s="317"/>
      <c r="E208" s="317"/>
      <c r="F208" s="317"/>
      <c r="G208" s="317"/>
      <c r="H208" s="317"/>
      <c r="I208" s="317"/>
      <c r="J208" s="318"/>
      <c r="K208" s="317"/>
    </row>
    <row r="209">
      <c r="C209" s="317"/>
      <c r="D209" s="317"/>
      <c r="E209" s="317"/>
      <c r="F209" s="317"/>
      <c r="G209" s="317"/>
      <c r="H209" s="317"/>
      <c r="I209" s="317"/>
      <c r="J209" s="318"/>
      <c r="K209" s="317"/>
    </row>
    <row r="210">
      <c r="C210" s="317"/>
      <c r="D210" s="317"/>
      <c r="E210" s="317"/>
      <c r="F210" s="317"/>
      <c r="G210" s="317"/>
      <c r="H210" s="317"/>
      <c r="I210" s="317"/>
      <c r="J210" s="318"/>
      <c r="K210" s="317"/>
    </row>
    <row r="211">
      <c r="C211" s="317"/>
      <c r="D211" s="317"/>
      <c r="E211" s="317"/>
      <c r="F211" s="317"/>
      <c r="G211" s="317"/>
      <c r="H211" s="317"/>
      <c r="I211" s="317"/>
      <c r="J211" s="318"/>
      <c r="K211" s="317"/>
    </row>
    <row r="212">
      <c r="C212" s="317"/>
      <c r="D212" s="317"/>
      <c r="E212" s="317"/>
      <c r="F212" s="317"/>
      <c r="G212" s="317"/>
      <c r="H212" s="317"/>
      <c r="I212" s="317"/>
      <c r="J212" s="318"/>
      <c r="K212" s="317"/>
    </row>
    <row r="213">
      <c r="C213" s="317"/>
      <c r="D213" s="317"/>
      <c r="E213" s="317"/>
      <c r="F213" s="317"/>
      <c r="G213" s="317"/>
      <c r="H213" s="317"/>
      <c r="I213" s="317"/>
      <c r="J213" s="318"/>
      <c r="K213" s="317"/>
    </row>
    <row r="214">
      <c r="C214" s="317"/>
      <c r="D214" s="317"/>
      <c r="E214" s="317"/>
      <c r="F214" s="317"/>
      <c r="G214" s="317"/>
      <c r="H214" s="317"/>
      <c r="I214" s="317"/>
      <c r="J214" s="318"/>
      <c r="K214" s="317"/>
    </row>
    <row r="215">
      <c r="C215" s="317"/>
      <c r="D215" s="317"/>
      <c r="E215" s="317"/>
      <c r="F215" s="317"/>
      <c r="G215" s="317"/>
      <c r="H215" s="317"/>
      <c r="I215" s="317"/>
      <c r="J215" s="318"/>
      <c r="K215" s="317"/>
    </row>
    <row r="216">
      <c r="C216" s="317"/>
      <c r="D216" s="317"/>
      <c r="E216" s="317"/>
      <c r="F216" s="317"/>
      <c r="G216" s="317"/>
      <c r="H216" s="317"/>
      <c r="I216" s="317"/>
      <c r="J216" s="318"/>
      <c r="K216" s="317"/>
    </row>
    <row r="217">
      <c r="C217" s="317"/>
      <c r="D217" s="317"/>
      <c r="E217" s="317"/>
      <c r="F217" s="317"/>
      <c r="G217" s="317"/>
      <c r="H217" s="317"/>
      <c r="I217" s="317"/>
      <c r="J217" s="318"/>
      <c r="K217" s="317"/>
    </row>
    <row r="218">
      <c r="C218" s="317"/>
      <c r="D218" s="317"/>
      <c r="E218" s="317"/>
      <c r="F218" s="317"/>
      <c r="G218" s="317"/>
      <c r="H218" s="317"/>
      <c r="I218" s="317"/>
      <c r="J218" s="318"/>
      <c r="K218" s="317"/>
    </row>
    <row r="219">
      <c r="C219" s="317"/>
      <c r="D219" s="317"/>
      <c r="E219" s="317"/>
      <c r="F219" s="317"/>
      <c r="G219" s="317"/>
      <c r="H219" s="317"/>
      <c r="I219" s="317"/>
      <c r="J219" s="318"/>
      <c r="K219" s="317"/>
    </row>
    <row r="220">
      <c r="C220" s="317"/>
      <c r="D220" s="317"/>
      <c r="E220" s="317"/>
      <c r="F220" s="317"/>
      <c r="G220" s="317"/>
      <c r="H220" s="317"/>
      <c r="I220" s="317"/>
      <c r="J220" s="318"/>
      <c r="K220" s="317"/>
    </row>
    <row r="221">
      <c r="C221" s="317"/>
      <c r="D221" s="317"/>
      <c r="E221" s="317"/>
      <c r="F221" s="317"/>
      <c r="G221" s="317"/>
      <c r="H221" s="317"/>
      <c r="I221" s="317"/>
      <c r="J221" s="318"/>
      <c r="K221" s="317"/>
    </row>
    <row r="222">
      <c r="C222" s="317"/>
      <c r="D222" s="317"/>
      <c r="E222" s="317"/>
      <c r="F222" s="317"/>
      <c r="G222" s="317"/>
      <c r="H222" s="317"/>
      <c r="I222" s="317"/>
      <c r="J222" s="318"/>
      <c r="K222" s="317"/>
    </row>
    <row r="223">
      <c r="C223" s="317"/>
      <c r="D223" s="317"/>
      <c r="E223" s="317"/>
      <c r="F223" s="317"/>
      <c r="G223" s="317"/>
      <c r="H223" s="317"/>
      <c r="I223" s="317"/>
      <c r="J223" s="318"/>
      <c r="K223" s="317"/>
    </row>
    <row r="224">
      <c r="C224" s="317"/>
      <c r="D224" s="317"/>
      <c r="E224" s="317"/>
      <c r="F224" s="317"/>
      <c r="G224" s="317"/>
      <c r="H224" s="317"/>
      <c r="I224" s="317"/>
      <c r="J224" s="318"/>
      <c r="K224" s="317"/>
    </row>
    <row r="225">
      <c r="C225" s="317"/>
      <c r="D225" s="317"/>
      <c r="E225" s="317"/>
      <c r="F225" s="317"/>
      <c r="G225" s="317"/>
      <c r="H225" s="317"/>
      <c r="I225" s="317"/>
      <c r="J225" s="318"/>
      <c r="K225" s="317"/>
    </row>
    <row r="226">
      <c r="C226" s="317"/>
      <c r="D226" s="317"/>
      <c r="E226" s="317"/>
      <c r="F226" s="317"/>
      <c r="G226" s="317"/>
      <c r="H226" s="317"/>
      <c r="I226" s="317"/>
      <c r="J226" s="318"/>
      <c r="K226" s="317"/>
    </row>
    <row r="227">
      <c r="C227" s="317"/>
      <c r="D227" s="317"/>
      <c r="E227" s="317"/>
      <c r="F227" s="317"/>
      <c r="G227" s="317"/>
      <c r="H227" s="317"/>
      <c r="I227" s="317"/>
      <c r="J227" s="318"/>
      <c r="K227" s="317"/>
    </row>
    <row r="228">
      <c r="C228" s="317"/>
      <c r="D228" s="317"/>
      <c r="E228" s="317"/>
      <c r="F228" s="317"/>
      <c r="G228" s="317"/>
      <c r="H228" s="317"/>
      <c r="I228" s="317"/>
      <c r="J228" s="318"/>
      <c r="K228" s="317"/>
    </row>
    <row r="229">
      <c r="C229" s="317"/>
      <c r="D229" s="317"/>
      <c r="E229" s="317"/>
      <c r="F229" s="317"/>
      <c r="G229" s="317"/>
      <c r="H229" s="317"/>
      <c r="I229" s="317"/>
      <c r="J229" s="318"/>
      <c r="K229" s="317"/>
    </row>
    <row r="230">
      <c r="C230" s="317"/>
      <c r="D230" s="317"/>
      <c r="E230" s="317"/>
      <c r="F230" s="317"/>
      <c r="G230" s="317"/>
      <c r="H230" s="317"/>
      <c r="I230" s="317"/>
      <c r="J230" s="318"/>
      <c r="K230" s="317"/>
    </row>
    <row r="231">
      <c r="C231" s="317"/>
      <c r="D231" s="317"/>
      <c r="E231" s="317"/>
      <c r="F231" s="317"/>
      <c r="G231" s="317"/>
      <c r="H231" s="317"/>
      <c r="I231" s="317"/>
      <c r="J231" s="318"/>
      <c r="K231" s="317"/>
    </row>
    <row r="232">
      <c r="C232" s="317"/>
      <c r="D232" s="317"/>
      <c r="E232" s="317"/>
      <c r="F232" s="317"/>
      <c r="G232" s="317"/>
      <c r="H232" s="317"/>
      <c r="I232" s="317"/>
      <c r="J232" s="318"/>
      <c r="K232" s="317"/>
    </row>
    <row r="233">
      <c r="C233" s="317"/>
      <c r="D233" s="317"/>
      <c r="E233" s="317"/>
      <c r="F233" s="317"/>
      <c r="G233" s="317"/>
      <c r="H233" s="317"/>
      <c r="I233" s="317"/>
      <c r="J233" s="318"/>
      <c r="K233" s="317"/>
    </row>
    <row r="234">
      <c r="C234" s="317"/>
      <c r="D234" s="317"/>
      <c r="E234" s="317"/>
      <c r="F234" s="317"/>
      <c r="G234" s="317"/>
      <c r="H234" s="317"/>
      <c r="I234" s="317"/>
      <c r="J234" s="318"/>
      <c r="K234" s="317"/>
    </row>
    <row r="235">
      <c r="C235" s="317"/>
      <c r="D235" s="317"/>
      <c r="E235" s="317"/>
      <c r="F235" s="317"/>
      <c r="G235" s="317"/>
      <c r="H235" s="317"/>
      <c r="I235" s="317"/>
      <c r="J235" s="318"/>
      <c r="K235" s="317"/>
    </row>
    <row r="236">
      <c r="C236" s="317"/>
      <c r="D236" s="317"/>
      <c r="E236" s="317"/>
      <c r="F236" s="317"/>
      <c r="G236" s="317"/>
      <c r="H236" s="317"/>
      <c r="I236" s="317"/>
      <c r="J236" s="318"/>
      <c r="K236" s="317"/>
    </row>
    <row r="237">
      <c r="C237" s="317"/>
      <c r="D237" s="317"/>
      <c r="E237" s="317"/>
      <c r="F237" s="317"/>
      <c r="G237" s="317"/>
      <c r="H237" s="317"/>
      <c r="I237" s="317"/>
      <c r="J237" s="318"/>
      <c r="K237" s="317"/>
    </row>
    <row r="238">
      <c r="C238" s="317"/>
      <c r="D238" s="317"/>
      <c r="E238" s="317"/>
      <c r="F238" s="317"/>
      <c r="G238" s="317"/>
      <c r="H238" s="317"/>
      <c r="I238" s="317"/>
      <c r="J238" s="318"/>
      <c r="K238" s="317"/>
    </row>
    <row r="239">
      <c r="C239" s="317"/>
      <c r="D239" s="317"/>
      <c r="E239" s="317"/>
      <c r="F239" s="317"/>
      <c r="G239" s="317"/>
      <c r="H239" s="317"/>
      <c r="I239" s="317"/>
      <c r="J239" s="318"/>
      <c r="K239" s="317"/>
    </row>
    <row r="240">
      <c r="C240" s="317"/>
      <c r="D240" s="317"/>
      <c r="E240" s="317"/>
      <c r="F240" s="317"/>
      <c r="G240" s="317"/>
      <c r="H240" s="317"/>
      <c r="I240" s="317"/>
      <c r="J240" s="318"/>
      <c r="K240" s="317"/>
    </row>
    <row r="241">
      <c r="C241" s="317"/>
      <c r="D241" s="317"/>
      <c r="E241" s="317"/>
      <c r="F241" s="317"/>
      <c r="G241" s="317"/>
      <c r="H241" s="317"/>
      <c r="I241" s="317"/>
      <c r="J241" s="318"/>
      <c r="K241" s="317"/>
    </row>
    <row r="242">
      <c r="C242" s="317"/>
      <c r="D242" s="317"/>
      <c r="E242" s="317"/>
      <c r="F242" s="317"/>
      <c r="G242" s="317"/>
      <c r="H242" s="317"/>
      <c r="I242" s="317"/>
      <c r="J242" s="318"/>
      <c r="K242" s="317"/>
    </row>
    <row r="243">
      <c r="C243" s="317"/>
      <c r="D243" s="317"/>
      <c r="E243" s="317"/>
      <c r="F243" s="317"/>
      <c r="G243" s="317"/>
      <c r="H243" s="317"/>
      <c r="I243" s="317"/>
      <c r="J243" s="318"/>
      <c r="K243" s="317"/>
    </row>
    <row r="244">
      <c r="C244" s="317"/>
      <c r="D244" s="317"/>
      <c r="E244" s="317"/>
      <c r="F244" s="317"/>
      <c r="G244" s="317"/>
      <c r="H244" s="317"/>
      <c r="I244" s="317"/>
      <c r="J244" s="318"/>
      <c r="K244" s="317"/>
    </row>
    <row r="245">
      <c r="C245" s="317"/>
      <c r="D245" s="317"/>
      <c r="E245" s="317"/>
      <c r="F245" s="317"/>
      <c r="G245" s="317"/>
      <c r="H245" s="317"/>
      <c r="I245" s="317"/>
      <c r="J245" s="318"/>
      <c r="K245" s="317"/>
    </row>
    <row r="246">
      <c r="C246" s="317"/>
      <c r="D246" s="317"/>
      <c r="E246" s="317"/>
      <c r="F246" s="317"/>
      <c r="G246" s="317"/>
      <c r="H246" s="317"/>
      <c r="I246" s="317"/>
      <c r="J246" s="318"/>
      <c r="K246" s="317"/>
    </row>
    <row r="247">
      <c r="C247" s="317"/>
      <c r="D247" s="317"/>
      <c r="E247" s="317"/>
      <c r="F247" s="317"/>
      <c r="G247" s="317"/>
      <c r="H247" s="317"/>
      <c r="I247" s="317"/>
      <c r="J247" s="318"/>
      <c r="K247" s="317"/>
    </row>
    <row r="248">
      <c r="C248" s="317"/>
      <c r="D248" s="317"/>
      <c r="E248" s="317"/>
      <c r="F248" s="317"/>
      <c r="G248" s="317"/>
      <c r="H248" s="317"/>
      <c r="I248" s="317"/>
      <c r="J248" s="318"/>
      <c r="K248" s="317"/>
    </row>
    <row r="249">
      <c r="C249" s="317"/>
      <c r="D249" s="317"/>
      <c r="E249" s="317"/>
      <c r="F249" s="317"/>
      <c r="G249" s="317"/>
      <c r="H249" s="317"/>
      <c r="I249" s="317"/>
      <c r="J249" s="318"/>
      <c r="K249" s="317"/>
    </row>
    <row r="250">
      <c r="C250" s="317"/>
      <c r="D250" s="317"/>
      <c r="E250" s="317"/>
      <c r="F250" s="317"/>
      <c r="G250" s="317"/>
      <c r="H250" s="317"/>
      <c r="I250" s="317"/>
      <c r="J250" s="318"/>
      <c r="K250" s="317"/>
    </row>
    <row r="251">
      <c r="C251" s="317"/>
      <c r="D251" s="317"/>
      <c r="E251" s="317"/>
      <c r="F251" s="317"/>
      <c r="G251" s="317"/>
      <c r="H251" s="317"/>
      <c r="I251" s="317"/>
      <c r="J251" s="318"/>
      <c r="K251" s="317"/>
    </row>
    <row r="252">
      <c r="C252" s="317"/>
      <c r="D252" s="317"/>
      <c r="E252" s="317"/>
      <c r="F252" s="317"/>
      <c r="G252" s="317"/>
      <c r="H252" s="317"/>
      <c r="I252" s="317"/>
      <c r="J252" s="318"/>
      <c r="K252" s="317"/>
    </row>
    <row r="253">
      <c r="C253" s="317"/>
      <c r="D253" s="317"/>
      <c r="E253" s="317"/>
      <c r="F253" s="317"/>
      <c r="G253" s="317"/>
      <c r="H253" s="317"/>
      <c r="I253" s="317"/>
      <c r="J253" s="318"/>
      <c r="K253" s="317"/>
    </row>
    <row r="254">
      <c r="C254" s="317"/>
      <c r="D254" s="317"/>
      <c r="E254" s="317"/>
      <c r="F254" s="317"/>
      <c r="G254" s="317"/>
      <c r="H254" s="317"/>
      <c r="I254" s="317"/>
      <c r="J254" s="318"/>
      <c r="K254" s="317"/>
    </row>
    <row r="255">
      <c r="C255" s="317"/>
      <c r="D255" s="317"/>
      <c r="E255" s="317"/>
      <c r="F255" s="317"/>
      <c r="G255" s="317"/>
      <c r="H255" s="317"/>
      <c r="I255" s="317"/>
      <c r="J255" s="318"/>
      <c r="K255" s="317"/>
    </row>
    <row r="256">
      <c r="C256" s="317"/>
      <c r="D256" s="317"/>
      <c r="E256" s="317"/>
      <c r="F256" s="317"/>
      <c r="G256" s="317"/>
      <c r="H256" s="317"/>
      <c r="I256" s="317"/>
      <c r="J256" s="318"/>
      <c r="K256" s="317"/>
    </row>
    <row r="257">
      <c r="C257" s="317"/>
      <c r="D257" s="317"/>
      <c r="E257" s="317"/>
      <c r="F257" s="317"/>
      <c r="G257" s="317"/>
      <c r="H257" s="317"/>
      <c r="I257" s="317"/>
      <c r="J257" s="318"/>
      <c r="K257" s="317"/>
    </row>
    <row r="258">
      <c r="C258" s="317"/>
      <c r="D258" s="317"/>
      <c r="E258" s="317"/>
      <c r="F258" s="317"/>
      <c r="G258" s="317"/>
      <c r="H258" s="317"/>
      <c r="I258" s="317"/>
      <c r="J258" s="318"/>
      <c r="K258" s="317"/>
    </row>
    <row r="259">
      <c r="C259" s="317"/>
      <c r="D259" s="317"/>
      <c r="E259" s="317"/>
      <c r="F259" s="317"/>
      <c r="G259" s="317"/>
      <c r="H259" s="317"/>
      <c r="I259" s="317"/>
      <c r="J259" s="318"/>
      <c r="K259" s="317"/>
    </row>
    <row r="260">
      <c r="C260" s="317"/>
      <c r="D260" s="317"/>
      <c r="E260" s="317"/>
      <c r="F260" s="317"/>
      <c r="G260" s="317"/>
      <c r="H260" s="317"/>
      <c r="I260" s="317"/>
      <c r="J260" s="318"/>
      <c r="K260" s="317"/>
    </row>
    <row r="261">
      <c r="C261" s="317"/>
      <c r="D261" s="317"/>
      <c r="E261" s="317"/>
      <c r="F261" s="317"/>
      <c r="G261" s="317"/>
      <c r="H261" s="317"/>
      <c r="I261" s="317"/>
      <c r="J261" s="318"/>
      <c r="K261" s="317"/>
    </row>
    <row r="262">
      <c r="C262" s="317"/>
      <c r="D262" s="317"/>
      <c r="E262" s="317"/>
      <c r="F262" s="317"/>
      <c r="G262" s="317"/>
      <c r="H262" s="317"/>
      <c r="I262" s="317"/>
      <c r="J262" s="318"/>
      <c r="K262" s="317"/>
    </row>
    <row r="263">
      <c r="C263" s="317"/>
      <c r="D263" s="317"/>
      <c r="E263" s="317"/>
      <c r="F263" s="317"/>
      <c r="G263" s="317"/>
      <c r="H263" s="317"/>
      <c r="I263" s="317"/>
      <c r="J263" s="318"/>
      <c r="K263" s="317"/>
    </row>
    <row r="264">
      <c r="C264" s="317"/>
      <c r="D264" s="317"/>
      <c r="E264" s="317"/>
      <c r="F264" s="317"/>
      <c r="G264" s="317"/>
      <c r="H264" s="317"/>
      <c r="I264" s="317"/>
      <c r="J264" s="318"/>
      <c r="K264" s="317"/>
    </row>
    <row r="265">
      <c r="C265" s="317"/>
      <c r="D265" s="317"/>
      <c r="E265" s="317"/>
      <c r="F265" s="317"/>
      <c r="G265" s="317"/>
      <c r="H265" s="317"/>
      <c r="I265" s="317"/>
      <c r="J265" s="318"/>
      <c r="K265" s="317"/>
    </row>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66">
    <mergeCell ref="N4:O4"/>
    <mergeCell ref="N5:O5"/>
    <mergeCell ref="N6:O6"/>
    <mergeCell ref="N7:O7"/>
    <mergeCell ref="M9:N10"/>
    <mergeCell ref="P9:P10"/>
    <mergeCell ref="P11:P13"/>
    <mergeCell ref="M13:N13"/>
    <mergeCell ref="M15:P15"/>
    <mergeCell ref="M16:N16"/>
    <mergeCell ref="O16:P16"/>
    <mergeCell ref="M17:N17"/>
    <mergeCell ref="O17:P17"/>
    <mergeCell ref="O18:P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61:F61"/>
    <mergeCell ref="E62:F62"/>
    <mergeCell ref="E63:F63"/>
    <mergeCell ref="E64:F64"/>
    <mergeCell ref="E65:F65"/>
    <mergeCell ref="E54:F54"/>
    <mergeCell ref="E55:F55"/>
    <mergeCell ref="E56:F56"/>
    <mergeCell ref="E57:F57"/>
    <mergeCell ref="E58:F58"/>
    <mergeCell ref="E59:F59"/>
    <mergeCell ref="E60:F60"/>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46:N46"/>
    <mergeCell ref="M47:N47"/>
    <mergeCell ref="M48:N48"/>
    <mergeCell ref="M49:N49"/>
    <mergeCell ref="M50:N50"/>
    <mergeCell ref="M39:N39"/>
    <mergeCell ref="M40:N40"/>
    <mergeCell ref="M41:N41"/>
    <mergeCell ref="M42:N42"/>
    <mergeCell ref="M43:N43"/>
    <mergeCell ref="M44:N44"/>
    <mergeCell ref="M45:N45"/>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M52:P52"/>
    <mergeCell ref="M53:N54"/>
    <mergeCell ref="O53:P54"/>
    <mergeCell ref="M61:N62"/>
    <mergeCell ref="M63:N63"/>
    <mergeCell ref="M64:N65"/>
    <mergeCell ref="M66:N66"/>
    <mergeCell ref="O63:P63"/>
    <mergeCell ref="O64:P65"/>
    <mergeCell ref="O66:P66"/>
    <mergeCell ref="M55:N57"/>
    <mergeCell ref="O55:P57"/>
    <mergeCell ref="M58:N58"/>
    <mergeCell ref="O58:P58"/>
    <mergeCell ref="M59:N60"/>
    <mergeCell ref="O59:P60"/>
    <mergeCell ref="O61:P62"/>
    <mergeCell ref="C2:E2"/>
    <mergeCell ref="I2:J2"/>
    <mergeCell ref="N2:O2"/>
    <mergeCell ref="C3:D3"/>
    <mergeCell ref="I3:J3"/>
    <mergeCell ref="N3:O3"/>
    <mergeCell ref="C4:D4"/>
    <mergeCell ref="C6:E6"/>
    <mergeCell ref="G6:H6"/>
    <mergeCell ref="I6:K6"/>
    <mergeCell ref="I7:J7"/>
    <mergeCell ref="I8:J8"/>
    <mergeCell ref="I9:J9"/>
    <mergeCell ref="I10:J10"/>
    <mergeCell ref="M11:N11"/>
    <mergeCell ref="M12:N12"/>
    <mergeCell ref="I11:J11"/>
    <mergeCell ref="I12:J12"/>
    <mergeCell ref="I13:J13"/>
    <mergeCell ref="E15:F15"/>
    <mergeCell ref="E16:F16"/>
    <mergeCell ref="E17:F17"/>
    <mergeCell ref="E18:F18"/>
    <mergeCell ref="M18:N18"/>
    <mergeCell ref="M19:N19"/>
    <mergeCell ref="M20:N20"/>
    <mergeCell ref="M21:N21"/>
    <mergeCell ref="M22:N22"/>
    <mergeCell ref="M23:N23"/>
    <mergeCell ref="M24:N24"/>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s>
  <conditionalFormatting sqref="M63:N63">
    <cfRule type="expression" dxfId="12" priority="1">
      <formula>H3="Half-Orc"</formula>
    </cfRule>
  </conditionalFormatting>
  <conditionalFormatting sqref="J22">
    <cfRule type="expression" dxfId="13" priority="2">
      <formula>OR(H3="Gnome",H3="Dwarf")</formula>
    </cfRule>
  </conditionalFormatting>
  <conditionalFormatting sqref="O18:P18">
    <cfRule type="expression" dxfId="3" priority="3">
      <formula>I19&gt;=5</formula>
    </cfRule>
  </conditionalFormatting>
  <conditionalFormatting sqref="M18:N18">
    <cfRule type="expression" dxfId="3" priority="4">
      <formula>I19&gt;=5</formula>
    </cfRule>
  </conditionalFormatting>
  <conditionalFormatting sqref="M19:N19">
    <cfRule type="expression" dxfId="3" priority="5">
      <formula>I19&gt;=5</formula>
    </cfRule>
  </conditionalFormatting>
  <conditionalFormatting sqref="O19:P19">
    <cfRule type="expression" dxfId="3" priority="6">
      <formula>I19&gt;=5</formula>
    </cfRule>
  </conditionalFormatting>
  <conditionalFormatting sqref="M20:N20">
    <cfRule type="expression" dxfId="3" priority="7">
      <formula>I19&gt;=5</formula>
    </cfRule>
  </conditionalFormatting>
  <conditionalFormatting sqref="O20:P20">
    <cfRule type="expression" dxfId="3" priority="8">
      <formula>I19&gt;=5</formula>
    </cfRule>
  </conditionalFormatting>
  <conditionalFormatting sqref="M21:N21">
    <cfRule type="expression" dxfId="3" priority="9">
      <formula>I19&gt;=5</formula>
    </cfRule>
  </conditionalFormatting>
  <conditionalFormatting sqref="O21:P21">
    <cfRule type="expression" dxfId="3" priority="10">
      <formula>I19&gt;=5</formula>
    </cfRule>
  </conditionalFormatting>
  <conditionalFormatting sqref="J24">
    <cfRule type="expression" dxfId="14" priority="11">
      <formula>AND(OR(H3="Half-Elf",not(iserror(VLOOKUP(indirect("B"&amp;row()),$G$8:$H$13,2,False)))),OR(I19&gt;=5,I42&gt;=5,I54&gt;=5))</formula>
    </cfRule>
  </conditionalFormatting>
  <conditionalFormatting sqref="J24">
    <cfRule type="expression" dxfId="4" priority="12">
      <formula>I19&gt;=5</formula>
    </cfRule>
  </conditionalFormatting>
  <conditionalFormatting sqref="J26">
    <cfRule type="expression" dxfId="14" priority="13">
      <formula>AND(I19&gt;=5,not(iserror(VLOOKUP(indirect("B"&amp;row()),$G$8:$H$13,2,False))))</formula>
    </cfRule>
  </conditionalFormatting>
  <conditionalFormatting sqref="J26">
    <cfRule type="expression" dxfId="4" priority="14">
      <formula>I19&gt;=5</formula>
    </cfRule>
  </conditionalFormatting>
  <conditionalFormatting sqref="J33">
    <cfRule type="expression" dxfId="14" priority="15">
      <formula>AND(I19&gt;=5,not(iserror(VLOOKUP(indirect("B"&amp;row()),$G$8:$H$13,2,False))))</formula>
    </cfRule>
  </conditionalFormatting>
  <conditionalFormatting sqref="J33">
    <cfRule type="expression" dxfId="4" priority="16">
      <formula>I19&gt;=5</formula>
    </cfRule>
  </conditionalFormatting>
  <conditionalFormatting sqref="J55">
    <cfRule type="expression" dxfId="14" priority="17">
      <formula>AND(I19&gt;=5,not(iserror(VLOOKUP(indirect("B"&amp;row()),$G$8:$H$13,2,False))))</formula>
    </cfRule>
  </conditionalFormatting>
  <conditionalFormatting sqref="J55">
    <cfRule type="expression" dxfId="4" priority="18">
      <formula>I19&gt;=5</formula>
    </cfRule>
  </conditionalFormatting>
  <conditionalFormatting sqref="M23:N23">
    <cfRule type="expression" dxfId="3" priority="19">
      <formula>I22&gt;=5</formula>
    </cfRule>
  </conditionalFormatting>
  <conditionalFormatting sqref="O23:P23">
    <cfRule type="expression" dxfId="3" priority="20">
      <formula>I22&gt;=5</formula>
    </cfRule>
  </conditionalFormatting>
  <conditionalFormatting sqref="J62">
    <cfRule type="expression" dxfId="14" priority="21">
      <formula>AND(OR(I23&gt;=5,I57&gt;=5),not(iserror(VLOOKUP(indirect("B"&amp;row()),$G$8:$H$13,2,False))))</formula>
    </cfRule>
  </conditionalFormatting>
  <conditionalFormatting sqref="J62">
    <cfRule type="expression" dxfId="4" priority="22">
      <formula>I23&gt;=5</formula>
    </cfRule>
  </conditionalFormatting>
  <conditionalFormatting sqref="M25:N25">
    <cfRule type="expression" dxfId="4" priority="23">
      <formula>I27&gt;=5</formula>
    </cfRule>
  </conditionalFormatting>
  <conditionalFormatting sqref="O25:P25">
    <cfRule type="expression" dxfId="4" priority="24">
      <formula>I27&gt;=5</formula>
    </cfRule>
  </conditionalFormatting>
  <conditionalFormatting sqref="J64">
    <cfRule type="expression" dxfId="14" priority="25">
      <formula>AND(I27&gt;=5,not(iserror(VLOOKUP(indirect("B"&amp;row()),$G$8:$H$13,2,False))))</formula>
    </cfRule>
  </conditionalFormatting>
  <conditionalFormatting sqref="J64">
    <cfRule type="expression" dxfId="3" priority="26">
      <formula>I27&gt;=5</formula>
    </cfRule>
  </conditionalFormatting>
  <conditionalFormatting sqref="M26:N26">
    <cfRule type="expression" dxfId="4" priority="27">
      <formula>I30&gt;=5</formula>
    </cfRule>
  </conditionalFormatting>
  <conditionalFormatting sqref="O26:P26">
    <cfRule type="expression" dxfId="4" priority="28">
      <formula>I30&gt;=5</formula>
    </cfRule>
  </conditionalFormatting>
  <conditionalFormatting sqref="M27:N27">
    <cfRule type="expression" dxfId="4" priority="29">
      <formula>I30&gt;=5</formula>
    </cfRule>
  </conditionalFormatting>
  <conditionalFormatting sqref="O27:P27">
    <cfRule type="expression" dxfId="4" priority="30">
      <formula>I30&gt;=5</formula>
    </cfRule>
  </conditionalFormatting>
  <conditionalFormatting sqref="J52">
    <cfRule type="expression" dxfId="14" priority="31">
      <formula>AND(I30&gt;=5,not(iserror(VLOOKUP(indirect("B"&amp;row()),$G$8:$H$13,2,False))))</formula>
    </cfRule>
  </conditionalFormatting>
  <conditionalFormatting sqref="J52">
    <cfRule type="expression" dxfId="3" priority="32">
      <formula>I30&gt;=5</formula>
    </cfRule>
  </conditionalFormatting>
  <conditionalFormatting sqref="M28:N28">
    <cfRule type="expression" dxfId="4" priority="33">
      <formula>I34&gt;=5</formula>
    </cfRule>
  </conditionalFormatting>
  <conditionalFormatting sqref="O28:P28">
    <cfRule type="expression" dxfId="4" priority="34">
      <formula>I34&gt;=5</formula>
    </cfRule>
  </conditionalFormatting>
  <conditionalFormatting sqref="J61">
    <cfRule type="expression" dxfId="14" priority="35">
      <formula>AND(I34&gt;=5,not(iserror(VLOOKUP(indirect("B"&amp;row()),$G$8:$H$13,2,False))))</formula>
    </cfRule>
  </conditionalFormatting>
  <conditionalFormatting sqref="J61">
    <cfRule type="expression" dxfId="4" priority="36">
      <formula>I34&gt;=5</formula>
    </cfRule>
  </conditionalFormatting>
  <conditionalFormatting sqref="M29:N29">
    <cfRule type="expression" dxfId="4" priority="37">
      <formula>I35&gt;=5</formula>
    </cfRule>
  </conditionalFormatting>
  <conditionalFormatting sqref="O29:P29">
    <cfRule type="expression" dxfId="4" priority="38">
      <formula>I35&gt;=5</formula>
    </cfRule>
  </conditionalFormatting>
  <conditionalFormatting sqref="J57">
    <cfRule type="expression" dxfId="14" priority="39">
      <formula>AND(OR(I35&gt;=5,I62&gt;=5),not(iserror(VLOOKUP(indirect("B"&amp;row()),$G$8:$H$13,2,False))))</formula>
    </cfRule>
  </conditionalFormatting>
  <conditionalFormatting sqref="J57">
    <cfRule type="expression" dxfId="4" priority="40">
      <formula>I35&gt;=5</formula>
    </cfRule>
  </conditionalFormatting>
  <conditionalFormatting sqref="M30:N30">
    <cfRule type="expression" dxfId="4" priority="41">
      <formula>I36&gt;=5</formula>
    </cfRule>
  </conditionalFormatting>
  <conditionalFormatting sqref="O30:P30">
    <cfRule type="expression" dxfId="4" priority="42">
      <formula>I36&gt;=5</formula>
    </cfRule>
  </conditionalFormatting>
  <conditionalFormatting sqref="J53">
    <cfRule type="expression" dxfId="14" priority="43">
      <formula>AND(OR(H3="Dwarf",not(iserror(VLOOKUP(indirect("B"&amp;row()),$G$8:$H$13,2,False)))),I36&gt;=5)</formula>
    </cfRule>
  </conditionalFormatting>
  <conditionalFormatting sqref="J53">
    <cfRule type="expression" dxfId="4" priority="44">
      <formula>I36&gt;=5</formula>
    </cfRule>
  </conditionalFormatting>
  <conditionalFormatting sqref="M31:N31">
    <cfRule type="expression" dxfId="4" priority="45">
      <formula>I37&gt;=5</formula>
    </cfRule>
  </conditionalFormatting>
  <conditionalFormatting sqref="O31:P31">
    <cfRule type="expression" dxfId="4" priority="46">
      <formula>I37&gt;=5</formula>
    </cfRule>
  </conditionalFormatting>
  <conditionalFormatting sqref="J59">
    <cfRule type="expression" dxfId="14" priority="47">
      <formula>AND(OR(I37&gt;=5,I38&gt;=5,I41&gt;=5,I45&gt;=5,I53&gt;=5),not(iserror(VLOOKUP(indirect("B"&amp;row()),$G$8:$H$13,2,False))))</formula>
    </cfRule>
  </conditionalFormatting>
  <conditionalFormatting sqref="J59">
    <cfRule type="expression" dxfId="4" priority="48">
      <formula>I37&gt;=5</formula>
    </cfRule>
  </conditionalFormatting>
  <conditionalFormatting sqref="M32:N32">
    <cfRule type="expression" dxfId="4" priority="49">
      <formula>I38&gt;=5</formula>
    </cfRule>
  </conditionalFormatting>
  <conditionalFormatting sqref="O32:P32">
    <cfRule type="expression" dxfId="4" priority="50">
      <formula>I38&gt;=5</formula>
    </cfRule>
  </conditionalFormatting>
  <conditionalFormatting sqref="J59">
    <cfRule type="expression" dxfId="4" priority="51">
      <formula>I38&gt;=5</formula>
    </cfRule>
  </conditionalFormatting>
  <conditionalFormatting sqref="M33:N33">
    <cfRule type="expression" dxfId="4" priority="52">
      <formula>I39&gt;=5</formula>
    </cfRule>
  </conditionalFormatting>
  <conditionalFormatting sqref="O33:P33">
    <cfRule type="expression" dxfId="4" priority="53">
      <formula>I39&gt;=5</formula>
    </cfRule>
  </conditionalFormatting>
  <conditionalFormatting sqref="M34:N34">
    <cfRule type="expression" dxfId="4" priority="54">
      <formula>I40&gt;=5</formula>
    </cfRule>
  </conditionalFormatting>
  <conditionalFormatting sqref="O34:P34">
    <cfRule type="expression" dxfId="4" priority="55">
      <formula>I40&gt;=5</formula>
    </cfRule>
  </conditionalFormatting>
  <conditionalFormatting sqref="J29">
    <cfRule type="expression" dxfId="14" priority="56">
      <formula>AND(OR(H3="Half-Elf",not(iserror(VLOOKUP(indirect("B"&amp;row()),$G$8:$H$13,2,False)))),I40&gt;=5)</formula>
    </cfRule>
  </conditionalFormatting>
  <conditionalFormatting sqref="J29">
    <cfRule type="expression" dxfId="4" priority="57">
      <formula>I40&gt;=5</formula>
    </cfRule>
  </conditionalFormatting>
  <conditionalFormatting sqref="M35:N35">
    <cfRule type="expression" dxfId="4" priority="58">
      <formula>I41&gt;=5</formula>
    </cfRule>
  </conditionalFormatting>
  <conditionalFormatting sqref="O35:P35">
    <cfRule type="expression" dxfId="4" priority="59">
      <formula>I41&gt;=5</formula>
    </cfRule>
  </conditionalFormatting>
  <conditionalFormatting sqref="J59">
    <cfRule type="expression" dxfId="4" priority="60">
      <formula>I41&gt;=5</formula>
    </cfRule>
  </conditionalFormatting>
  <conditionalFormatting sqref="M36:N36">
    <cfRule type="expression" dxfId="4" priority="61">
      <formula>I42&gt;=5</formula>
    </cfRule>
  </conditionalFormatting>
  <conditionalFormatting sqref="O36:P36">
    <cfRule type="expression" dxfId="4" priority="62">
      <formula>I42&gt;=5</formula>
    </cfRule>
  </conditionalFormatting>
  <conditionalFormatting sqref="J24">
    <cfRule type="expression" dxfId="4" priority="63">
      <formula>I42&gt;=5</formula>
    </cfRule>
  </conditionalFormatting>
  <conditionalFormatting sqref="M38:N38">
    <cfRule type="expression" dxfId="3" priority="64">
      <formula>I44&gt;=5</formula>
    </cfRule>
  </conditionalFormatting>
  <conditionalFormatting sqref="O38:P38">
    <cfRule type="expression" dxfId="3" priority="65">
      <formula>I44&gt;=5</formula>
    </cfRule>
  </conditionalFormatting>
  <conditionalFormatting sqref="M39:N39">
    <cfRule type="expression" dxfId="4" priority="66">
      <formula>I45&gt;=5</formula>
    </cfRule>
  </conditionalFormatting>
  <conditionalFormatting sqref="O39:P39">
    <cfRule type="expression" dxfId="4" priority="67">
      <formula>I45&gt;=5</formula>
    </cfRule>
  </conditionalFormatting>
  <conditionalFormatting sqref="J59">
    <cfRule type="expression" dxfId="4" priority="68">
      <formula>I45&gt;=5</formula>
    </cfRule>
  </conditionalFormatting>
  <conditionalFormatting sqref="M41:N41">
    <cfRule type="expression" dxfId="3" priority="69">
      <formula>I52&gt;=5</formula>
    </cfRule>
  </conditionalFormatting>
  <conditionalFormatting sqref="O41:P41">
    <cfRule type="expression" dxfId="3" priority="70">
      <formula>I52&gt;=5</formula>
    </cfRule>
  </conditionalFormatting>
  <conditionalFormatting sqref="J59">
    <cfRule type="expression" dxfId="4" priority="71">
      <formula>I53&gt;=5</formula>
    </cfRule>
  </conditionalFormatting>
  <conditionalFormatting sqref="M42:N42">
    <cfRule type="expression" dxfId="4" priority="72">
      <formula>I54&gt;=5</formula>
    </cfRule>
  </conditionalFormatting>
  <conditionalFormatting sqref="O42:P42">
    <cfRule type="expression" dxfId="4" priority="73">
      <formula>I54&gt;=5</formula>
    </cfRule>
  </conditionalFormatting>
  <conditionalFormatting sqref="J24">
    <cfRule type="expression" dxfId="4" priority="74">
      <formula>I54&gt;=5</formula>
    </cfRule>
  </conditionalFormatting>
  <conditionalFormatting sqref="M43:N43">
    <cfRule type="expression" dxfId="4" priority="75">
      <formula>I57&gt;=5</formula>
    </cfRule>
  </conditionalFormatting>
  <conditionalFormatting sqref="O43:P43">
    <cfRule type="expression" dxfId="4" priority="76">
      <formula>I57&gt;=5</formula>
    </cfRule>
  </conditionalFormatting>
  <conditionalFormatting sqref="M44:N44">
    <cfRule type="expression" dxfId="4" priority="77">
      <formula>I59&gt;=5</formula>
    </cfRule>
  </conditionalFormatting>
  <conditionalFormatting sqref="O44:P44">
    <cfRule type="expression" dxfId="4" priority="78">
      <formula>I59&gt;=5</formula>
    </cfRule>
  </conditionalFormatting>
  <conditionalFormatting sqref="J41">
    <cfRule type="expression" dxfId="14" priority="79">
      <formula>AND(I59&gt;=5,not(iserror(VLOOKUP(indirect("B"&amp;row()),$G$8:$H$13,2,False))))</formula>
    </cfRule>
  </conditionalFormatting>
  <conditionalFormatting sqref="J41">
    <cfRule type="expression" dxfId="4" priority="80">
      <formula>I59&gt;=5</formula>
    </cfRule>
  </conditionalFormatting>
  <conditionalFormatting sqref="M45:N45">
    <cfRule type="expression" dxfId="4" priority="81">
      <formula>I61&gt;=5</formula>
    </cfRule>
  </conditionalFormatting>
  <conditionalFormatting sqref="O45:P45">
    <cfRule type="expression" dxfId="4" priority="82">
      <formula>I61&gt;=5</formula>
    </cfRule>
  </conditionalFormatting>
  <conditionalFormatting sqref="M46:N46">
    <cfRule type="expression" dxfId="4" priority="83">
      <formula>I61&gt;=5</formula>
    </cfRule>
  </conditionalFormatting>
  <conditionalFormatting sqref="O46:P46">
    <cfRule type="expression" dxfId="4" priority="84">
      <formula>I61&gt;=5</formula>
    </cfRule>
  </conditionalFormatting>
  <conditionalFormatting sqref="J34">
    <cfRule type="expression" dxfId="14" priority="85">
      <formula>AND(OR(H3="Halfling",not(iserror(VLOOKUP(indirect("B"&amp;row()),$G$8:$H$13,2,False)))),I61&gt;=5)</formula>
    </cfRule>
  </conditionalFormatting>
  <conditionalFormatting sqref="J34">
    <cfRule type="expression" dxfId="4" priority="86">
      <formula>I61&gt;=5</formula>
    </cfRule>
  </conditionalFormatting>
  <conditionalFormatting sqref="M47:N47">
    <cfRule type="expression" dxfId="4" priority="87">
      <formula>I62&gt;=5</formula>
    </cfRule>
  </conditionalFormatting>
  <conditionalFormatting sqref="O47:P47">
    <cfRule type="expression" dxfId="4" priority="88">
      <formula>I62&gt;=5</formula>
    </cfRule>
  </conditionalFormatting>
  <conditionalFormatting sqref="J62">
    <cfRule type="expression" dxfId="4" priority="89">
      <formula>I57&gt;=5</formula>
    </cfRule>
  </conditionalFormatting>
  <conditionalFormatting sqref="M49:N49">
    <cfRule type="expression" dxfId="3" priority="90">
      <formula>I64&gt;=5</formula>
    </cfRule>
  </conditionalFormatting>
  <conditionalFormatting sqref="O49:P49">
    <cfRule type="expression" dxfId="3" priority="91">
      <formula>I64&gt;=5</formula>
    </cfRule>
  </conditionalFormatting>
  <conditionalFormatting sqref="J20">
    <cfRule type="expression" dxfId="14" priority="92">
      <formula>AND(OR(G3="Halfling",not(iserror(VLOOKUP(indirect("B"&amp;row()),$G$8:$H$13,2,False)))),H64&gt;=5)</formula>
    </cfRule>
  </conditionalFormatting>
  <conditionalFormatting sqref="J20">
    <cfRule type="expression" dxfId="4" priority="93">
      <formula>I64&gt;=5</formula>
    </cfRule>
  </conditionalFormatting>
  <conditionalFormatting sqref="M50:N50">
    <cfRule type="expression" dxfId="4" priority="94">
      <formula>I64&gt;=5</formula>
    </cfRule>
  </conditionalFormatting>
  <conditionalFormatting sqref="O50:P50">
    <cfRule type="expression" dxfId="4" priority="95">
      <formula>I64&gt;=5</formula>
    </cfRule>
  </conditionalFormatting>
  <conditionalFormatting sqref="J27">
    <cfRule type="expression" dxfId="14" priority="96">
      <formula>AND(I64&gt;=5,not(iserror(VLOOKUP(indirect("B"&amp;row()),$G$8:$H$13,2,False))))</formula>
    </cfRule>
  </conditionalFormatting>
  <conditionalFormatting sqref="J27">
    <cfRule type="expression" dxfId="4" priority="97">
      <formula>I64&gt;=5</formula>
    </cfRule>
  </conditionalFormatting>
  <conditionalFormatting sqref="E4">
    <cfRule type="cellIs" dxfId="5" priority="98" operator="lessThan">
      <formula>0</formula>
    </cfRule>
  </conditionalFormatting>
  <conditionalFormatting sqref="H15">
    <cfRule type="expression" dxfId="5" priority="99">
      <formula>E4&lt;0</formula>
    </cfRule>
  </conditionalFormatting>
  <conditionalFormatting sqref="M53:N53">
    <cfRule type="expression" dxfId="12" priority="100">
      <formula>H3="Human"</formula>
    </cfRule>
  </conditionalFormatting>
  <conditionalFormatting sqref="M55:N55">
    <cfRule type="expression" dxfId="12" priority="101">
      <formula>H3="Dwarf"</formula>
    </cfRule>
  </conditionalFormatting>
  <conditionalFormatting sqref="M58:N58">
    <cfRule type="expression" dxfId="12" priority="102">
      <formula>H3="Elf"</formula>
    </cfRule>
  </conditionalFormatting>
  <conditionalFormatting sqref="M59:N59">
    <cfRule type="expression" dxfId="12" priority="103">
      <formula>H3="Gnome"</formula>
    </cfRule>
  </conditionalFormatting>
  <conditionalFormatting sqref="M61:N61">
    <cfRule type="expression" dxfId="12" priority="104">
      <formula>H3="Half-Elf"</formula>
    </cfRule>
  </conditionalFormatting>
  <conditionalFormatting sqref="M66:N66">
    <cfRule type="expression" dxfId="12" priority="105">
      <formula>H5="Half-Orc"</formula>
    </cfRule>
  </conditionalFormatting>
  <conditionalFormatting sqref="J53">
    <cfRule type="expression" dxfId="13" priority="106">
      <formula>OR(H3="Dwarf",H3="Elf",H3="Half-Elf")</formula>
    </cfRule>
  </conditionalFormatting>
  <conditionalFormatting sqref="J46">
    <cfRule type="expression" dxfId="13" priority="107">
      <formula>OR(H3="Elf",H3="Half-Elf",H3="Gnome",H3="Halfling")</formula>
    </cfRule>
  </conditionalFormatting>
  <conditionalFormatting sqref="M64:N64">
    <cfRule type="expression" dxfId="12" priority="108">
      <formula>H3="Halfling"</formula>
    </cfRule>
  </conditionalFormatting>
  <conditionalFormatting sqref="J58">
    <cfRule type="expression" dxfId="13" priority="109">
      <formula>OR(H3="Elf",H3="Half-Elf")</formula>
    </cfRule>
  </conditionalFormatting>
  <conditionalFormatting sqref="J32">
    <cfRule type="expression" dxfId="13" priority="110">
      <formula>OR(H3="Gnome",H3="Halfling")</formula>
    </cfRule>
  </conditionalFormatting>
  <conditionalFormatting sqref="J24">
    <cfRule type="expression" dxfId="12" priority="111">
      <formula>H3="Half-Elf"</formula>
    </cfRule>
  </conditionalFormatting>
  <conditionalFormatting sqref="J29">
    <cfRule type="expression" dxfId="12" priority="112">
      <formula>H3="Half-Elf"</formula>
    </cfRule>
  </conditionalFormatting>
  <conditionalFormatting sqref="J20">
    <cfRule type="expression" dxfId="12" priority="113">
      <formula>H3="Halfling"</formula>
    </cfRule>
  </conditionalFormatting>
  <conditionalFormatting sqref="J34">
    <cfRule type="expression" dxfId="12" priority="114">
      <formula>H3="Halfling"</formula>
    </cfRule>
  </conditionalFormatting>
  <conditionalFormatting sqref="M24:N24">
    <cfRule type="expression" dxfId="4" priority="115">
      <formula>I23&gt;=5</formula>
    </cfRule>
  </conditionalFormatting>
  <conditionalFormatting sqref="O24:P24">
    <cfRule type="expression" dxfId="4" priority="116">
      <formula>I23&gt;=5</formula>
    </cfRule>
  </conditionalFormatting>
  <conditionalFormatting sqref="M17:P17">
    <cfRule type="expression" dxfId="3" priority="117">
      <formula>$I$17&gt;=5</formula>
    </cfRule>
  </conditionalFormatting>
  <conditionalFormatting sqref="M22:P22">
    <cfRule type="expression" dxfId="4" priority="118">
      <formula>$I$21&gt;=5</formula>
    </cfRule>
  </conditionalFormatting>
  <conditionalFormatting sqref="M37:P37">
    <cfRule type="expression" dxfId="4" priority="119">
      <formula>$I$43&gt;=5</formula>
    </cfRule>
  </conditionalFormatting>
  <conditionalFormatting sqref="M40:P40">
    <cfRule type="expression" dxfId="4" priority="120">
      <formula>$I$51&gt;=5</formula>
    </cfRule>
  </conditionalFormatting>
  <conditionalFormatting sqref="H16:H64">
    <cfRule type="cellIs" dxfId="6" priority="121" operator="greaterThan">
      <formula>$I$3</formula>
    </cfRule>
  </conditionalFormatting>
  <conditionalFormatting sqref="J47">
    <cfRule type="expression" dxfId="13" priority="122">
      <formula>H3="Halfling"</formula>
    </cfRule>
  </conditionalFormatting>
  <conditionalFormatting sqref="B19">
    <cfRule type="expression" dxfId="4" priority="123">
      <formula>I19&gt;=5</formula>
    </cfRule>
  </conditionalFormatting>
  <conditionalFormatting sqref="B22">
    <cfRule type="expression" dxfId="4" priority="124">
      <formula>I22&gt;=5</formula>
    </cfRule>
  </conditionalFormatting>
  <conditionalFormatting sqref="B23">
    <cfRule type="expression" dxfId="4" priority="125">
      <formula>I23&gt;=5</formula>
    </cfRule>
  </conditionalFormatting>
  <conditionalFormatting sqref="B27">
    <cfRule type="expression" dxfId="4" priority="126">
      <formula>I27&gt;=5</formula>
    </cfRule>
  </conditionalFormatting>
  <conditionalFormatting sqref="B30">
    <cfRule type="expression" dxfId="4" priority="127">
      <formula>I30&gt;=5</formula>
    </cfRule>
  </conditionalFormatting>
  <conditionalFormatting sqref="B34">
    <cfRule type="expression" dxfId="4" priority="128">
      <formula>I34&gt;=5</formula>
    </cfRule>
  </conditionalFormatting>
  <conditionalFormatting sqref="B35">
    <cfRule type="expression" dxfId="4" priority="129">
      <formula>I35&gt;=5</formula>
    </cfRule>
  </conditionalFormatting>
  <conditionalFormatting sqref="B36">
    <cfRule type="expression" dxfId="4" priority="130">
      <formula>I36&gt;=5</formula>
    </cfRule>
  </conditionalFormatting>
  <conditionalFormatting sqref="B37">
    <cfRule type="expression" dxfId="4" priority="131">
      <formula>I37&gt;=5</formula>
    </cfRule>
  </conditionalFormatting>
  <conditionalFormatting sqref="B38">
    <cfRule type="expression" dxfId="4" priority="132">
      <formula>I38&gt;=5</formula>
    </cfRule>
  </conditionalFormatting>
  <conditionalFormatting sqref="B39">
    <cfRule type="expression" dxfId="4" priority="133">
      <formula>I39&gt;=5</formula>
    </cfRule>
  </conditionalFormatting>
  <conditionalFormatting sqref="B40">
    <cfRule type="expression" dxfId="4" priority="134">
      <formula>I40&gt;=5</formula>
    </cfRule>
  </conditionalFormatting>
  <conditionalFormatting sqref="B41">
    <cfRule type="expression" dxfId="4" priority="135">
      <formula>I41&gt;=5</formula>
    </cfRule>
  </conditionalFormatting>
  <conditionalFormatting sqref="B42">
    <cfRule type="expression" dxfId="4" priority="136">
      <formula>I42&gt;=5</formula>
    </cfRule>
  </conditionalFormatting>
  <conditionalFormatting sqref="B44">
    <cfRule type="expression" dxfId="3" priority="137">
      <formula>I44&gt;=5</formula>
    </cfRule>
  </conditionalFormatting>
  <conditionalFormatting sqref="B45">
    <cfRule type="expression" dxfId="4" priority="138">
      <formula>I45&gt;=5</formula>
    </cfRule>
  </conditionalFormatting>
  <conditionalFormatting sqref="B53">
    <cfRule type="expression" dxfId="4" priority="139">
      <formula>I53&gt;=5</formula>
    </cfRule>
  </conditionalFormatting>
  <conditionalFormatting sqref="B54">
    <cfRule type="expression" dxfId="4" priority="140">
      <formula>I54&gt;=5</formula>
    </cfRule>
  </conditionalFormatting>
  <conditionalFormatting sqref="B57">
    <cfRule type="expression" dxfId="4" priority="141">
      <formula>I57&gt;=5</formula>
    </cfRule>
  </conditionalFormatting>
  <conditionalFormatting sqref="B59">
    <cfRule type="expression" dxfId="4" priority="142">
      <formula>I59&gt;=5</formula>
    </cfRule>
  </conditionalFormatting>
  <conditionalFormatting sqref="B61">
    <cfRule type="expression" dxfId="4" priority="143">
      <formula>I61&gt;=5</formula>
    </cfRule>
  </conditionalFormatting>
  <conditionalFormatting sqref="B62">
    <cfRule type="expression" dxfId="4" priority="144">
      <formula>I62&gt;=5</formula>
    </cfRule>
  </conditionalFormatting>
  <conditionalFormatting sqref="B64">
    <cfRule type="expression" dxfId="3" priority="145">
      <formula>I64&gt;=5</formula>
    </cfRule>
  </conditionalFormatting>
  <conditionalFormatting sqref="J57">
    <cfRule type="expression" dxfId="4" priority="146">
      <formula>I62&gt;=5</formula>
    </cfRule>
  </conditionalFormatting>
  <conditionalFormatting sqref="G6:H6">
    <cfRule type="expression" dxfId="12" priority="147">
      <formula>NOT(ISERROR(SEARCH((H3),(G6))))</formula>
    </cfRule>
  </conditionalFormatting>
  <conditionalFormatting sqref="M48:P48">
    <cfRule type="expression" dxfId="4" priority="148">
      <formula>$I$63&gt;=5</formula>
    </cfRule>
  </conditionalFormatting>
  <conditionalFormatting sqref="B17">
    <cfRule type="expression" dxfId="4" priority="149">
      <formula>$I$17&gt;=5</formula>
    </cfRule>
  </conditionalFormatting>
  <conditionalFormatting sqref="J43">
    <cfRule type="expression" dxfId="4" priority="150">
      <formula>$I$17&gt;=5</formula>
    </cfRule>
  </conditionalFormatting>
  <conditionalFormatting sqref="B21">
    <cfRule type="expression" dxfId="4" priority="151">
      <formula>$I$21&gt;=5</formula>
    </cfRule>
  </conditionalFormatting>
  <conditionalFormatting sqref="J17">
    <cfRule type="expression" dxfId="4" priority="152">
      <formula>$I$21&gt;=5</formula>
    </cfRule>
  </conditionalFormatting>
  <conditionalFormatting sqref="B43">
    <cfRule type="expression" dxfId="4" priority="153">
      <formula>$I$43&gt;=5</formula>
    </cfRule>
  </conditionalFormatting>
  <conditionalFormatting sqref="J51">
    <cfRule type="expression" dxfId="4" priority="154">
      <formula>$I$43&gt;=5</formula>
    </cfRule>
  </conditionalFormatting>
  <conditionalFormatting sqref="J18">
    <cfRule type="expression" dxfId="4" priority="155">
      <formula>I61&gt;=5</formula>
    </cfRule>
  </conditionalFormatting>
  <conditionalFormatting sqref="B51">
    <cfRule type="expression" dxfId="15" priority="156">
      <formula>$I$51&gt;=5</formula>
    </cfRule>
  </conditionalFormatting>
  <conditionalFormatting sqref="J63">
    <cfRule type="expression" dxfId="4" priority="157">
      <formula>$I$51&gt;=5</formula>
    </cfRule>
  </conditionalFormatting>
  <conditionalFormatting sqref="B63">
    <cfRule type="expression" dxfId="4" priority="158">
      <formula>$I$63&gt;=5</formula>
    </cfRule>
  </conditionalFormatting>
  <conditionalFormatting sqref="J51">
    <cfRule type="expression" dxfId="4" priority="159">
      <formula>$I$63&gt;=5</formula>
    </cfRule>
  </conditionalFormatting>
  <conditionalFormatting sqref="C2:E2 C3:D4 G2:K2 M2:P2 C6:E7 C8:C13 G6:K7 M9:N13 P9:P10 B15:B21 B23:B65 D15:D65 C15 E15:K15 E16:G65 M15:P50 M52:P65 O66:P66">
    <cfRule type="expression" dxfId="7" priority="160">
      <formula>indirect("static")</formula>
    </cfRule>
  </conditionalFormatting>
  <conditionalFormatting sqref="H3 M3:P7 G8:K13 H16:H65 B22">
    <cfRule type="expression" dxfId="10" priority="161">
      <formula>indirect("free")</formula>
    </cfRule>
  </conditionalFormatting>
  <conditionalFormatting sqref="E3:E4 G3 I3:K3 D8:E13 P11:P13 C16:C65 I16:K65 M66:N66">
    <cfRule type="expression" dxfId="9" priority="162">
      <formula>indirect("formula")</formula>
    </cfRule>
  </conditionalFormatting>
  <dataValidations>
    <dataValidation type="list" allowBlank="1" sqref="G8:G13 I8:I13">
      <formula1>$B$16:$B$64</formula1>
    </dataValidation>
    <dataValidation type="list" allowBlank="1" sqref="H3">
      <formula1>$M$53:$N$70</formula1>
    </dataValidation>
    <dataValidation type="list" allowBlank="1" sqref="P3:P7">
      <formula1>'Class Skills Table'!$D$2:$W$2</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29"/>
    <col customWidth="1" min="2" max="2" width="3.14"/>
    <col customWidth="1" min="3" max="3" width="17.71"/>
    <col customWidth="1" min="4" max="4" width="3.14"/>
    <col customWidth="1" min="6" max="6" width="3.14"/>
    <col customWidth="1" min="7" max="7" width="1.29"/>
    <col customWidth="1" min="8" max="8" width="3.14"/>
    <col customWidth="1" min="9" max="9" width="28.14"/>
    <col customWidth="1" min="10" max="10" width="3.14"/>
    <col customWidth="1" min="12" max="12" width="3.14"/>
    <col customWidth="1" min="13" max="13" width="1.29"/>
    <col customWidth="1" min="14" max="14" width="3.14"/>
    <col customWidth="1" min="15" max="15" width="22.43"/>
    <col customWidth="1" min="16" max="16" width="3.14"/>
    <col customWidth="1" min="18" max="18" width="3.14"/>
    <col customWidth="1" min="19" max="19" width="1.29"/>
  </cols>
  <sheetData>
    <row r="1" ht="6.0" customHeight="1"/>
    <row r="2">
      <c r="B2" s="114" t="s">
        <v>572</v>
      </c>
      <c r="C2" s="3"/>
      <c r="D2" s="3"/>
      <c r="E2" s="3"/>
      <c r="F2" s="4"/>
      <c r="G2" s="103"/>
      <c r="H2" s="114" t="s">
        <v>573</v>
      </c>
      <c r="I2" s="3"/>
      <c r="J2" s="3"/>
      <c r="K2" s="3"/>
      <c r="L2" s="4"/>
      <c r="M2" s="103"/>
      <c r="N2" s="114" t="s">
        <v>574</v>
      </c>
      <c r="O2" s="3"/>
      <c r="P2" s="3"/>
      <c r="Q2" s="3"/>
      <c r="R2" s="4"/>
    </row>
    <row r="3">
      <c r="B3" s="24" t="b">
        <v>0</v>
      </c>
      <c r="C3" s="107" t="s">
        <v>575</v>
      </c>
      <c r="D3" s="10"/>
      <c r="E3" s="11"/>
      <c r="F3" s="24" t="b">
        <v>0</v>
      </c>
      <c r="G3" s="103"/>
      <c r="H3" s="24" t="b">
        <v>0</v>
      </c>
      <c r="I3" s="107" t="s">
        <v>575</v>
      </c>
      <c r="J3" s="10"/>
      <c r="K3" s="11"/>
      <c r="L3" s="24" t="b">
        <v>0</v>
      </c>
      <c r="M3" s="103"/>
      <c r="N3" s="24" t="b">
        <v>0</v>
      </c>
      <c r="O3" s="107" t="s">
        <v>575</v>
      </c>
      <c r="P3" s="10"/>
      <c r="Q3" s="11"/>
      <c r="R3" s="24" t="b">
        <v>0</v>
      </c>
    </row>
    <row r="4">
      <c r="B4" s="149" t="s">
        <v>284</v>
      </c>
      <c r="C4" s="3"/>
      <c r="D4" s="4"/>
      <c r="E4" s="138">
        <f>Main!Z4</f>
        <v>0</v>
      </c>
      <c r="F4" s="4"/>
      <c r="G4" s="97"/>
      <c r="H4" s="149" t="s">
        <v>576</v>
      </c>
      <c r="I4" s="3"/>
      <c r="J4" s="4"/>
      <c r="K4" s="138">
        <f>sum(Main!F16:F37)</f>
        <v>0</v>
      </c>
      <c r="L4" s="4"/>
      <c r="M4" s="97"/>
      <c r="N4" s="149" t="s">
        <v>478</v>
      </c>
      <c r="O4" s="3"/>
      <c r="P4" s="4"/>
      <c r="Q4" s="138">
        <f>if(N3,Skills!K19,0)</f>
        <v>0</v>
      </c>
      <c r="R4" s="4"/>
    </row>
    <row r="5">
      <c r="B5" s="57" t="s">
        <v>277</v>
      </c>
      <c r="C5" s="10"/>
      <c r="D5" s="11"/>
      <c r="E5" s="134">
        <f>special_attacks</f>
        <v>0</v>
      </c>
      <c r="F5" s="11"/>
      <c r="G5" s="97"/>
      <c r="H5" s="57" t="s">
        <v>277</v>
      </c>
      <c r="I5" s="10"/>
      <c r="J5" s="11"/>
      <c r="K5" s="134">
        <f>special_attacks</f>
        <v>0</v>
      </c>
      <c r="L5" s="11"/>
      <c r="M5" s="97"/>
      <c r="N5" s="57" t="s">
        <v>532</v>
      </c>
      <c r="O5" s="10"/>
      <c r="P5" s="11"/>
      <c r="Q5" s="134">
        <f>if(R3,Skills!K54,0)</f>
        <v>0</v>
      </c>
      <c r="R5" s="11"/>
    </row>
    <row r="6">
      <c r="B6" s="149" t="s">
        <v>282</v>
      </c>
      <c r="C6" s="4"/>
      <c r="D6" s="63" t="b">
        <v>0</v>
      </c>
      <c r="E6" s="65">
        <f>if(and(D6,B3),2,0)</f>
        <v>0</v>
      </c>
      <c r="F6" s="4"/>
      <c r="G6" s="97"/>
      <c r="H6" s="149" t="s">
        <v>577</v>
      </c>
      <c r="I6" s="4"/>
      <c r="J6" s="63" t="b">
        <v>0</v>
      </c>
      <c r="K6" s="65">
        <f>if(J6,4,0)</f>
        <v>0</v>
      </c>
      <c r="L6" s="4"/>
      <c r="M6" s="97"/>
      <c r="N6" s="149" t="s">
        <v>578</v>
      </c>
      <c r="O6" s="3"/>
      <c r="P6" s="4"/>
      <c r="Q6" s="65">
        <f>if(R3,Main!F16,0)</f>
        <v>0</v>
      </c>
      <c r="R6" s="4"/>
    </row>
    <row r="7">
      <c r="B7" s="57" t="s">
        <v>579</v>
      </c>
      <c r="C7" s="10"/>
      <c r="D7" s="11"/>
      <c r="E7" s="93">
        <f>if(and(F3,Main!C15="Quadraped"),4,0)</f>
        <v>0</v>
      </c>
      <c r="F7" s="11"/>
      <c r="G7" s="97"/>
      <c r="H7" s="57" t="s">
        <v>580</v>
      </c>
      <c r="I7" s="10"/>
      <c r="J7" s="55" t="b">
        <v>0</v>
      </c>
      <c r="K7" s="93">
        <f>if(J7,-4,0)</f>
        <v>0</v>
      </c>
      <c r="L7" s="11"/>
      <c r="M7" s="97"/>
      <c r="N7" s="57" t="s">
        <v>581</v>
      </c>
      <c r="O7" s="11"/>
      <c r="P7" s="59" t="b">
        <v>0</v>
      </c>
      <c r="Q7" s="93">
        <f>if(and(N3,P7),-4,0)</f>
        <v>0</v>
      </c>
      <c r="R7" s="11"/>
    </row>
    <row r="8">
      <c r="B8" s="149" t="s">
        <v>582</v>
      </c>
      <c r="C8" s="4"/>
      <c r="D8" s="162" t="b">
        <v>0</v>
      </c>
      <c r="E8" s="65">
        <f>if(and(A3,D8),4,0)</f>
        <v>0</v>
      </c>
      <c r="F8" s="4"/>
      <c r="G8" s="97"/>
      <c r="H8" s="149" t="s">
        <v>583</v>
      </c>
      <c r="I8" s="4"/>
      <c r="J8" s="162" t="b">
        <v>0</v>
      </c>
      <c r="K8" s="65">
        <f>if(and(J8,L3),-4,0)</f>
        <v>0</v>
      </c>
      <c r="L8" s="4"/>
      <c r="M8" s="97"/>
      <c r="N8" s="149" t="s">
        <v>584</v>
      </c>
      <c r="O8" s="4"/>
      <c r="P8" s="162" t="b">
        <v>0</v>
      </c>
      <c r="Q8" s="65">
        <f>if(and(N3,P8),-8,0)</f>
        <v>0</v>
      </c>
      <c r="R8" s="4"/>
    </row>
    <row r="9">
      <c r="B9" s="57" t="s">
        <v>381</v>
      </c>
      <c r="C9" s="10"/>
      <c r="D9" s="11"/>
      <c r="E9" s="93">
        <v>0.0</v>
      </c>
      <c r="F9" s="11"/>
      <c r="G9" s="97"/>
      <c r="H9" s="57" t="s">
        <v>585</v>
      </c>
      <c r="I9" s="10"/>
      <c r="J9" s="55" t="b">
        <v>0</v>
      </c>
      <c r="K9" s="93">
        <f>if(and(J9,H3),4,0)</f>
        <v>0</v>
      </c>
      <c r="L9" s="11"/>
      <c r="M9" s="97"/>
      <c r="N9" s="57" t="s">
        <v>381</v>
      </c>
      <c r="O9" s="10"/>
      <c r="P9" s="11"/>
      <c r="Q9" s="93">
        <v>0.0</v>
      </c>
      <c r="R9" s="11"/>
    </row>
    <row r="10">
      <c r="B10" s="149" t="s">
        <v>381</v>
      </c>
      <c r="C10" s="3"/>
      <c r="D10" s="4"/>
      <c r="E10" s="65">
        <v>0.0</v>
      </c>
      <c r="F10" s="4"/>
      <c r="G10" s="97"/>
      <c r="H10" s="149" t="s">
        <v>381</v>
      </c>
      <c r="I10" s="3"/>
      <c r="J10" s="4"/>
      <c r="K10" s="65">
        <v>0.0</v>
      </c>
      <c r="L10" s="4"/>
      <c r="M10" s="97"/>
      <c r="N10" s="149" t="s">
        <v>381</v>
      </c>
      <c r="O10" s="3"/>
      <c r="P10" s="4"/>
      <c r="Q10" s="65">
        <v>0.0</v>
      </c>
      <c r="R10" s="4"/>
    </row>
    <row r="11">
      <c r="B11" s="57" t="s">
        <v>16</v>
      </c>
      <c r="C11" s="10"/>
      <c r="D11" s="11"/>
      <c r="E11" s="80">
        <f>if(K33,RANDBETWEEN(1,20)+sum(E4:E10),E11)</f>
        <v>9</v>
      </c>
      <c r="F11" s="11"/>
      <c r="G11" s="97"/>
      <c r="H11" s="57" t="s">
        <v>16</v>
      </c>
      <c r="I11" s="10"/>
      <c r="J11" s="11"/>
      <c r="K11" s="80">
        <f>if(K33,RANDBETWEEN(1,20)+sum(K4:K10),K11)</f>
        <v>2</v>
      </c>
      <c r="L11" s="11"/>
      <c r="M11" s="97"/>
      <c r="N11" s="57" t="s">
        <v>16</v>
      </c>
      <c r="O11" s="10"/>
      <c r="P11" s="11"/>
      <c r="Q11" s="80">
        <f>if(K33,RANDBETWEEN(1,20)+sum(Q4:Q10),Q11)</f>
        <v>10</v>
      </c>
      <c r="R11" s="11"/>
    </row>
    <row r="12" ht="15.75" customHeight="1">
      <c r="B12" s="103"/>
      <c r="C12" s="103"/>
      <c r="D12" s="103"/>
      <c r="E12" s="103"/>
      <c r="F12" s="103"/>
      <c r="G12" s="103"/>
      <c r="H12" s="103"/>
      <c r="I12" s="103"/>
      <c r="J12" s="103"/>
      <c r="K12" s="103"/>
      <c r="L12" s="103"/>
      <c r="M12" s="103"/>
      <c r="N12" s="103"/>
      <c r="O12" s="103"/>
      <c r="P12" s="103"/>
      <c r="Q12" s="103"/>
      <c r="R12" s="103"/>
    </row>
    <row r="13">
      <c r="B13" s="114" t="s">
        <v>586</v>
      </c>
      <c r="C13" s="3"/>
      <c r="D13" s="3"/>
      <c r="E13" s="3"/>
      <c r="F13" s="4"/>
      <c r="G13" s="103"/>
      <c r="H13" s="114" t="s">
        <v>587</v>
      </c>
      <c r="I13" s="3"/>
      <c r="J13" s="3"/>
      <c r="K13" s="3"/>
      <c r="L13" s="4"/>
      <c r="M13" s="103"/>
      <c r="N13" s="114" t="s">
        <v>588</v>
      </c>
      <c r="O13" s="3"/>
      <c r="P13" s="3"/>
      <c r="Q13" s="3"/>
      <c r="R13" s="4"/>
    </row>
    <row r="14">
      <c r="B14" s="57" t="s">
        <v>578</v>
      </c>
      <c r="C14" s="10"/>
      <c r="D14" s="11"/>
      <c r="E14" s="94" t="str">
        <f>Main!F16</f>
        <v>NA</v>
      </c>
      <c r="F14" s="11"/>
      <c r="G14" s="103"/>
      <c r="H14" s="24" t="b">
        <v>0</v>
      </c>
      <c r="I14" s="107" t="s">
        <v>575</v>
      </c>
      <c r="J14" s="10"/>
      <c r="K14" s="11"/>
      <c r="L14" s="24" t="b">
        <v>0</v>
      </c>
      <c r="M14" s="103"/>
      <c r="N14" s="107" t="s">
        <v>318</v>
      </c>
      <c r="O14" s="10"/>
      <c r="P14" s="11"/>
      <c r="Q14" s="319" t="s">
        <v>341</v>
      </c>
      <c r="R14" s="11"/>
    </row>
    <row r="15">
      <c r="B15" s="149" t="s">
        <v>284</v>
      </c>
      <c r="C15" s="3"/>
      <c r="D15" s="4"/>
      <c r="E15" s="138">
        <f>Main!Z4</f>
        <v>0</v>
      </c>
      <c r="F15" s="4"/>
      <c r="G15" s="97"/>
      <c r="H15" s="149" t="s">
        <v>589</v>
      </c>
      <c r="I15" s="3"/>
      <c r="J15" s="4"/>
      <c r="K15" s="138">
        <f>if(H14,Main!Z4,0)</f>
        <v>0</v>
      </c>
      <c r="L15" s="4"/>
      <c r="M15" s="97"/>
      <c r="N15" s="149" t="s">
        <v>340</v>
      </c>
      <c r="O15" s="3"/>
      <c r="P15" s="4"/>
      <c r="Q15" s="138" t="str">
        <f>Main!F16</f>
        <v>NA</v>
      </c>
      <c r="R15" s="4"/>
    </row>
    <row r="16">
      <c r="B16" s="57" t="s">
        <v>277</v>
      </c>
      <c r="C16" s="10"/>
      <c r="D16" s="11"/>
      <c r="E16" s="134">
        <f>special_attacks</f>
        <v>0</v>
      </c>
      <c r="F16" s="11"/>
      <c r="G16" s="97"/>
      <c r="H16" s="57" t="s">
        <v>590</v>
      </c>
      <c r="I16" s="10"/>
      <c r="J16" s="11"/>
      <c r="K16" s="93">
        <f>if(L14,if(H16="Strength (Defense)",Main!Z4,Main!Z5),0)</f>
        <v>0</v>
      </c>
      <c r="L16" s="11"/>
      <c r="M16" s="97"/>
      <c r="N16" s="57" t="s">
        <v>284</v>
      </c>
      <c r="O16" s="10"/>
      <c r="P16" s="11"/>
      <c r="Q16" s="134">
        <f>if(N16="Strength",Main!$Z$4,Main!$Z$5)</f>
        <v>0</v>
      </c>
      <c r="R16" s="11"/>
    </row>
    <row r="17">
      <c r="B17" s="149" t="s">
        <v>591</v>
      </c>
      <c r="C17" s="3"/>
      <c r="D17" s="63" t="b">
        <v>0</v>
      </c>
      <c r="E17" s="65">
        <f>if(D17,4,0)</f>
        <v>0</v>
      </c>
      <c r="F17" s="4"/>
      <c r="G17" s="97"/>
      <c r="H17" s="149" t="s">
        <v>277</v>
      </c>
      <c r="I17" s="3"/>
      <c r="J17" s="4"/>
      <c r="K17" s="65">
        <f>special_attacks</f>
        <v>0</v>
      </c>
      <c r="L17" s="4"/>
      <c r="M17" s="97"/>
      <c r="N17" s="149" t="s">
        <v>277</v>
      </c>
      <c r="O17" s="3"/>
      <c r="P17" s="4"/>
      <c r="Q17" s="65">
        <f>IF(ISERROR(a_and_ac),0,a_and_ac)</f>
        <v>0</v>
      </c>
      <c r="R17" s="4"/>
    </row>
    <row r="18">
      <c r="B18" s="57" t="s">
        <v>381</v>
      </c>
      <c r="C18" s="10"/>
      <c r="D18" s="11"/>
      <c r="E18" s="93">
        <v>0.0</v>
      </c>
      <c r="F18" s="11"/>
      <c r="G18" s="97"/>
      <c r="H18" s="57" t="s">
        <v>579</v>
      </c>
      <c r="I18" s="10"/>
      <c r="J18" s="11"/>
      <c r="K18" s="93">
        <f>if(and(L14,Main!C15="Quadraped"),4,0)</f>
        <v>0</v>
      </c>
      <c r="L18" s="11"/>
      <c r="M18" s="97"/>
      <c r="N18" s="57" t="s">
        <v>592</v>
      </c>
      <c r="O18" s="10"/>
      <c r="P18" s="11"/>
      <c r="Q18" s="93">
        <f>if('Spell Switchboard'!N24,2,0)</f>
        <v>0</v>
      </c>
      <c r="R18" s="11"/>
    </row>
    <row r="19">
      <c r="B19" s="149" t="s">
        <v>381</v>
      </c>
      <c r="C19" s="3"/>
      <c r="D19" s="4"/>
      <c r="E19" s="65">
        <v>0.0</v>
      </c>
      <c r="F19" s="4"/>
      <c r="G19" s="97"/>
      <c r="H19" s="149" t="s">
        <v>593</v>
      </c>
      <c r="I19" s="4"/>
      <c r="J19" s="162" t="b">
        <v>0</v>
      </c>
      <c r="K19" s="65">
        <f>if(and(J19,H14),4,0)</f>
        <v>0</v>
      </c>
      <c r="L19" s="4"/>
      <c r="M19" s="97"/>
      <c r="N19" s="149" t="s">
        <v>381</v>
      </c>
      <c r="O19" s="3"/>
      <c r="P19" s="4"/>
      <c r="Q19" s="65">
        <v>0.0</v>
      </c>
      <c r="R19" s="4"/>
    </row>
    <row r="20">
      <c r="B20" s="57" t="s">
        <v>381</v>
      </c>
      <c r="C20" s="10"/>
      <c r="D20" s="11"/>
      <c r="E20" s="93">
        <v>0.0</v>
      </c>
      <c r="F20" s="11"/>
      <c r="G20" s="97"/>
      <c r="H20" s="57" t="s">
        <v>381</v>
      </c>
      <c r="I20" s="10"/>
      <c r="J20" s="11"/>
      <c r="K20" s="93">
        <v>0.0</v>
      </c>
      <c r="L20" s="11"/>
      <c r="M20" s="97"/>
      <c r="N20" s="57" t="s">
        <v>381</v>
      </c>
      <c r="O20" s="10"/>
      <c r="P20" s="11"/>
      <c r="Q20" s="93">
        <v>0.0</v>
      </c>
      <c r="R20" s="11"/>
    </row>
    <row r="21">
      <c r="B21" s="149" t="s">
        <v>16</v>
      </c>
      <c r="C21" s="3"/>
      <c r="D21" s="4"/>
      <c r="E21" s="69">
        <f>if(K33,RANDBETWEEN(1,20)+sum(E14:F20),E21)</f>
        <v>16</v>
      </c>
      <c r="F21" s="4"/>
      <c r="G21" s="97"/>
      <c r="H21" s="149" t="s">
        <v>16</v>
      </c>
      <c r="I21" s="3"/>
      <c r="J21" s="4"/>
      <c r="K21" s="69">
        <f>if(K33,RANDBETWEEN(1,20)+sum(K15:L20),K21)</f>
        <v>4</v>
      </c>
      <c r="L21" s="4"/>
      <c r="M21" s="97"/>
      <c r="N21" s="149" t="s">
        <v>16</v>
      </c>
      <c r="O21" s="3"/>
      <c r="P21" s="4"/>
      <c r="Q21" s="69">
        <f>if(K33,RANDBETWEEN(1,20)+sum(Q15:R20),Q21)</f>
        <v>17</v>
      </c>
      <c r="R21" s="4"/>
    </row>
    <row r="22" ht="15.75" customHeight="1">
      <c r="B22" s="103"/>
      <c r="C22" s="103"/>
      <c r="D22" s="103"/>
      <c r="E22" s="103"/>
      <c r="F22" s="103"/>
      <c r="G22" s="103"/>
      <c r="H22" s="103"/>
      <c r="I22" s="103"/>
      <c r="J22" s="103"/>
      <c r="K22" s="103"/>
      <c r="L22" s="103"/>
      <c r="M22" s="103"/>
      <c r="N22" s="103"/>
      <c r="O22" s="103"/>
      <c r="P22" s="103"/>
      <c r="Q22" s="103"/>
      <c r="R22" s="103"/>
    </row>
    <row r="23">
      <c r="B23" s="114" t="s">
        <v>594</v>
      </c>
      <c r="C23" s="3"/>
      <c r="D23" s="3"/>
      <c r="E23" s="3"/>
      <c r="F23" s="4"/>
      <c r="G23" s="103"/>
      <c r="H23" s="114" t="s">
        <v>595</v>
      </c>
      <c r="I23" s="3"/>
      <c r="J23" s="3"/>
      <c r="K23" s="3"/>
      <c r="L23" s="4"/>
      <c r="M23" s="103"/>
      <c r="N23" s="114" t="s">
        <v>596</v>
      </c>
      <c r="O23" s="3"/>
      <c r="P23" s="3"/>
      <c r="Q23" s="3"/>
      <c r="R23" s="4"/>
    </row>
    <row r="24">
      <c r="B24" s="24" t="b">
        <v>0</v>
      </c>
      <c r="C24" s="107" t="s">
        <v>575</v>
      </c>
      <c r="D24" s="10"/>
      <c r="E24" s="11"/>
      <c r="F24" s="24" t="b">
        <v>0</v>
      </c>
      <c r="G24" s="103"/>
      <c r="H24" s="57" t="s">
        <v>576</v>
      </c>
      <c r="I24" s="10"/>
      <c r="J24" s="11"/>
      <c r="K24" s="134">
        <f>sum(Main!F16:F37)</f>
        <v>0</v>
      </c>
      <c r="L24" s="11"/>
      <c r="M24" s="103"/>
      <c r="N24" s="107" t="s">
        <v>318</v>
      </c>
      <c r="O24" s="10"/>
      <c r="P24" s="11"/>
      <c r="Q24" s="319" t="s">
        <v>341</v>
      </c>
      <c r="R24" s="11"/>
    </row>
    <row r="25">
      <c r="B25" s="149" t="s">
        <v>589</v>
      </c>
      <c r="C25" s="3"/>
      <c r="D25" s="4"/>
      <c r="E25" s="138">
        <f>if(B24,Main!Z4,0)</f>
        <v>0</v>
      </c>
      <c r="F25" s="4"/>
      <c r="G25" s="97"/>
      <c r="H25" s="149" t="s">
        <v>277</v>
      </c>
      <c r="I25" s="3"/>
      <c r="J25" s="4"/>
      <c r="K25" s="138">
        <f>special_attacks</f>
        <v>0</v>
      </c>
      <c r="L25" s="4"/>
      <c r="M25" s="97"/>
      <c r="N25" s="149" t="s">
        <v>340</v>
      </c>
      <c r="O25" s="3"/>
      <c r="P25" s="4"/>
      <c r="Q25" s="138" t="str">
        <f>Main!F16</f>
        <v>NA</v>
      </c>
      <c r="R25" s="4"/>
    </row>
    <row r="26">
      <c r="B26" s="57" t="s">
        <v>590</v>
      </c>
      <c r="C26" s="10"/>
      <c r="D26" s="11"/>
      <c r="E26" s="93">
        <f>if(F24,if(B26="Strength (Defense)",Main!Z4,Main!Z5),0)</f>
        <v>0</v>
      </c>
      <c r="F26" s="11"/>
      <c r="G26" s="97"/>
      <c r="H26" s="57" t="s">
        <v>577</v>
      </c>
      <c r="I26" s="11"/>
      <c r="J26" s="55" t="b">
        <v>0</v>
      </c>
      <c r="K26" s="93">
        <f>if(J26,4,0)</f>
        <v>0</v>
      </c>
      <c r="L26" s="11"/>
      <c r="M26" s="97"/>
      <c r="N26" s="57" t="s">
        <v>287</v>
      </c>
      <c r="O26" s="10"/>
      <c r="P26" s="11"/>
      <c r="Q26" s="134">
        <f>if(N26="Strength",Main!$Z$4,Main!$Z$5)</f>
        <v>0</v>
      </c>
      <c r="R26" s="11"/>
    </row>
    <row r="27">
      <c r="B27" s="149" t="s">
        <v>277</v>
      </c>
      <c r="C27" s="3"/>
      <c r="D27" s="4"/>
      <c r="E27" s="65">
        <f>special_attacks</f>
        <v>0</v>
      </c>
      <c r="F27" s="4"/>
      <c r="G27" s="97"/>
      <c r="H27" s="149" t="s">
        <v>580</v>
      </c>
      <c r="I27" s="3"/>
      <c r="J27" s="63" t="b">
        <v>0</v>
      </c>
      <c r="K27" s="65">
        <f>if(J27,-4,0)</f>
        <v>0</v>
      </c>
      <c r="L27" s="4"/>
      <c r="M27" s="97"/>
      <c r="N27" s="149" t="s">
        <v>277</v>
      </c>
      <c r="O27" s="3"/>
      <c r="P27" s="4"/>
      <c r="Q27" s="65">
        <f>IF(ISERROR(a_and_ac),0,a_and_ac)</f>
        <v>0</v>
      </c>
      <c r="R27" s="4"/>
    </row>
    <row r="28">
      <c r="B28" s="57" t="s">
        <v>579</v>
      </c>
      <c r="C28" s="10"/>
      <c r="D28" s="11"/>
      <c r="E28" s="93">
        <f>if(and(F24,Main!C15="Quadraped"),4,0)</f>
        <v>0</v>
      </c>
      <c r="F28" s="11"/>
      <c r="G28" s="97"/>
      <c r="H28" s="57" t="s">
        <v>597</v>
      </c>
      <c r="I28" s="11"/>
      <c r="J28" s="59" t="b">
        <v>0</v>
      </c>
      <c r="K28" s="93">
        <f>if(J28,4,0)</f>
        <v>0</v>
      </c>
      <c r="L28" s="11"/>
      <c r="M28" s="97"/>
      <c r="N28" s="57" t="s">
        <v>381</v>
      </c>
      <c r="O28" s="10"/>
      <c r="P28" s="11"/>
      <c r="Q28" s="93">
        <v>0.0</v>
      </c>
      <c r="R28" s="11"/>
    </row>
    <row r="29">
      <c r="B29" s="149" t="s">
        <v>598</v>
      </c>
      <c r="C29" s="3"/>
      <c r="D29" s="63" t="b">
        <v>0</v>
      </c>
      <c r="E29" s="65">
        <f>if(and(D29,B24),4,0)</f>
        <v>0</v>
      </c>
      <c r="F29" s="4"/>
      <c r="G29" s="97"/>
      <c r="H29" s="149" t="s">
        <v>381</v>
      </c>
      <c r="I29" s="3"/>
      <c r="J29" s="4"/>
      <c r="K29" s="65">
        <v>0.0</v>
      </c>
      <c r="L29" s="4"/>
      <c r="M29" s="97"/>
      <c r="N29" s="149" t="s">
        <v>381</v>
      </c>
      <c r="O29" s="3"/>
      <c r="P29" s="4"/>
      <c r="Q29" s="65">
        <v>0.0</v>
      </c>
      <c r="R29" s="4"/>
    </row>
    <row r="30">
      <c r="B30" s="57" t="s">
        <v>381</v>
      </c>
      <c r="C30" s="10"/>
      <c r="D30" s="11"/>
      <c r="E30" s="93">
        <v>0.0</v>
      </c>
      <c r="F30" s="11"/>
      <c r="G30" s="97"/>
      <c r="H30" s="57" t="s">
        <v>381</v>
      </c>
      <c r="I30" s="10"/>
      <c r="J30" s="11"/>
      <c r="K30" s="93">
        <v>0.0</v>
      </c>
      <c r="L30" s="11"/>
      <c r="M30" s="97"/>
      <c r="N30" s="57" t="s">
        <v>381</v>
      </c>
      <c r="O30" s="10"/>
      <c r="P30" s="11"/>
      <c r="Q30" s="93">
        <v>0.0</v>
      </c>
      <c r="R30" s="11"/>
    </row>
    <row r="31">
      <c r="B31" s="149" t="s">
        <v>16</v>
      </c>
      <c r="C31" s="3"/>
      <c r="D31" s="4"/>
      <c r="E31" s="69">
        <f>if(K33,RANDBETWEEN(1,20)+sum(E25:F30),E31)</f>
        <v>11</v>
      </c>
      <c r="F31" s="4"/>
      <c r="G31" s="97"/>
      <c r="H31" s="149" t="s">
        <v>16</v>
      </c>
      <c r="I31" s="3"/>
      <c r="J31" s="4"/>
      <c r="K31" s="69">
        <f>if(K33,RANDBETWEEN(1,20)+sum(K24:L30),K31)</f>
        <v>19</v>
      </c>
      <c r="L31" s="4"/>
      <c r="M31" s="97"/>
      <c r="N31" s="149" t="s">
        <v>16</v>
      </c>
      <c r="O31" s="3"/>
      <c r="P31" s="4"/>
      <c r="Q31" s="69">
        <f>if(K33,RANDBETWEEN(1,20)+sum(Q25:R30),Q31)</f>
        <v>0</v>
      </c>
      <c r="R31" s="4"/>
    </row>
    <row r="32" ht="15.75" customHeight="1"/>
    <row r="33" ht="15.75" customHeight="1">
      <c r="H33" s="192" t="s">
        <v>599</v>
      </c>
      <c r="I33" s="202"/>
      <c r="J33" s="203"/>
      <c r="K33" s="320" t="b">
        <v>0</v>
      </c>
      <c r="L33" s="203"/>
    </row>
    <row r="34" ht="6.0" customHeight="1"/>
  </sheetData>
  <mergeCells count="156">
    <mergeCell ref="B6:C6"/>
    <mergeCell ref="B7:D7"/>
    <mergeCell ref="H7:I7"/>
    <mergeCell ref="N7:O7"/>
    <mergeCell ref="B8:C8"/>
    <mergeCell ref="H8:I8"/>
    <mergeCell ref="N8:O8"/>
    <mergeCell ref="E7:F7"/>
    <mergeCell ref="E8:F8"/>
    <mergeCell ref="B9:D9"/>
    <mergeCell ref="E9:F9"/>
    <mergeCell ref="H9:I9"/>
    <mergeCell ref="E10:F10"/>
    <mergeCell ref="H10:J10"/>
    <mergeCell ref="N11:P11"/>
    <mergeCell ref="N13:R13"/>
    <mergeCell ref="N14:P14"/>
    <mergeCell ref="Q14:R14"/>
    <mergeCell ref="N15:P15"/>
    <mergeCell ref="Q15:R15"/>
    <mergeCell ref="Q16:R16"/>
    <mergeCell ref="N16:P16"/>
    <mergeCell ref="N17:P17"/>
    <mergeCell ref="Q17:R17"/>
    <mergeCell ref="N18:P18"/>
    <mergeCell ref="Q18:R18"/>
    <mergeCell ref="N19:P19"/>
    <mergeCell ref="Q19:R19"/>
    <mergeCell ref="N21:P21"/>
    <mergeCell ref="Q21:R21"/>
    <mergeCell ref="N23:R23"/>
    <mergeCell ref="N24:P24"/>
    <mergeCell ref="Q24:R24"/>
    <mergeCell ref="N25:P25"/>
    <mergeCell ref="Q25:R25"/>
    <mergeCell ref="N29:P29"/>
    <mergeCell ref="N30:P30"/>
    <mergeCell ref="Q30:R30"/>
    <mergeCell ref="N31:P31"/>
    <mergeCell ref="Q31:R31"/>
    <mergeCell ref="N26:P26"/>
    <mergeCell ref="Q26:R26"/>
    <mergeCell ref="N27:P27"/>
    <mergeCell ref="Q27:R27"/>
    <mergeCell ref="N28:P28"/>
    <mergeCell ref="Q28:R28"/>
    <mergeCell ref="Q29:R29"/>
    <mergeCell ref="K4:L4"/>
    <mergeCell ref="N4:P4"/>
    <mergeCell ref="N5:P5"/>
    <mergeCell ref="Q5:R5"/>
    <mergeCell ref="B2:F2"/>
    <mergeCell ref="H2:L2"/>
    <mergeCell ref="N2:R2"/>
    <mergeCell ref="C3:E3"/>
    <mergeCell ref="I3:K3"/>
    <mergeCell ref="O3:Q3"/>
    <mergeCell ref="B4:D4"/>
    <mergeCell ref="Q4:R4"/>
    <mergeCell ref="E6:F6"/>
    <mergeCell ref="H6:I6"/>
    <mergeCell ref="N6:P6"/>
    <mergeCell ref="Q6:R6"/>
    <mergeCell ref="E4:F4"/>
    <mergeCell ref="H4:J4"/>
    <mergeCell ref="B5:D5"/>
    <mergeCell ref="E5:F5"/>
    <mergeCell ref="H5:J5"/>
    <mergeCell ref="K5:L5"/>
    <mergeCell ref="K6:L6"/>
    <mergeCell ref="K7:L7"/>
    <mergeCell ref="K8:L8"/>
    <mergeCell ref="K9:L9"/>
    <mergeCell ref="K10:L10"/>
    <mergeCell ref="K11:L11"/>
    <mergeCell ref="Q7:R7"/>
    <mergeCell ref="Q8:R8"/>
    <mergeCell ref="N9:P9"/>
    <mergeCell ref="Q9:R9"/>
    <mergeCell ref="N10:P10"/>
    <mergeCell ref="Q10:R10"/>
    <mergeCell ref="Q11:R11"/>
    <mergeCell ref="N20:P20"/>
    <mergeCell ref="Q20:R20"/>
    <mergeCell ref="B20:D20"/>
    <mergeCell ref="B21:D21"/>
    <mergeCell ref="E21:F21"/>
    <mergeCell ref="H21:J21"/>
    <mergeCell ref="K21:L21"/>
    <mergeCell ref="B23:F23"/>
    <mergeCell ref="H23:L23"/>
    <mergeCell ref="C24:E24"/>
    <mergeCell ref="H24:J24"/>
    <mergeCell ref="K24:L24"/>
    <mergeCell ref="B25:D25"/>
    <mergeCell ref="E25:F25"/>
    <mergeCell ref="H25:J25"/>
    <mergeCell ref="K25:L25"/>
    <mergeCell ref="B26:D26"/>
    <mergeCell ref="E26:F26"/>
    <mergeCell ref="H26:I26"/>
    <mergeCell ref="K26:L26"/>
    <mergeCell ref="E27:F27"/>
    <mergeCell ref="H27:I27"/>
    <mergeCell ref="K27:L27"/>
    <mergeCell ref="B27:D27"/>
    <mergeCell ref="B28:D28"/>
    <mergeCell ref="E28:F28"/>
    <mergeCell ref="H28:I28"/>
    <mergeCell ref="K28:L28"/>
    <mergeCell ref="B29:C29"/>
    <mergeCell ref="E29:F29"/>
    <mergeCell ref="E14:F14"/>
    <mergeCell ref="I14:K14"/>
    <mergeCell ref="B10:D10"/>
    <mergeCell ref="B11:D11"/>
    <mergeCell ref="E11:F11"/>
    <mergeCell ref="H11:J11"/>
    <mergeCell ref="B13:F13"/>
    <mergeCell ref="H13:L13"/>
    <mergeCell ref="B14:D14"/>
    <mergeCell ref="B15:D15"/>
    <mergeCell ref="E15:F15"/>
    <mergeCell ref="H15:J15"/>
    <mergeCell ref="K15:L15"/>
    <mergeCell ref="E16:F16"/>
    <mergeCell ref="H16:J16"/>
    <mergeCell ref="K16:L16"/>
    <mergeCell ref="H18:J18"/>
    <mergeCell ref="K18:L18"/>
    <mergeCell ref="B16:D16"/>
    <mergeCell ref="B17:C17"/>
    <mergeCell ref="E17:F17"/>
    <mergeCell ref="H17:J17"/>
    <mergeCell ref="K17:L17"/>
    <mergeCell ref="B18:D18"/>
    <mergeCell ref="E18:F18"/>
    <mergeCell ref="B19:D19"/>
    <mergeCell ref="E19:F19"/>
    <mergeCell ref="H19:I19"/>
    <mergeCell ref="K19:L19"/>
    <mergeCell ref="E20:F20"/>
    <mergeCell ref="H20:J20"/>
    <mergeCell ref="K20:L20"/>
    <mergeCell ref="H30:J30"/>
    <mergeCell ref="H31:J31"/>
    <mergeCell ref="H33:J33"/>
    <mergeCell ref="K33:L33"/>
    <mergeCell ref="H29:J29"/>
    <mergeCell ref="K29:L29"/>
    <mergeCell ref="B30:D30"/>
    <mergeCell ref="E30:F30"/>
    <mergeCell ref="K30:L30"/>
    <mergeCell ref="B31:D31"/>
    <mergeCell ref="E31:F31"/>
    <mergeCell ref="K31:L31"/>
  </mergeCells>
  <conditionalFormatting sqref="B2:F2 C3:E3 B4:D5 B6:C6 B7:D7 B8:C8 B11:D11 H2:L2 I3:K3 H4:J5 H6:I10 H11:J11 N2:R2 O3:Q3 N4:P6 N7:O8 N11:P11 B13:F13 B14:D16 B17:C17 B21:D21 H13:L13 I14:K14 H15:J15 H17:J18 H19:I19 H21:J21 N13:R14 N15:P15 N17:P18 N21:P21 B23:F23 C24:E24 B25:D25 B27:D28 B29:C29 B31:D31 H23:L23 H24:J25 H26:I28 H31:J31 N23:R24 N25:P25 N27:P27 N31:P31">
    <cfRule type="expression" dxfId="7" priority="1">
      <formula>indirect("static")</formula>
    </cfRule>
  </conditionalFormatting>
  <conditionalFormatting sqref="B3 F3 H3 L3 N3 R3 D6 J6:J9 P7:P8 D8 B9:F10 N9:P10 Q9:R10 H14 L14 H16:J16 N16:P16 D17 B18:F20 J19 N19:R20 H20:L20 B24 F24 B26:D26 J26:J28 N26:P26 N28:R30 D29 H29:L30 B30:F30">
    <cfRule type="expression" dxfId="10" priority="2">
      <formula>indirect("free")</formula>
    </cfRule>
  </conditionalFormatting>
  <conditionalFormatting sqref="E4:F8 E11:F11 K4:L11 Q4:R8 Q11:R11 E14:F17 E21:F21 K15:L19 K21:L21 Q15:R18 Q21:R21 E25:F29 E31:F31 K24:L28 K31:L31 Q25:R27 Q31:R31">
    <cfRule type="expression" dxfId="16" priority="3">
      <formula>indirect("formula")</formula>
    </cfRule>
  </conditionalFormatting>
  <dataValidations>
    <dataValidation type="list" allowBlank="1" sqref="N16 N26">
      <formula1>"Strength,Dexterity"</formula1>
    </dataValidation>
    <dataValidation type="list" allowBlank="1" sqref="H16 B26">
      <formula1>"Strength (Defense),Dexterity (Defense)"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29"/>
    <col customWidth="1" min="2" max="2" width="43.0"/>
    <col customWidth="1" min="3" max="3" width="85.86"/>
    <col customWidth="1" min="4" max="4" width="17.43"/>
    <col customWidth="1" min="5" max="5" width="14.71"/>
    <col customWidth="1" min="6" max="6" width="25.14"/>
    <col customWidth="1" min="7" max="7" width="1.29"/>
    <col customWidth="1" min="8" max="9" width="28.71"/>
    <col customWidth="1" min="10" max="10" width="3.14"/>
  </cols>
  <sheetData>
    <row r="1" ht="15.75" customHeight="1">
      <c r="A1" s="321"/>
      <c r="B1" s="321"/>
      <c r="C1" s="322"/>
      <c r="D1" s="321"/>
      <c r="E1" s="321"/>
      <c r="F1" s="321"/>
      <c r="G1" s="323"/>
    </row>
    <row r="2">
      <c r="A2" s="321"/>
      <c r="B2" s="324" t="s">
        <v>600</v>
      </c>
      <c r="C2" s="325"/>
      <c r="D2" s="325"/>
      <c r="E2" s="325"/>
      <c r="F2" s="268"/>
      <c r="G2" s="323"/>
      <c r="H2" s="326" t="s">
        <v>601</v>
      </c>
      <c r="I2" s="327">
        <f>IF(iserr(Sheet4!E33),"Enter Size and Leg Count", Sheet4!E33)</f>
        <v>33</v>
      </c>
    </row>
    <row r="3" ht="18.0" customHeight="1">
      <c r="A3" s="321"/>
      <c r="B3" s="315"/>
      <c r="F3" s="316"/>
      <c r="G3" s="323"/>
      <c r="H3" s="326" t="s">
        <v>602</v>
      </c>
      <c r="I3" s="326" t="str">
        <f>IF(iserr(Sheet4!E34),"Enter Size and Leg Count", Sheet4!E34&amp;"-"&amp;Sheet4!F34&amp;" lbs")</f>
        <v>34-66 lbs</v>
      </c>
    </row>
    <row r="4" ht="17.25" customHeight="1">
      <c r="A4" s="321"/>
      <c r="B4" s="328" t="s">
        <v>603</v>
      </c>
      <c r="C4" s="329" t="s">
        <v>421</v>
      </c>
      <c r="D4" s="328" t="s">
        <v>604</v>
      </c>
      <c r="E4" s="328" t="s">
        <v>311</v>
      </c>
      <c r="F4" s="328" t="s">
        <v>605</v>
      </c>
      <c r="G4" s="323"/>
      <c r="H4" s="326" t="s">
        <v>606</v>
      </c>
      <c r="I4" s="326" t="str">
        <f>IF(iserr(Sheet4!E35),"Enter Size and Leg Count",Sheet4!E35&amp;"-"&amp;Sheet4!F35&amp;" lbs")</f>
        <v>67-100 lbs</v>
      </c>
    </row>
    <row r="5" ht="17.25" customHeight="1">
      <c r="A5" s="321"/>
      <c r="B5" s="272"/>
      <c r="C5" s="272"/>
      <c r="D5" s="272"/>
      <c r="E5" s="272"/>
      <c r="F5" s="272"/>
      <c r="G5" s="323"/>
      <c r="H5" s="326" t="s">
        <v>607</v>
      </c>
      <c r="I5" s="330">
        <f>SUM(F6:F21)+SUM(F27:F40)</f>
        <v>0</v>
      </c>
    </row>
    <row r="6">
      <c r="A6" s="331"/>
      <c r="B6" s="332"/>
      <c r="C6" s="333"/>
      <c r="D6" s="334"/>
      <c r="E6" s="335"/>
      <c r="F6" s="336">
        <f t="shared" ref="F6:F21" si="1">D6*E6</f>
        <v>0</v>
      </c>
      <c r="H6" s="337"/>
      <c r="I6" s="337"/>
    </row>
    <row r="7">
      <c r="A7" s="331"/>
      <c r="B7" s="332"/>
      <c r="C7" s="333"/>
      <c r="D7" s="334"/>
      <c r="E7" s="335"/>
      <c r="F7" s="336">
        <f t="shared" si="1"/>
        <v>0</v>
      </c>
    </row>
    <row r="8">
      <c r="A8" s="331"/>
      <c r="B8" s="332"/>
      <c r="C8" s="333"/>
      <c r="D8" s="334"/>
      <c r="E8" s="335"/>
      <c r="F8" s="336">
        <f t="shared" si="1"/>
        <v>0</v>
      </c>
    </row>
    <row r="9">
      <c r="A9" s="331"/>
      <c r="B9" s="338"/>
      <c r="C9" s="333"/>
      <c r="D9" s="334"/>
      <c r="E9" s="335"/>
      <c r="F9" s="336">
        <f t="shared" si="1"/>
        <v>0</v>
      </c>
    </row>
    <row r="10">
      <c r="A10" s="331"/>
      <c r="B10" s="338"/>
      <c r="C10" s="333"/>
      <c r="D10" s="334"/>
      <c r="E10" s="335"/>
      <c r="F10" s="336">
        <f t="shared" si="1"/>
        <v>0</v>
      </c>
      <c r="H10" s="337"/>
      <c r="I10" s="337"/>
    </row>
    <row r="11">
      <c r="A11" s="331"/>
      <c r="B11" s="339"/>
      <c r="C11" s="340"/>
      <c r="D11" s="341"/>
      <c r="E11" s="342"/>
      <c r="F11" s="336">
        <f t="shared" si="1"/>
        <v>0</v>
      </c>
      <c r="H11" s="337"/>
      <c r="I11" s="337"/>
    </row>
    <row r="12">
      <c r="A12" s="331"/>
      <c r="B12" s="338"/>
      <c r="C12" s="333"/>
      <c r="D12" s="334"/>
      <c r="E12" s="335"/>
      <c r="F12" s="336">
        <f t="shared" si="1"/>
        <v>0</v>
      </c>
      <c r="G12" s="343"/>
      <c r="H12" s="337"/>
      <c r="I12" s="337"/>
    </row>
    <row r="13">
      <c r="A13" s="331"/>
      <c r="B13" s="338"/>
      <c r="C13" s="333"/>
      <c r="D13" s="334"/>
      <c r="E13" s="335"/>
      <c r="F13" s="336">
        <f t="shared" si="1"/>
        <v>0</v>
      </c>
    </row>
    <row r="14">
      <c r="A14" s="331"/>
      <c r="B14" s="338"/>
      <c r="C14" s="333"/>
      <c r="D14" s="334"/>
      <c r="E14" s="335"/>
      <c r="F14" s="336">
        <f t="shared" si="1"/>
        <v>0</v>
      </c>
    </row>
    <row r="15">
      <c r="A15" s="331"/>
      <c r="B15" s="338"/>
      <c r="C15" s="333"/>
      <c r="D15" s="334"/>
      <c r="E15" s="335"/>
      <c r="F15" s="336">
        <f t="shared" si="1"/>
        <v>0</v>
      </c>
    </row>
    <row r="16">
      <c r="A16" s="331"/>
      <c r="B16" s="339"/>
      <c r="C16" s="340"/>
      <c r="D16" s="341"/>
      <c r="E16" s="344"/>
      <c r="F16" s="336">
        <f t="shared" si="1"/>
        <v>0</v>
      </c>
    </row>
    <row r="17">
      <c r="A17" s="331"/>
      <c r="B17" s="339"/>
      <c r="C17" s="340"/>
      <c r="D17" s="341"/>
      <c r="E17" s="344"/>
      <c r="F17" s="336">
        <f t="shared" si="1"/>
        <v>0</v>
      </c>
    </row>
    <row r="18">
      <c r="A18" s="331"/>
      <c r="B18" s="339"/>
      <c r="C18" s="340"/>
      <c r="D18" s="341"/>
      <c r="E18" s="344"/>
      <c r="F18" s="336">
        <f t="shared" si="1"/>
        <v>0</v>
      </c>
    </row>
    <row r="19">
      <c r="A19" s="331"/>
      <c r="B19" s="339"/>
      <c r="C19" s="340"/>
      <c r="D19" s="341"/>
      <c r="E19" s="344"/>
      <c r="F19" s="336">
        <f t="shared" si="1"/>
        <v>0</v>
      </c>
    </row>
    <row r="20">
      <c r="A20" s="331"/>
      <c r="B20" s="339"/>
      <c r="C20" s="340"/>
      <c r="D20" s="341"/>
      <c r="E20" s="344"/>
      <c r="F20" s="336">
        <f t="shared" si="1"/>
        <v>0</v>
      </c>
    </row>
    <row r="21">
      <c r="A21" s="331"/>
      <c r="B21" s="345"/>
      <c r="C21" s="346"/>
      <c r="D21" s="347"/>
      <c r="E21" s="348"/>
      <c r="F21" s="336">
        <f t="shared" si="1"/>
        <v>0</v>
      </c>
    </row>
    <row r="22">
      <c r="A22" s="331"/>
    </row>
    <row r="23">
      <c r="A23" s="331"/>
      <c r="B23" s="324" t="s">
        <v>608</v>
      </c>
      <c r="C23" s="349"/>
      <c r="D23" s="349"/>
      <c r="E23" s="349"/>
      <c r="F23" s="154"/>
    </row>
    <row r="24">
      <c r="A24" s="331"/>
      <c r="B24" s="350"/>
      <c r="F24" s="302"/>
    </row>
    <row r="25">
      <c r="A25" s="331"/>
      <c r="B25" s="328" t="s">
        <v>603</v>
      </c>
      <c r="C25" s="329" t="s">
        <v>421</v>
      </c>
      <c r="D25" s="328" t="s">
        <v>604</v>
      </c>
      <c r="E25" s="328" t="s">
        <v>311</v>
      </c>
      <c r="F25" s="328" t="s">
        <v>605</v>
      </c>
    </row>
    <row r="26">
      <c r="A26" s="331"/>
      <c r="B26" s="351"/>
      <c r="C26" s="351"/>
      <c r="D26" s="351"/>
      <c r="E26" s="351"/>
      <c r="F26" s="351"/>
    </row>
    <row r="27">
      <c r="A27" s="331"/>
      <c r="B27" s="352" t="s">
        <v>352</v>
      </c>
      <c r="C27" s="353" t="str">
        <f>"Copper: "&amp;Copper&amp;
" 
Silver: "&amp;Silver&amp;
" 
Gold: "&amp;Gold&amp;
" 
Platinum: "&amp;Platinum&amp;
" 
Total Pieces: "&amp;SUM(Copper, Silver, Gold, Platinum)</f>
        <v>Copper:  
Silver:  
Gold:  
Platinum:  
Total Pieces: 0</v>
      </c>
      <c r="D27" s="354">
        <f>SUM(Copper, Silver, Gold, Platinum)</f>
        <v>0</v>
      </c>
      <c r="E27" s="355">
        <f>1/50</f>
        <v>0.02</v>
      </c>
      <c r="F27" s="355">
        <f>FLOOR(D27*E27, 0.1)</f>
        <v>0</v>
      </c>
    </row>
    <row r="28">
      <c r="A28" s="331"/>
      <c r="B28" s="356"/>
      <c r="C28" s="357"/>
      <c r="D28" s="110"/>
      <c r="E28" s="358"/>
      <c r="F28" s="358">
        <f t="shared" ref="F28:F40" si="2">D28*E28</f>
        <v>0</v>
      </c>
    </row>
    <row r="29">
      <c r="A29" s="331"/>
      <c r="B29" s="359"/>
      <c r="C29" s="360"/>
      <c r="D29" s="361"/>
      <c r="E29" s="362"/>
      <c r="F29" s="355">
        <f t="shared" si="2"/>
        <v>0</v>
      </c>
    </row>
    <row r="30">
      <c r="A30" s="331"/>
      <c r="B30" s="356"/>
      <c r="C30" s="357"/>
      <c r="D30" s="110"/>
      <c r="E30" s="358"/>
      <c r="F30" s="358">
        <f t="shared" si="2"/>
        <v>0</v>
      </c>
    </row>
    <row r="31">
      <c r="A31" s="331"/>
      <c r="B31" s="359"/>
      <c r="C31" s="360"/>
      <c r="D31" s="18"/>
      <c r="E31" s="355"/>
      <c r="F31" s="355">
        <f t="shared" si="2"/>
        <v>0</v>
      </c>
    </row>
    <row r="32">
      <c r="A32" s="331"/>
      <c r="B32" s="356"/>
      <c r="C32" s="357"/>
      <c r="D32" s="110"/>
      <c r="E32" s="358"/>
      <c r="F32" s="358">
        <f t="shared" si="2"/>
        <v>0</v>
      </c>
    </row>
    <row r="33">
      <c r="A33" s="331"/>
      <c r="B33" s="359"/>
      <c r="C33" s="360"/>
      <c r="D33" s="361"/>
      <c r="E33" s="355"/>
      <c r="F33" s="355">
        <f t="shared" si="2"/>
        <v>0</v>
      </c>
    </row>
    <row r="34">
      <c r="A34" s="331"/>
      <c r="B34" s="356"/>
      <c r="C34" s="357"/>
      <c r="D34" s="110"/>
      <c r="E34" s="358"/>
      <c r="F34" s="358">
        <f t="shared" si="2"/>
        <v>0</v>
      </c>
    </row>
    <row r="35">
      <c r="A35" s="331"/>
      <c r="B35" s="359"/>
      <c r="C35" s="360"/>
      <c r="D35" s="361"/>
      <c r="E35" s="355"/>
      <c r="F35" s="355">
        <f t="shared" si="2"/>
        <v>0</v>
      </c>
    </row>
    <row r="36">
      <c r="A36" s="331"/>
      <c r="B36" s="356"/>
      <c r="C36" s="357"/>
      <c r="D36" s="110"/>
      <c r="E36" s="358"/>
      <c r="F36" s="358">
        <f t="shared" si="2"/>
        <v>0</v>
      </c>
    </row>
    <row r="37">
      <c r="A37" s="331"/>
      <c r="B37" s="359"/>
      <c r="C37" s="360"/>
      <c r="D37" s="361"/>
      <c r="E37" s="355"/>
      <c r="F37" s="355">
        <f t="shared" si="2"/>
        <v>0</v>
      </c>
    </row>
    <row r="38">
      <c r="A38" s="331"/>
      <c r="B38" s="356"/>
      <c r="C38" s="357"/>
      <c r="D38" s="110"/>
      <c r="E38" s="358"/>
      <c r="F38" s="358">
        <f t="shared" si="2"/>
        <v>0</v>
      </c>
    </row>
    <row r="39">
      <c r="A39" s="331"/>
      <c r="B39" s="359"/>
      <c r="C39" s="363"/>
      <c r="D39" s="361"/>
      <c r="E39" s="355"/>
      <c r="F39" s="355">
        <f t="shared" si="2"/>
        <v>0</v>
      </c>
    </row>
    <row r="40">
      <c r="A40" s="331"/>
      <c r="B40" s="356"/>
      <c r="C40" s="357"/>
      <c r="D40" s="110"/>
      <c r="E40" s="358"/>
      <c r="F40" s="358">
        <f t="shared" si="2"/>
        <v>0</v>
      </c>
    </row>
    <row r="41">
      <c r="A41" s="331"/>
    </row>
    <row r="42">
      <c r="A42" s="331"/>
      <c r="B42" s="324" t="s">
        <v>609</v>
      </c>
      <c r="C42" s="325"/>
      <c r="D42" s="325"/>
      <c r="E42" s="325"/>
      <c r="F42" s="268"/>
      <c r="H42" s="326" t="s">
        <v>610</v>
      </c>
      <c r="I42" s="326" t="s">
        <v>611</v>
      </c>
    </row>
    <row r="43">
      <c r="A43" s="331"/>
      <c r="B43" s="315"/>
      <c r="F43" s="316"/>
      <c r="H43" s="326" t="s">
        <v>612</v>
      </c>
      <c r="I43" s="364">
        <f>sum(F46:F57)</f>
        <v>0</v>
      </c>
    </row>
    <row r="44">
      <c r="A44" s="331"/>
      <c r="B44" s="328" t="s">
        <v>603</v>
      </c>
      <c r="C44" s="329" t="s">
        <v>421</v>
      </c>
      <c r="D44" s="328" t="s">
        <v>604</v>
      </c>
      <c r="E44" s="328" t="s">
        <v>311</v>
      </c>
      <c r="F44" s="328" t="s">
        <v>605</v>
      </c>
    </row>
    <row r="45">
      <c r="A45" s="331"/>
      <c r="B45" s="272"/>
      <c r="C45" s="272"/>
      <c r="D45" s="272"/>
      <c r="E45" s="272"/>
      <c r="F45" s="272"/>
    </row>
    <row r="46">
      <c r="A46" s="331"/>
      <c r="B46" s="365"/>
      <c r="C46" s="366"/>
      <c r="D46" s="367"/>
      <c r="E46" s="368"/>
      <c r="F46" s="368">
        <f t="shared" ref="F46:F57" si="3">D46*E46</f>
        <v>0</v>
      </c>
    </row>
    <row r="47">
      <c r="A47" s="331"/>
      <c r="B47" s="365"/>
      <c r="C47" s="366"/>
      <c r="D47" s="367"/>
      <c r="E47" s="368"/>
      <c r="F47" s="368">
        <f t="shared" si="3"/>
        <v>0</v>
      </c>
    </row>
    <row r="48">
      <c r="A48" s="331"/>
      <c r="B48" s="365"/>
      <c r="C48" s="366"/>
      <c r="D48" s="367"/>
      <c r="E48" s="368"/>
      <c r="F48" s="368">
        <f t="shared" si="3"/>
        <v>0</v>
      </c>
    </row>
    <row r="49">
      <c r="A49" s="331"/>
      <c r="B49" s="365"/>
      <c r="C49" s="366"/>
      <c r="D49" s="367"/>
      <c r="E49" s="368"/>
      <c r="F49" s="368">
        <f t="shared" si="3"/>
        <v>0</v>
      </c>
    </row>
    <row r="50">
      <c r="A50" s="331"/>
      <c r="B50" s="365"/>
      <c r="C50" s="366"/>
      <c r="D50" s="367"/>
      <c r="E50" s="368"/>
      <c r="F50" s="368">
        <f t="shared" si="3"/>
        <v>0</v>
      </c>
    </row>
    <row r="51">
      <c r="A51" s="331"/>
      <c r="B51" s="365"/>
      <c r="C51" s="366"/>
      <c r="D51" s="367"/>
      <c r="E51" s="368"/>
      <c r="F51" s="368">
        <f t="shared" si="3"/>
        <v>0</v>
      </c>
    </row>
    <row r="52">
      <c r="A52" s="331"/>
      <c r="B52" s="365"/>
      <c r="C52" s="366"/>
      <c r="D52" s="367"/>
      <c r="E52" s="368"/>
      <c r="F52" s="368">
        <f t="shared" si="3"/>
        <v>0</v>
      </c>
    </row>
    <row r="53">
      <c r="A53" s="331"/>
      <c r="B53" s="365"/>
      <c r="C53" s="366"/>
      <c r="D53" s="367"/>
      <c r="E53" s="368"/>
      <c r="F53" s="368">
        <f t="shared" si="3"/>
        <v>0</v>
      </c>
    </row>
    <row r="54">
      <c r="A54" s="331"/>
      <c r="B54" s="365"/>
      <c r="C54" s="366"/>
      <c r="D54" s="367"/>
      <c r="E54" s="368"/>
      <c r="F54" s="368">
        <f t="shared" si="3"/>
        <v>0</v>
      </c>
    </row>
    <row r="55">
      <c r="A55" s="331"/>
      <c r="B55" s="365"/>
      <c r="C55" s="366"/>
      <c r="D55" s="367"/>
      <c r="E55" s="368"/>
      <c r="F55" s="368">
        <f t="shared" si="3"/>
        <v>0</v>
      </c>
    </row>
    <row r="56">
      <c r="A56" s="331"/>
      <c r="B56" s="365"/>
      <c r="C56" s="366"/>
      <c r="D56" s="367"/>
      <c r="E56" s="368"/>
      <c r="F56" s="368">
        <f t="shared" si="3"/>
        <v>0</v>
      </c>
    </row>
    <row r="57">
      <c r="A57" s="331"/>
      <c r="B57" s="365"/>
      <c r="C57" s="366"/>
      <c r="D57" s="367"/>
      <c r="E57" s="368"/>
      <c r="F57" s="368">
        <f t="shared" si="3"/>
        <v>0</v>
      </c>
    </row>
    <row r="58">
      <c r="A58" s="369"/>
      <c r="B58" s="370"/>
      <c r="C58" s="371"/>
      <c r="D58" s="372"/>
      <c r="E58" s="373"/>
      <c r="F58" s="373"/>
      <c r="G58" s="175"/>
      <c r="H58" s="175"/>
      <c r="I58" s="175"/>
      <c r="J58" s="175"/>
    </row>
  </sheetData>
  <mergeCells count="18">
    <mergeCell ref="B2:F3"/>
    <mergeCell ref="B4:B5"/>
    <mergeCell ref="C4:C5"/>
    <mergeCell ref="D4:D5"/>
    <mergeCell ref="E4:E5"/>
    <mergeCell ref="F4:F5"/>
    <mergeCell ref="B23:F24"/>
    <mergeCell ref="C44:C45"/>
    <mergeCell ref="D44:D45"/>
    <mergeCell ref="E44:E45"/>
    <mergeCell ref="F44:F45"/>
    <mergeCell ref="B25:B26"/>
    <mergeCell ref="C25:C26"/>
    <mergeCell ref="D25:D26"/>
    <mergeCell ref="E25:E26"/>
    <mergeCell ref="F25:F26"/>
    <mergeCell ref="B42:F43"/>
    <mergeCell ref="B44:B45"/>
  </mergeCells>
  <conditionalFormatting sqref="I5">
    <cfRule type="cellIs" dxfId="3" priority="1" operator="lessThanOrEqual">
      <formula>indirect("Sheet4!E33")</formula>
    </cfRule>
  </conditionalFormatting>
  <conditionalFormatting sqref="I5">
    <cfRule type="cellIs" dxfId="17" priority="2" operator="between">
      <formula>indirect("Sheet4!E34")-0.999</formula>
      <formula>indirect("Sheet4!F34")</formula>
    </cfRule>
  </conditionalFormatting>
  <conditionalFormatting sqref="I5">
    <cfRule type="cellIs" dxfId="18" priority="3" operator="between">
      <formula>indirect("Sheet4!E35")-0.999</formula>
      <formula>indirect("Sheet4!F35")</formula>
    </cfRule>
  </conditionalFormatting>
  <conditionalFormatting sqref="I5">
    <cfRule type="cellIs" dxfId="6" priority="4" operator="greaterThan">
      <formula>indirect("Sheet4!F35")</formula>
    </cfRule>
  </conditionalFormatting>
  <conditionalFormatting sqref="I43">
    <cfRule type="cellIs" dxfId="4" priority="5" operator="lessThanOrEqual">
      <formula>I42</formula>
    </cfRule>
  </conditionalFormatting>
  <conditionalFormatting sqref="I43">
    <cfRule type="cellIs" dxfId="6" priority="6" operator="greaterThan">
      <formula>I42</formula>
    </cfRule>
  </conditionalFormatting>
  <conditionalFormatting sqref="B2:F5 B23:F26 H42:H43 B42:F45 H2:H5">
    <cfRule type="expression" dxfId="19" priority="7">
      <formula>indirect("static")</formula>
    </cfRule>
  </conditionalFormatting>
  <conditionalFormatting sqref="B6:E21 B28:E40 B46:E57 I42">
    <cfRule type="expression" dxfId="10" priority="8">
      <formula>indirect("free")</formula>
    </cfRule>
  </conditionalFormatting>
  <conditionalFormatting sqref="F6:F21 I2:I5 B27:F27 F28:F40 F46:F57">
    <cfRule type="expression" dxfId="16" priority="9">
      <formula>indirect("formula")</formula>
    </cfRule>
  </conditionalFormatting>
  <drawing r:id="rId1"/>
  <tableParts count="4">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14"/>
    <col customWidth="1" min="14" max="14" width="3.14"/>
  </cols>
  <sheetData>
    <row r="2">
      <c r="E2" s="374" t="s">
        <v>613</v>
      </c>
      <c r="F2" s="3"/>
      <c r="G2" s="3"/>
      <c r="H2" s="3"/>
      <c r="I2" s="3"/>
      <c r="J2" s="4"/>
    </row>
    <row r="3" ht="37.5" customHeight="1">
      <c r="E3" s="375" t="s">
        <v>614</v>
      </c>
      <c r="F3" s="10"/>
      <c r="G3" s="11"/>
      <c r="H3" s="376"/>
      <c r="I3" s="10"/>
      <c r="J3" s="11"/>
    </row>
    <row r="4" ht="21.75" customHeight="1">
      <c r="E4" s="377" t="s">
        <v>615</v>
      </c>
      <c r="F4" s="3"/>
      <c r="G4" s="4"/>
      <c r="H4" s="378"/>
      <c r="I4" s="3"/>
      <c r="J4" s="4"/>
    </row>
    <row r="5" ht="22.5" customHeight="1">
      <c r="E5" s="375" t="s">
        <v>616</v>
      </c>
      <c r="F5" s="10"/>
      <c r="G5" s="11"/>
      <c r="H5" s="376"/>
      <c r="I5" s="10"/>
      <c r="J5" s="11"/>
    </row>
    <row r="6" ht="38.25" customHeight="1">
      <c r="E6" s="377" t="s">
        <v>617</v>
      </c>
      <c r="F6" s="3"/>
      <c r="G6" s="4"/>
      <c r="H6" s="379"/>
      <c r="I6" s="3"/>
      <c r="J6" s="4"/>
    </row>
    <row r="7" ht="21.75" customHeight="1">
      <c r="E7" s="375" t="s">
        <v>618</v>
      </c>
      <c r="F7" s="10"/>
      <c r="G7" s="11"/>
      <c r="H7" s="376"/>
      <c r="I7" s="10"/>
      <c r="J7" s="11"/>
    </row>
    <row r="8">
      <c r="E8" s="377" t="s">
        <v>619</v>
      </c>
      <c r="F8" s="3"/>
      <c r="G8" s="4"/>
      <c r="H8" s="378"/>
      <c r="I8" s="3"/>
      <c r="J8" s="4"/>
    </row>
    <row r="9" ht="21.0" customHeight="1">
      <c r="E9" s="375" t="s">
        <v>620</v>
      </c>
      <c r="F9" s="10"/>
      <c r="G9" s="11"/>
      <c r="H9" s="376"/>
      <c r="I9" s="10"/>
      <c r="J9" s="11"/>
    </row>
    <row r="10" ht="20.25" customHeight="1">
      <c r="E10" s="377" t="s">
        <v>621</v>
      </c>
      <c r="F10" s="3"/>
      <c r="G10" s="4"/>
      <c r="H10" s="379"/>
      <c r="I10" s="3"/>
      <c r="J10" s="4"/>
    </row>
    <row r="11">
      <c r="E11" s="375" t="s">
        <v>622</v>
      </c>
      <c r="F11" s="10"/>
      <c r="G11" s="11"/>
      <c r="H11" s="380"/>
      <c r="I11" s="10"/>
      <c r="J11" s="11"/>
    </row>
    <row r="12">
      <c r="E12" s="377" t="s">
        <v>623</v>
      </c>
      <c r="F12" s="3"/>
      <c r="G12" s="4"/>
      <c r="H12" s="379"/>
      <c r="I12" s="3"/>
      <c r="J12" s="4"/>
    </row>
    <row r="13" ht="23.25" customHeight="1">
      <c r="E13" s="375" t="s">
        <v>624</v>
      </c>
      <c r="F13" s="10"/>
      <c r="G13" s="11"/>
      <c r="H13" s="376"/>
      <c r="I13" s="10"/>
      <c r="J13" s="11"/>
    </row>
    <row r="14" ht="21.75" customHeight="1">
      <c r="E14" s="377" t="s">
        <v>625</v>
      </c>
      <c r="F14" s="3"/>
      <c r="G14" s="4"/>
      <c r="H14" s="381"/>
      <c r="I14" s="221"/>
      <c r="J14" s="222"/>
    </row>
    <row r="15">
      <c r="B15" s="370"/>
      <c r="C15" s="370"/>
      <c r="D15" s="370"/>
    </row>
    <row r="16">
      <c r="C16" s="374" t="s">
        <v>626</v>
      </c>
      <c r="D16" s="3"/>
      <c r="E16" s="3"/>
      <c r="F16" s="3"/>
      <c r="G16" s="3"/>
      <c r="H16" s="3"/>
      <c r="I16" s="3"/>
      <c r="J16" s="3"/>
      <c r="K16" s="3"/>
      <c r="L16" s="4"/>
    </row>
    <row r="17">
      <c r="C17" s="382"/>
      <c r="D17" s="383"/>
      <c r="E17" s="384"/>
      <c r="F17" s="385"/>
      <c r="G17" s="385"/>
      <c r="H17" s="385"/>
      <c r="I17" s="385"/>
      <c r="J17" s="385"/>
      <c r="K17" s="385"/>
      <c r="L17" s="383"/>
    </row>
    <row r="18">
      <c r="C18" s="377"/>
      <c r="D18" s="4"/>
      <c r="E18" s="386"/>
      <c r="F18" s="3"/>
      <c r="G18" s="3"/>
      <c r="H18" s="3"/>
      <c r="I18" s="3"/>
      <c r="J18" s="3"/>
      <c r="K18" s="3"/>
      <c r="L18" s="4"/>
    </row>
    <row r="19">
      <c r="C19" s="375"/>
      <c r="D19" s="11"/>
      <c r="E19" s="387"/>
      <c r="F19" s="10"/>
      <c r="G19" s="10"/>
      <c r="H19" s="10"/>
      <c r="I19" s="10"/>
      <c r="J19" s="10"/>
      <c r="K19" s="10"/>
      <c r="L19" s="11"/>
    </row>
    <row r="20">
      <c r="C20" s="388"/>
      <c r="D20" s="4"/>
      <c r="E20" s="389"/>
      <c r="F20" s="3"/>
      <c r="G20" s="3"/>
      <c r="H20" s="3"/>
      <c r="I20" s="3"/>
      <c r="J20" s="3"/>
      <c r="K20" s="3"/>
      <c r="L20" s="4"/>
    </row>
    <row r="21">
      <c r="C21" s="390"/>
      <c r="D21" s="11"/>
      <c r="E21" s="300"/>
      <c r="F21" s="10"/>
      <c r="G21" s="10"/>
      <c r="H21" s="10"/>
      <c r="I21" s="10"/>
      <c r="J21" s="10"/>
      <c r="K21" s="10"/>
      <c r="L21" s="11"/>
    </row>
    <row r="22">
      <c r="C22" s="377"/>
      <c r="D22" s="4"/>
      <c r="E22" s="389"/>
      <c r="F22" s="3"/>
      <c r="G22" s="3"/>
      <c r="H22" s="3"/>
      <c r="I22" s="3"/>
      <c r="J22" s="3"/>
      <c r="K22" s="3"/>
      <c r="L22" s="4"/>
    </row>
    <row r="23">
      <c r="C23" s="375"/>
      <c r="D23" s="11"/>
      <c r="E23" s="387"/>
      <c r="F23" s="10"/>
      <c r="G23" s="10"/>
      <c r="H23" s="10"/>
      <c r="I23" s="10"/>
      <c r="J23" s="10"/>
      <c r="K23" s="10"/>
      <c r="L23" s="11"/>
    </row>
    <row r="24">
      <c r="C24" s="388"/>
      <c r="D24" s="4"/>
      <c r="E24" s="389"/>
      <c r="F24" s="3"/>
      <c r="G24" s="3"/>
      <c r="H24" s="3"/>
      <c r="I24" s="3"/>
      <c r="J24" s="3"/>
      <c r="K24" s="3"/>
      <c r="L24" s="4"/>
    </row>
  </sheetData>
  <mergeCells count="42">
    <mergeCell ref="E2:J2"/>
    <mergeCell ref="E3:G3"/>
    <mergeCell ref="H3:J3"/>
    <mergeCell ref="E4:G4"/>
    <mergeCell ref="H4:J4"/>
    <mergeCell ref="E5:G5"/>
    <mergeCell ref="H5:J5"/>
    <mergeCell ref="E9:G9"/>
    <mergeCell ref="E10:G10"/>
    <mergeCell ref="E11:G11"/>
    <mergeCell ref="E12:G12"/>
    <mergeCell ref="E13:G13"/>
    <mergeCell ref="E14:G14"/>
    <mergeCell ref="E6:G6"/>
    <mergeCell ref="H6:J6"/>
    <mergeCell ref="E7:G7"/>
    <mergeCell ref="H7:J7"/>
    <mergeCell ref="E8:G8"/>
    <mergeCell ref="H8:J8"/>
    <mergeCell ref="H9:J9"/>
    <mergeCell ref="C17:D17"/>
    <mergeCell ref="C18:D18"/>
    <mergeCell ref="C19:D19"/>
    <mergeCell ref="C20:D20"/>
    <mergeCell ref="C21:D21"/>
    <mergeCell ref="C22:D22"/>
    <mergeCell ref="C23:D23"/>
    <mergeCell ref="C24:D24"/>
    <mergeCell ref="E18:L18"/>
    <mergeCell ref="E19:L19"/>
    <mergeCell ref="E20:L20"/>
    <mergeCell ref="E21:L21"/>
    <mergeCell ref="E22:L22"/>
    <mergeCell ref="E23:L23"/>
    <mergeCell ref="E24:L24"/>
    <mergeCell ref="H10:J10"/>
    <mergeCell ref="H11:J11"/>
    <mergeCell ref="H12:J12"/>
    <mergeCell ref="H13:J13"/>
    <mergeCell ref="H14:J14"/>
    <mergeCell ref="C16:L16"/>
    <mergeCell ref="E17:L17"/>
  </mergeCells>
  <conditionalFormatting sqref="E2:J2 E3:G14 C16:L16">
    <cfRule type="expression" dxfId="7" priority="1">
      <formula>indirect("static")</formula>
    </cfRule>
  </conditionalFormatting>
  <conditionalFormatting sqref="H3:J14 C17:L24">
    <cfRule type="expression" dxfId="10" priority="2">
      <formula>indirect("free")</formula>
    </cfRule>
  </conditionalFormatting>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29"/>
    <col customWidth="1" min="2" max="2" width="9.43"/>
    <col customWidth="1" min="3" max="3" width="13.57"/>
    <col customWidth="1" min="4" max="4" width="16.57"/>
    <col customWidth="1" min="5" max="5" width="9.71"/>
    <col customWidth="1" min="6" max="6" width="1.29"/>
    <col customWidth="1" min="7" max="7" width="15.29"/>
    <col customWidth="1" min="8" max="8" width="14.86"/>
    <col customWidth="1" min="9" max="9" width="16.57"/>
    <col customWidth="1" min="10" max="10" width="9.71"/>
    <col customWidth="1" min="11" max="11" width="1.29"/>
    <col customWidth="1" min="12" max="12" width="28.71"/>
    <col customWidth="1" min="13" max="13" width="21.57"/>
    <col customWidth="1" min="14" max="14" width="16.57"/>
    <col customWidth="1" min="15" max="15" width="9.71"/>
    <col customWidth="1" min="16" max="16" width="1.29"/>
    <col customWidth="1" min="17" max="17" width="17.86"/>
    <col customWidth="1" min="18" max="18" width="18.57"/>
    <col customWidth="1" min="19" max="19" width="16.57"/>
    <col customWidth="1" min="20" max="20" width="9.71"/>
    <col customWidth="1" min="21" max="21" width="1.29"/>
  </cols>
  <sheetData>
    <row r="1">
      <c r="A1" s="103"/>
      <c r="B1" s="103"/>
      <c r="C1" s="103"/>
      <c r="D1" s="103"/>
      <c r="E1" s="103"/>
      <c r="F1" s="103"/>
      <c r="G1" s="103"/>
      <c r="H1" s="103"/>
      <c r="I1" s="103"/>
      <c r="J1" s="103"/>
      <c r="K1" s="103"/>
      <c r="L1" s="103"/>
      <c r="M1" s="103"/>
      <c r="N1" s="103"/>
      <c r="O1" s="103"/>
      <c r="P1" s="103"/>
      <c r="Q1" s="103"/>
      <c r="R1" s="103"/>
      <c r="S1" s="103"/>
      <c r="T1" s="103"/>
    </row>
    <row r="2">
      <c r="A2" s="103"/>
      <c r="B2" s="51" t="s">
        <v>627</v>
      </c>
      <c r="C2" s="3"/>
      <c r="D2" s="3"/>
      <c r="E2" s="198" t="s">
        <v>18</v>
      </c>
      <c r="F2" s="103"/>
      <c r="G2" s="51" t="s">
        <v>628</v>
      </c>
      <c r="H2" s="3"/>
      <c r="I2" s="4"/>
      <c r="J2" s="198" t="s">
        <v>18</v>
      </c>
      <c r="K2" s="103"/>
      <c r="L2" s="51" t="s">
        <v>629</v>
      </c>
      <c r="M2" s="3"/>
      <c r="N2" s="4"/>
      <c r="O2" s="198" t="s">
        <v>18</v>
      </c>
      <c r="P2" s="103"/>
      <c r="Q2" s="51" t="s">
        <v>630</v>
      </c>
      <c r="R2" s="3"/>
      <c r="S2" s="4"/>
      <c r="T2" s="198" t="s">
        <v>18</v>
      </c>
    </row>
    <row r="3">
      <c r="A3" s="103"/>
      <c r="B3" s="57" t="s">
        <v>631</v>
      </c>
      <c r="C3" s="11"/>
      <c r="D3" s="55">
        <v>0.0</v>
      </c>
      <c r="E3" s="391"/>
      <c r="F3" s="103"/>
      <c r="G3" s="57" t="s">
        <v>632</v>
      </c>
      <c r="H3" s="11"/>
      <c r="I3" s="55" t="b">
        <v>0</v>
      </c>
      <c r="J3" s="391"/>
      <c r="K3" s="103"/>
      <c r="L3" s="57" t="s">
        <v>633</v>
      </c>
      <c r="M3" s="11"/>
      <c r="N3" s="262" t="b">
        <v>0</v>
      </c>
      <c r="O3" s="391"/>
      <c r="P3" s="103"/>
      <c r="Q3" s="57" t="s">
        <v>634</v>
      </c>
      <c r="R3" s="11"/>
      <c r="S3" s="55">
        <v>0.0</v>
      </c>
      <c r="T3" s="391"/>
    </row>
    <row r="4">
      <c r="A4" s="103"/>
      <c r="B4" s="103"/>
      <c r="C4" s="103"/>
      <c r="D4" s="103"/>
      <c r="E4" s="103"/>
      <c r="F4" s="103"/>
      <c r="G4" s="149" t="s">
        <v>635</v>
      </c>
      <c r="H4" s="4"/>
      <c r="I4" s="63">
        <v>0.0</v>
      </c>
      <c r="J4" s="392"/>
      <c r="K4" s="103"/>
      <c r="L4" s="149" t="s">
        <v>636</v>
      </c>
      <c r="M4" s="4"/>
      <c r="N4" s="257" t="b">
        <v>0</v>
      </c>
      <c r="O4" s="137"/>
      <c r="P4" s="103"/>
      <c r="Q4" s="149" t="s">
        <v>637</v>
      </c>
      <c r="R4" s="4"/>
      <c r="S4" s="257" t="b">
        <v>0</v>
      </c>
      <c r="T4" s="137"/>
    </row>
    <row r="5">
      <c r="A5" s="103"/>
      <c r="B5" s="51" t="s">
        <v>638</v>
      </c>
      <c r="C5" s="3"/>
      <c r="D5" s="4"/>
      <c r="E5" s="198" t="s">
        <v>18</v>
      </c>
      <c r="F5" s="103"/>
      <c r="G5" s="57" t="s">
        <v>639</v>
      </c>
      <c r="H5" s="11"/>
      <c r="I5" s="262" t="b">
        <v>0</v>
      </c>
      <c r="J5" s="133"/>
      <c r="K5" s="103"/>
      <c r="L5" s="57" t="s">
        <v>640</v>
      </c>
      <c r="M5" s="11"/>
      <c r="N5" s="262" t="b">
        <v>0</v>
      </c>
      <c r="O5" s="133"/>
      <c r="P5" s="103"/>
      <c r="Q5" s="57" t="s">
        <v>641</v>
      </c>
      <c r="R5" s="11"/>
      <c r="S5" s="262" t="b">
        <v>0</v>
      </c>
      <c r="T5" s="133"/>
    </row>
    <row r="6">
      <c r="A6" s="103"/>
      <c r="B6" s="57" t="s">
        <v>642</v>
      </c>
      <c r="C6" s="11"/>
      <c r="D6" s="391" t="b">
        <v>0</v>
      </c>
      <c r="E6" s="391"/>
      <c r="F6" s="103"/>
      <c r="G6" s="149" t="s">
        <v>643</v>
      </c>
      <c r="H6" s="4"/>
      <c r="I6" s="257" t="b">
        <v>0</v>
      </c>
      <c r="J6" s="137"/>
      <c r="K6" s="103"/>
      <c r="L6" s="149" t="s">
        <v>644</v>
      </c>
      <c r="M6" s="4"/>
      <c r="N6" s="257" t="b">
        <v>0</v>
      </c>
      <c r="O6" s="137"/>
      <c r="P6" s="103"/>
      <c r="Q6" s="103"/>
      <c r="R6" s="103"/>
      <c r="S6" s="103"/>
      <c r="T6" s="103"/>
    </row>
    <row r="7">
      <c r="A7" s="103"/>
      <c r="B7" s="149" t="s">
        <v>645</v>
      </c>
      <c r="C7" s="4"/>
      <c r="D7" s="257" t="b">
        <v>0</v>
      </c>
      <c r="E7" s="137"/>
      <c r="F7" s="103"/>
      <c r="G7" s="57" t="s">
        <v>646</v>
      </c>
      <c r="H7" s="11"/>
      <c r="I7" s="262" t="b">
        <v>0</v>
      </c>
      <c r="J7" s="133"/>
      <c r="K7" s="103"/>
      <c r="L7" s="103"/>
      <c r="M7" s="103"/>
      <c r="N7" s="103"/>
      <c r="O7" s="103"/>
      <c r="P7" s="103"/>
      <c r="Q7" s="51" t="s">
        <v>647</v>
      </c>
      <c r="R7" s="3"/>
      <c r="S7" s="4"/>
      <c r="T7" s="198" t="s">
        <v>18</v>
      </c>
    </row>
    <row r="8">
      <c r="A8" s="103"/>
      <c r="B8" s="57" t="s">
        <v>648</v>
      </c>
      <c r="C8" s="11"/>
      <c r="D8" s="262" t="b">
        <v>0</v>
      </c>
      <c r="E8" s="133"/>
      <c r="F8" s="103"/>
      <c r="G8" s="149" t="s">
        <v>649</v>
      </c>
      <c r="H8" s="4"/>
      <c r="I8" s="63" t="b">
        <v>0</v>
      </c>
      <c r="J8" s="137"/>
      <c r="K8" s="103"/>
      <c r="L8" s="51" t="s">
        <v>650</v>
      </c>
      <c r="M8" s="3"/>
      <c r="N8" s="4"/>
      <c r="O8" s="198" t="s">
        <v>18</v>
      </c>
      <c r="P8" s="103"/>
      <c r="Q8" s="57" t="s">
        <v>651</v>
      </c>
      <c r="R8" s="11"/>
      <c r="S8" s="262" t="b">
        <v>0</v>
      </c>
      <c r="T8" s="393"/>
    </row>
    <row r="9">
      <c r="A9" s="103"/>
      <c r="B9" s="149" t="s">
        <v>652</v>
      </c>
      <c r="C9" s="4"/>
      <c r="D9" s="63" t="s">
        <v>653</v>
      </c>
      <c r="E9" s="394"/>
      <c r="F9" s="103"/>
      <c r="G9" s="103"/>
      <c r="H9" s="103"/>
      <c r="I9" s="103"/>
      <c r="J9" s="103"/>
      <c r="K9" s="103"/>
      <c r="L9" s="57" t="s">
        <v>392</v>
      </c>
      <c r="M9" s="11"/>
      <c r="N9" s="262" t="b">
        <v>0</v>
      </c>
      <c r="O9" s="391"/>
      <c r="P9" s="103"/>
      <c r="Q9" s="103"/>
      <c r="R9" s="103"/>
      <c r="S9" s="103"/>
      <c r="T9" s="103"/>
    </row>
    <row r="10">
      <c r="A10" s="103"/>
      <c r="B10" s="57" t="s">
        <v>654</v>
      </c>
      <c r="C10" s="11"/>
      <c r="D10" s="262" t="b">
        <v>0</v>
      </c>
      <c r="E10" s="133"/>
      <c r="F10" s="103"/>
      <c r="G10" s="51" t="s">
        <v>655</v>
      </c>
      <c r="H10" s="3"/>
      <c r="I10" s="4"/>
      <c r="J10" s="198" t="s">
        <v>18</v>
      </c>
      <c r="K10" s="103"/>
      <c r="L10" s="149" t="s">
        <v>656</v>
      </c>
      <c r="M10" s="4"/>
      <c r="N10" s="63">
        <v>0.0</v>
      </c>
      <c r="O10" s="137"/>
      <c r="P10" s="103"/>
      <c r="Q10" s="103"/>
      <c r="R10" s="103"/>
      <c r="S10" s="103"/>
      <c r="T10" s="103"/>
    </row>
    <row r="11">
      <c r="A11" s="103"/>
      <c r="B11" s="149" t="s">
        <v>657</v>
      </c>
      <c r="C11" s="4"/>
      <c r="D11" s="257" t="b">
        <v>0</v>
      </c>
      <c r="E11" s="137"/>
      <c r="F11" s="103"/>
      <c r="G11" s="57" t="s">
        <v>658</v>
      </c>
      <c r="H11" s="11"/>
      <c r="I11" s="55" t="b">
        <v>0</v>
      </c>
      <c r="J11" s="391"/>
      <c r="K11" s="103"/>
      <c r="L11" s="57" t="s">
        <v>659</v>
      </c>
      <c r="M11" s="11"/>
      <c r="N11" s="262" t="b">
        <v>0</v>
      </c>
      <c r="O11" s="133"/>
      <c r="P11" s="103"/>
      <c r="Q11" s="103"/>
      <c r="R11" s="103"/>
      <c r="S11" s="103"/>
      <c r="T11" s="103"/>
    </row>
    <row r="12">
      <c r="A12" s="103"/>
      <c r="B12" s="103"/>
      <c r="C12" s="103"/>
      <c r="D12" s="103"/>
      <c r="E12" s="103"/>
      <c r="F12" s="103"/>
      <c r="G12" s="149" t="s">
        <v>660</v>
      </c>
      <c r="H12" s="4"/>
      <c r="I12" s="257" t="b">
        <v>0</v>
      </c>
      <c r="J12" s="137"/>
      <c r="K12" s="103"/>
      <c r="L12" s="149" t="s">
        <v>359</v>
      </c>
      <c r="M12" s="4"/>
      <c r="N12" s="257" t="b">
        <v>0</v>
      </c>
      <c r="O12" s="394"/>
      <c r="P12" s="103"/>
      <c r="Q12" s="103"/>
      <c r="R12" s="103"/>
      <c r="S12" s="103"/>
      <c r="T12" s="103"/>
    </row>
    <row r="13">
      <c r="A13" s="103"/>
      <c r="B13" s="51" t="s">
        <v>661</v>
      </c>
      <c r="C13" s="3"/>
      <c r="D13" s="4"/>
      <c r="E13" s="198" t="s">
        <v>18</v>
      </c>
      <c r="F13" s="103"/>
      <c r="G13" s="57" t="s">
        <v>662</v>
      </c>
      <c r="H13" s="11"/>
      <c r="I13" s="262" t="b">
        <v>0</v>
      </c>
      <c r="J13" s="133"/>
      <c r="K13" s="103"/>
      <c r="L13" s="57" t="s">
        <v>663</v>
      </c>
      <c r="M13" s="11"/>
      <c r="N13" s="262" t="b">
        <v>0</v>
      </c>
      <c r="O13" s="133"/>
      <c r="P13" s="103"/>
      <c r="Q13" s="103"/>
      <c r="R13" s="103"/>
      <c r="S13" s="103"/>
      <c r="T13" s="103"/>
    </row>
    <row r="14">
      <c r="A14" s="103"/>
      <c r="B14" s="57" t="s">
        <v>664</v>
      </c>
      <c r="C14" s="11"/>
      <c r="D14" s="262" t="b">
        <v>0</v>
      </c>
      <c r="E14" s="393"/>
      <c r="F14" s="103"/>
      <c r="G14" s="149" t="s">
        <v>665</v>
      </c>
      <c r="H14" s="4"/>
      <c r="I14" s="63" t="b">
        <v>0</v>
      </c>
      <c r="J14" s="137"/>
      <c r="K14" s="103"/>
      <c r="L14" s="103"/>
      <c r="M14" s="103"/>
      <c r="N14" s="103"/>
      <c r="O14" s="103"/>
      <c r="P14" s="103"/>
      <c r="Q14" s="103"/>
      <c r="R14" s="103"/>
      <c r="S14" s="103"/>
      <c r="T14" s="103"/>
    </row>
    <row r="15">
      <c r="A15" s="103"/>
      <c r="B15" s="149" t="s">
        <v>666</v>
      </c>
      <c r="C15" s="4"/>
      <c r="D15" s="257" t="b">
        <v>0</v>
      </c>
      <c r="E15" s="395"/>
      <c r="F15" s="103"/>
      <c r="G15" s="57" t="s">
        <v>667</v>
      </c>
      <c r="H15" s="11"/>
      <c r="I15" s="55" t="b">
        <v>0</v>
      </c>
      <c r="J15" s="133"/>
      <c r="K15" s="103"/>
      <c r="L15" s="51" t="s">
        <v>668</v>
      </c>
      <c r="M15" s="3"/>
      <c r="N15" s="4"/>
      <c r="O15" s="198" t="s">
        <v>18</v>
      </c>
      <c r="P15" s="103"/>
      <c r="Q15" s="103"/>
      <c r="R15" s="103"/>
      <c r="S15" s="103"/>
      <c r="T15" s="103"/>
    </row>
    <row r="16">
      <c r="A16" s="103"/>
      <c r="B16" s="103"/>
      <c r="C16" s="103"/>
      <c r="D16" s="103"/>
      <c r="E16" s="103"/>
      <c r="F16" s="103"/>
      <c r="G16" s="103"/>
      <c r="H16" s="103"/>
      <c r="I16" s="103"/>
      <c r="J16" s="103"/>
      <c r="K16" s="103"/>
      <c r="L16" s="57" t="s">
        <v>383</v>
      </c>
      <c r="M16" s="11"/>
      <c r="N16" s="262" t="b">
        <v>0</v>
      </c>
      <c r="O16" s="391"/>
      <c r="P16" s="103"/>
      <c r="Q16" s="103"/>
      <c r="R16" s="103"/>
      <c r="S16" s="103"/>
      <c r="T16" s="103"/>
    </row>
    <row r="17">
      <c r="A17" s="103"/>
      <c r="B17" s="51" t="s">
        <v>669</v>
      </c>
      <c r="C17" s="3"/>
      <c r="D17" s="4"/>
      <c r="E17" s="198" t="s">
        <v>18</v>
      </c>
      <c r="F17" s="103"/>
      <c r="G17" s="51" t="s">
        <v>670</v>
      </c>
      <c r="H17" s="3"/>
      <c r="I17" s="3"/>
      <c r="J17" s="198" t="s">
        <v>18</v>
      </c>
      <c r="K17" s="103"/>
      <c r="L17" s="149" t="s">
        <v>671</v>
      </c>
      <c r="M17" s="4"/>
      <c r="N17" s="392" t="b">
        <v>0</v>
      </c>
      <c r="O17" s="137"/>
      <c r="P17" s="103"/>
      <c r="Q17" s="103"/>
      <c r="R17" s="103"/>
      <c r="S17" s="103"/>
      <c r="T17" s="103"/>
    </row>
    <row r="18">
      <c r="A18" s="103"/>
      <c r="B18" s="57" t="s">
        <v>672</v>
      </c>
      <c r="C18" s="11"/>
      <c r="D18" s="55">
        <v>0.0</v>
      </c>
      <c r="E18" s="391"/>
      <c r="F18" s="103"/>
      <c r="G18" s="57" t="s">
        <v>500</v>
      </c>
      <c r="H18" s="11"/>
      <c r="I18" s="391" t="b">
        <v>0</v>
      </c>
      <c r="J18" s="391"/>
      <c r="K18" s="103"/>
      <c r="L18" s="57" t="s">
        <v>673</v>
      </c>
      <c r="M18" s="11"/>
      <c r="N18" s="262" t="b">
        <v>0</v>
      </c>
      <c r="O18" s="133"/>
      <c r="P18" s="103"/>
      <c r="Q18" s="103"/>
      <c r="R18" s="103"/>
      <c r="S18" s="103"/>
      <c r="T18" s="103"/>
    </row>
    <row r="19">
      <c r="A19" s="103"/>
      <c r="B19" s="149" t="s">
        <v>674</v>
      </c>
      <c r="C19" s="4"/>
      <c r="D19" s="392" t="b">
        <v>0</v>
      </c>
      <c r="E19" s="137"/>
      <c r="F19" s="103"/>
      <c r="G19" s="103"/>
      <c r="H19" s="103"/>
      <c r="I19" s="103"/>
      <c r="J19" s="103"/>
      <c r="K19" s="103"/>
      <c r="L19" s="149" t="s">
        <v>675</v>
      </c>
      <c r="M19" s="4"/>
      <c r="N19" s="257" t="b">
        <v>0</v>
      </c>
      <c r="O19" s="394"/>
      <c r="P19" s="103"/>
      <c r="Q19" s="103"/>
      <c r="R19" s="103"/>
      <c r="S19" s="103"/>
      <c r="T19" s="103"/>
    </row>
    <row r="20">
      <c r="A20" s="103"/>
      <c r="B20" s="57" t="s">
        <v>676</v>
      </c>
      <c r="C20" s="11"/>
      <c r="D20" s="262" t="b">
        <v>0</v>
      </c>
      <c r="E20" s="133"/>
      <c r="F20" s="103"/>
      <c r="G20" s="51" t="s">
        <v>677</v>
      </c>
      <c r="H20" s="3"/>
      <c r="I20" s="3"/>
      <c r="J20" s="198" t="s">
        <v>18</v>
      </c>
      <c r="K20" s="103"/>
      <c r="L20" s="57" t="s">
        <v>678</v>
      </c>
      <c r="M20" s="11"/>
      <c r="N20" s="262" t="b">
        <v>0</v>
      </c>
      <c r="O20" s="133"/>
      <c r="P20" s="103"/>
      <c r="Q20" s="103"/>
      <c r="R20" s="103"/>
      <c r="S20" s="103"/>
      <c r="T20" s="103"/>
    </row>
    <row r="21">
      <c r="A21" s="103"/>
      <c r="B21" s="149" t="s">
        <v>679</v>
      </c>
      <c r="C21" s="4"/>
      <c r="D21" s="257" t="b">
        <v>0</v>
      </c>
      <c r="E21" s="394"/>
      <c r="F21" s="103"/>
      <c r="G21" s="57" t="s">
        <v>680</v>
      </c>
      <c r="H21" s="11"/>
      <c r="I21" s="55">
        <v>0.0</v>
      </c>
      <c r="J21" s="391"/>
      <c r="K21" s="103"/>
      <c r="L21" s="149" t="s">
        <v>681</v>
      </c>
      <c r="M21" s="4"/>
      <c r="N21" s="257" t="b">
        <v>0</v>
      </c>
      <c r="O21" s="137"/>
      <c r="P21" s="103"/>
      <c r="Q21" s="103"/>
      <c r="R21" s="103"/>
      <c r="S21" s="103"/>
      <c r="T21" s="103"/>
    </row>
    <row r="22">
      <c r="A22" s="103"/>
      <c r="B22" s="57" t="s">
        <v>682</v>
      </c>
      <c r="C22" s="11"/>
      <c r="D22" s="262" t="b">
        <v>0</v>
      </c>
      <c r="E22" s="133"/>
      <c r="F22" s="103"/>
      <c r="G22" s="149" t="s">
        <v>683</v>
      </c>
      <c r="H22" s="4"/>
      <c r="I22" s="63" t="b">
        <v>0</v>
      </c>
      <c r="J22" s="392"/>
      <c r="K22" s="103"/>
      <c r="L22" s="57" t="s">
        <v>684</v>
      </c>
      <c r="M22" s="11"/>
      <c r="N22" s="262" t="b">
        <v>0</v>
      </c>
      <c r="O22" s="133"/>
      <c r="P22" s="103"/>
      <c r="Q22" s="103"/>
      <c r="R22" s="103"/>
      <c r="S22" s="103"/>
      <c r="T22" s="103"/>
    </row>
    <row r="23">
      <c r="A23" s="103"/>
      <c r="B23" s="149" t="s">
        <v>685</v>
      </c>
      <c r="C23" s="4"/>
      <c r="D23" s="257" t="b">
        <v>0</v>
      </c>
      <c r="E23" s="137"/>
      <c r="F23" s="103"/>
      <c r="G23" s="57" t="s">
        <v>686</v>
      </c>
      <c r="H23" s="11"/>
      <c r="I23" s="55" t="b">
        <v>0</v>
      </c>
      <c r="J23" s="391"/>
      <c r="K23" s="103"/>
      <c r="L23" s="149" t="s">
        <v>687</v>
      </c>
      <c r="M23" s="4"/>
      <c r="N23" s="396" t="b">
        <v>0</v>
      </c>
      <c r="O23" s="137"/>
      <c r="P23" s="103"/>
      <c r="Q23" s="103"/>
      <c r="R23" s="103"/>
      <c r="S23" s="103"/>
      <c r="T23" s="103"/>
    </row>
    <row r="24">
      <c r="A24" s="103"/>
      <c r="B24" s="57" t="s">
        <v>688</v>
      </c>
      <c r="C24" s="11"/>
      <c r="D24" s="262" t="b">
        <v>0</v>
      </c>
      <c r="E24" s="133"/>
      <c r="F24" s="103"/>
      <c r="G24" s="103"/>
      <c r="H24" s="103"/>
      <c r="I24" s="103"/>
      <c r="J24" s="103"/>
      <c r="K24" s="103"/>
      <c r="L24" s="57" t="s">
        <v>592</v>
      </c>
      <c r="M24" s="11"/>
      <c r="N24" s="262" t="b">
        <v>0</v>
      </c>
      <c r="O24" s="133"/>
      <c r="P24" s="103"/>
      <c r="Q24" s="103"/>
      <c r="R24" s="103"/>
      <c r="S24" s="103"/>
      <c r="T24" s="103"/>
    </row>
    <row r="25">
      <c r="A25" s="103"/>
      <c r="B25" s="149" t="s">
        <v>689</v>
      </c>
      <c r="C25" s="4"/>
      <c r="D25" s="392" t="b">
        <v>0</v>
      </c>
      <c r="E25" s="137"/>
      <c r="F25" s="103"/>
      <c r="G25" s="51" t="s">
        <v>690</v>
      </c>
      <c r="H25" s="3"/>
      <c r="I25" s="4"/>
      <c r="J25" s="198" t="s">
        <v>18</v>
      </c>
      <c r="K25" s="103"/>
      <c r="L25" s="149" t="s">
        <v>398</v>
      </c>
      <c r="M25" s="4"/>
      <c r="N25" s="257" t="b">
        <v>0</v>
      </c>
      <c r="O25" s="137"/>
      <c r="P25" s="103"/>
      <c r="Q25" s="103"/>
      <c r="R25" s="103"/>
      <c r="S25" s="103"/>
      <c r="T25" s="103"/>
    </row>
    <row r="26">
      <c r="A26" s="103"/>
      <c r="B26" s="103"/>
      <c r="C26" s="103"/>
      <c r="D26" s="103"/>
      <c r="E26" s="103"/>
      <c r="F26" s="103"/>
      <c r="G26" s="57" t="s">
        <v>691</v>
      </c>
      <c r="H26" s="11"/>
      <c r="I26" s="262" t="b">
        <v>0</v>
      </c>
      <c r="J26" s="391"/>
      <c r="K26" s="103"/>
      <c r="L26" s="57" t="s">
        <v>692</v>
      </c>
      <c r="M26" s="11"/>
      <c r="N26" s="262" t="b">
        <v>0</v>
      </c>
      <c r="O26" s="133"/>
      <c r="P26" s="103"/>
      <c r="Q26" s="103"/>
      <c r="R26" s="103"/>
      <c r="S26" s="103"/>
      <c r="T26" s="103"/>
    </row>
    <row r="27">
      <c r="A27" s="103"/>
      <c r="B27" s="51" t="s">
        <v>693</v>
      </c>
      <c r="C27" s="3"/>
      <c r="D27" s="4"/>
      <c r="E27" s="198" t="s">
        <v>18</v>
      </c>
      <c r="F27" s="103"/>
      <c r="G27" s="149" t="s">
        <v>694</v>
      </c>
      <c r="H27" s="4"/>
      <c r="I27" s="392" t="b">
        <v>0</v>
      </c>
      <c r="J27" s="137"/>
      <c r="K27" s="103"/>
      <c r="L27" s="149" t="s">
        <v>695</v>
      </c>
      <c r="M27" s="4"/>
      <c r="N27" s="396" t="b">
        <v>0</v>
      </c>
      <c r="O27" s="137"/>
      <c r="P27" s="103"/>
      <c r="Q27" s="103"/>
      <c r="R27" s="103"/>
      <c r="S27" s="103"/>
      <c r="T27" s="103"/>
    </row>
    <row r="28">
      <c r="A28" s="103"/>
      <c r="B28" s="57" t="s">
        <v>696</v>
      </c>
      <c r="C28" s="11"/>
      <c r="D28" s="262" t="b">
        <v>0</v>
      </c>
      <c r="E28" s="391"/>
      <c r="F28" s="103"/>
      <c r="G28" s="57" t="s">
        <v>697</v>
      </c>
      <c r="H28" s="11"/>
      <c r="I28" s="262" t="b">
        <v>0</v>
      </c>
      <c r="J28" s="133"/>
      <c r="K28" s="103"/>
      <c r="L28" s="57" t="s">
        <v>698</v>
      </c>
      <c r="M28" s="11"/>
      <c r="N28" s="55">
        <v>0.0</v>
      </c>
      <c r="O28" s="133"/>
      <c r="P28" s="103"/>
      <c r="Q28" s="103"/>
      <c r="R28" s="103"/>
      <c r="S28" s="103"/>
      <c r="T28" s="103"/>
    </row>
    <row r="29">
      <c r="A29" s="103"/>
      <c r="B29" s="149" t="s">
        <v>699</v>
      </c>
      <c r="C29" s="4"/>
      <c r="D29" s="257" t="b">
        <v>0</v>
      </c>
      <c r="E29" s="137"/>
      <c r="F29" s="103"/>
      <c r="G29" s="149" t="s">
        <v>700</v>
      </c>
      <c r="H29" s="4"/>
      <c r="I29" s="257" t="b">
        <v>0</v>
      </c>
      <c r="J29" s="394"/>
      <c r="K29" s="103"/>
      <c r="L29" s="103"/>
      <c r="M29" s="103"/>
      <c r="N29" s="103"/>
      <c r="O29" s="103"/>
      <c r="P29" s="103"/>
      <c r="Q29" s="103"/>
      <c r="R29" s="103"/>
      <c r="S29" s="103"/>
      <c r="T29" s="103"/>
    </row>
    <row r="30">
      <c r="A30" s="103"/>
      <c r="B30" s="397" t="s">
        <v>701</v>
      </c>
      <c r="C30" s="11"/>
      <c r="D30" s="262" t="b">
        <v>0</v>
      </c>
      <c r="E30" s="133"/>
      <c r="F30" s="103"/>
      <c r="G30" s="57" t="s">
        <v>702</v>
      </c>
      <c r="H30" s="11"/>
      <c r="I30" s="262" t="b">
        <v>0</v>
      </c>
      <c r="J30" s="133"/>
      <c r="K30" s="103"/>
      <c r="L30" s="51" t="s">
        <v>703</v>
      </c>
      <c r="M30" s="3"/>
      <c r="N30" s="4"/>
      <c r="O30" s="198" t="s">
        <v>18</v>
      </c>
      <c r="P30" s="103"/>
      <c r="Q30" s="103"/>
      <c r="R30" s="103"/>
      <c r="S30" s="103"/>
      <c r="T30" s="103"/>
    </row>
    <row r="31">
      <c r="A31" s="103"/>
      <c r="B31" s="103"/>
      <c r="C31" s="103"/>
      <c r="D31" s="103"/>
      <c r="E31" s="103"/>
      <c r="F31" s="103"/>
      <c r="G31" s="149" t="s">
        <v>704</v>
      </c>
      <c r="H31" s="4"/>
      <c r="I31" s="257" t="b">
        <v>0</v>
      </c>
      <c r="J31" s="137"/>
      <c r="K31" s="103"/>
      <c r="L31" s="57" t="s">
        <v>705</v>
      </c>
      <c r="M31" s="11"/>
      <c r="N31" s="55">
        <v>0.0</v>
      </c>
      <c r="O31" s="391"/>
      <c r="P31" s="103"/>
      <c r="Q31" s="103"/>
      <c r="R31" s="103"/>
      <c r="S31" s="103"/>
      <c r="T31" s="103"/>
    </row>
    <row r="32">
      <c r="A32" s="103"/>
      <c r="B32" s="51" t="s">
        <v>706</v>
      </c>
      <c r="C32" s="3"/>
      <c r="D32" s="4"/>
      <c r="E32" s="198" t="s">
        <v>18</v>
      </c>
      <c r="F32" s="103"/>
      <c r="G32" s="103"/>
      <c r="H32" s="103"/>
      <c r="I32" s="103"/>
      <c r="J32" s="103"/>
      <c r="K32" s="103"/>
      <c r="L32" s="149" t="s">
        <v>707</v>
      </c>
      <c r="M32" s="4"/>
      <c r="N32" s="63" t="b">
        <v>0</v>
      </c>
      <c r="O32" s="137"/>
      <c r="P32" s="103"/>
      <c r="Q32" s="103"/>
      <c r="R32" s="103"/>
      <c r="S32" s="103"/>
      <c r="T32" s="103"/>
    </row>
    <row r="33">
      <c r="A33" s="103"/>
      <c r="B33" s="57" t="s">
        <v>708</v>
      </c>
      <c r="C33" s="11"/>
      <c r="D33" s="262" t="b">
        <v>0</v>
      </c>
      <c r="E33" s="391"/>
      <c r="F33" s="103"/>
      <c r="G33" s="51" t="s">
        <v>709</v>
      </c>
      <c r="H33" s="3"/>
      <c r="I33" s="4"/>
      <c r="J33" s="198" t="s">
        <v>18</v>
      </c>
      <c r="K33" s="103"/>
      <c r="L33" s="57" t="s">
        <v>710</v>
      </c>
      <c r="M33" s="11"/>
      <c r="N33" s="262" t="b">
        <v>0</v>
      </c>
      <c r="O33" s="133"/>
      <c r="P33" s="103"/>
      <c r="Q33" s="103"/>
      <c r="R33" s="103"/>
      <c r="S33" s="103"/>
      <c r="T33" s="103"/>
    </row>
    <row r="34">
      <c r="A34" s="103"/>
      <c r="B34" s="149" t="s">
        <v>711</v>
      </c>
      <c r="C34" s="4"/>
      <c r="D34" s="257" t="b">
        <v>0</v>
      </c>
      <c r="E34" s="392"/>
      <c r="F34" s="103"/>
      <c r="G34" s="57" t="s">
        <v>712</v>
      </c>
      <c r="H34" s="11"/>
      <c r="I34" s="262" t="b">
        <v>0</v>
      </c>
      <c r="J34" s="393"/>
      <c r="K34" s="103"/>
      <c r="L34" s="149" t="s">
        <v>713</v>
      </c>
      <c r="M34" s="4"/>
      <c r="N34" s="63" t="b">
        <v>0</v>
      </c>
      <c r="O34" s="137"/>
      <c r="P34" s="103"/>
      <c r="Q34" s="103"/>
      <c r="R34" s="103"/>
      <c r="S34" s="103"/>
      <c r="T34" s="103"/>
    </row>
    <row r="35">
      <c r="A35" s="103"/>
      <c r="B35" s="57" t="s">
        <v>714</v>
      </c>
      <c r="C35" s="11"/>
      <c r="D35" s="262" t="b">
        <v>0</v>
      </c>
      <c r="E35" s="133"/>
      <c r="F35" s="103"/>
      <c r="G35" s="103"/>
      <c r="H35" s="103"/>
      <c r="I35" s="103"/>
      <c r="J35" s="103"/>
      <c r="K35" s="103"/>
      <c r="L35" s="57" t="s">
        <v>715</v>
      </c>
      <c r="M35" s="11"/>
      <c r="N35" s="55">
        <v>0.0</v>
      </c>
      <c r="O35" s="133"/>
      <c r="P35" s="103"/>
      <c r="Q35" s="103"/>
      <c r="R35" s="103"/>
      <c r="S35" s="103"/>
      <c r="T35" s="103"/>
    </row>
    <row r="36">
      <c r="A36" s="103"/>
      <c r="B36" s="103"/>
      <c r="C36" s="103"/>
      <c r="D36" s="103"/>
      <c r="E36" s="103"/>
      <c r="F36" s="103"/>
      <c r="G36" s="51" t="s">
        <v>716</v>
      </c>
      <c r="H36" s="3"/>
      <c r="I36" s="4"/>
      <c r="J36" s="198" t="s">
        <v>18</v>
      </c>
      <c r="K36" s="103"/>
      <c r="L36" s="149" t="s">
        <v>717</v>
      </c>
      <c r="M36" s="4"/>
      <c r="N36" s="63" t="b">
        <v>0</v>
      </c>
      <c r="O36" s="137"/>
      <c r="P36" s="103"/>
      <c r="Q36" s="103"/>
      <c r="R36" s="103"/>
      <c r="S36" s="103"/>
      <c r="T36" s="103"/>
    </row>
    <row r="37">
      <c r="A37" s="103"/>
      <c r="B37" s="51" t="s">
        <v>718</v>
      </c>
      <c r="C37" s="3"/>
      <c r="D37" s="4"/>
      <c r="E37" s="198" t="s">
        <v>18</v>
      </c>
      <c r="F37" s="103"/>
      <c r="G37" s="57" t="s">
        <v>719</v>
      </c>
      <c r="H37" s="11"/>
      <c r="I37" s="55">
        <v>0.0</v>
      </c>
      <c r="J37" s="391"/>
      <c r="K37" s="103"/>
      <c r="L37" s="57" t="s">
        <v>720</v>
      </c>
      <c r="M37" s="11"/>
      <c r="N37" s="55" t="b">
        <v>0</v>
      </c>
      <c r="O37" s="133"/>
      <c r="P37" s="103"/>
      <c r="Q37" s="103"/>
      <c r="R37" s="103"/>
      <c r="S37" s="103"/>
      <c r="T37" s="103"/>
    </row>
    <row r="38">
      <c r="A38" s="103"/>
      <c r="B38" s="57" t="s">
        <v>721</v>
      </c>
      <c r="C38" s="11"/>
      <c r="D38" s="262" t="b">
        <v>0</v>
      </c>
      <c r="E38" s="391"/>
      <c r="F38" s="103"/>
      <c r="G38" s="149" t="s">
        <v>722</v>
      </c>
      <c r="H38" s="4"/>
      <c r="I38" s="63">
        <v>0.0</v>
      </c>
      <c r="J38" s="137"/>
      <c r="K38" s="103"/>
      <c r="L38" s="149" t="s">
        <v>723</v>
      </c>
      <c r="M38" s="4"/>
      <c r="N38" s="63" t="b">
        <v>0</v>
      </c>
      <c r="O38" s="137"/>
      <c r="P38" s="103"/>
      <c r="Q38" s="103"/>
      <c r="R38" s="103"/>
      <c r="S38" s="103"/>
      <c r="T38" s="103"/>
    </row>
    <row r="39">
      <c r="A39" s="103"/>
      <c r="B39" s="149" t="s">
        <v>724</v>
      </c>
      <c r="C39" s="4"/>
      <c r="D39" s="257" t="b">
        <v>0</v>
      </c>
      <c r="E39" s="137"/>
      <c r="F39" s="103"/>
      <c r="G39" s="57" t="s">
        <v>725</v>
      </c>
      <c r="H39" s="11"/>
      <c r="I39" s="262" t="b">
        <v>0</v>
      </c>
      <c r="J39" s="133"/>
      <c r="K39" s="103"/>
      <c r="L39" s="103"/>
      <c r="M39" s="103"/>
      <c r="N39" s="103"/>
      <c r="O39" s="103"/>
      <c r="P39" s="103"/>
      <c r="Q39" s="103"/>
      <c r="R39" s="103"/>
      <c r="S39" s="103"/>
      <c r="T39" s="103"/>
    </row>
    <row r="40">
      <c r="A40" s="103"/>
      <c r="B40" s="57" t="s">
        <v>726</v>
      </c>
      <c r="C40" s="11"/>
      <c r="D40" s="262" t="b">
        <v>0</v>
      </c>
      <c r="E40" s="133"/>
      <c r="F40" s="103"/>
      <c r="G40" s="149" t="s">
        <v>727</v>
      </c>
      <c r="H40" s="4"/>
      <c r="I40" s="257" t="b">
        <v>0</v>
      </c>
      <c r="J40" s="137"/>
      <c r="K40" s="103"/>
      <c r="L40" s="51" t="s">
        <v>728</v>
      </c>
      <c r="M40" s="3"/>
      <c r="N40" s="3"/>
      <c r="O40" s="198" t="s">
        <v>18</v>
      </c>
      <c r="P40" s="103"/>
      <c r="Q40" s="103"/>
      <c r="R40" s="103"/>
      <c r="S40" s="103"/>
      <c r="T40" s="103"/>
    </row>
    <row r="41">
      <c r="A41" s="103"/>
      <c r="B41" s="103"/>
      <c r="C41" s="103"/>
      <c r="D41" s="103"/>
      <c r="E41" s="103"/>
      <c r="F41" s="103"/>
      <c r="G41" s="57" t="s">
        <v>729</v>
      </c>
      <c r="H41" s="11"/>
      <c r="I41" s="55" t="b">
        <v>0</v>
      </c>
      <c r="J41" s="133"/>
      <c r="K41" s="103"/>
      <c r="L41" s="57" t="s">
        <v>730</v>
      </c>
      <c r="M41" s="11"/>
      <c r="N41" s="391" t="b">
        <v>0</v>
      </c>
      <c r="O41" s="391"/>
      <c r="P41" s="103"/>
      <c r="Q41" s="103"/>
      <c r="R41" s="103"/>
      <c r="S41" s="103"/>
      <c r="T41" s="103"/>
    </row>
    <row r="42">
      <c r="G42" s="103"/>
      <c r="H42" s="103"/>
      <c r="I42" s="103"/>
      <c r="J42" s="103"/>
      <c r="L42" s="103"/>
      <c r="M42" s="103"/>
      <c r="N42" s="103"/>
      <c r="O42" s="103"/>
    </row>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sheetData>
  <mergeCells count="109">
    <mergeCell ref="G13:H13"/>
    <mergeCell ref="G14:H14"/>
    <mergeCell ref="B10:C10"/>
    <mergeCell ref="G10:I10"/>
    <mergeCell ref="B11:C11"/>
    <mergeCell ref="G11:H11"/>
    <mergeCell ref="G12:H12"/>
    <mergeCell ref="B13:D13"/>
    <mergeCell ref="B14:C14"/>
    <mergeCell ref="L17:M17"/>
    <mergeCell ref="L18:M18"/>
    <mergeCell ref="B15:C15"/>
    <mergeCell ref="G15:H15"/>
    <mergeCell ref="L15:N15"/>
    <mergeCell ref="B17:D17"/>
    <mergeCell ref="G17:I17"/>
    <mergeCell ref="B18:C18"/>
    <mergeCell ref="G18:H18"/>
    <mergeCell ref="B19:C19"/>
    <mergeCell ref="L19:M19"/>
    <mergeCell ref="B20:C20"/>
    <mergeCell ref="G20:I20"/>
    <mergeCell ref="L20:M20"/>
    <mergeCell ref="G21:H21"/>
    <mergeCell ref="L21:M21"/>
    <mergeCell ref="B21:C21"/>
    <mergeCell ref="B22:C22"/>
    <mergeCell ref="G22:H22"/>
    <mergeCell ref="L22:M22"/>
    <mergeCell ref="B23:C23"/>
    <mergeCell ref="G23:H23"/>
    <mergeCell ref="B24:C24"/>
    <mergeCell ref="B25:C25"/>
    <mergeCell ref="G25:I25"/>
    <mergeCell ref="L25:M25"/>
    <mergeCell ref="G26:H26"/>
    <mergeCell ref="L26:M26"/>
    <mergeCell ref="G27:H27"/>
    <mergeCell ref="L27:M27"/>
    <mergeCell ref="B27:D27"/>
    <mergeCell ref="B28:C28"/>
    <mergeCell ref="G28:H28"/>
    <mergeCell ref="L28:M28"/>
    <mergeCell ref="B29:C29"/>
    <mergeCell ref="G29:H29"/>
    <mergeCell ref="B30:C30"/>
    <mergeCell ref="L32:M32"/>
    <mergeCell ref="L33:M33"/>
    <mergeCell ref="L35:M35"/>
    <mergeCell ref="L36:M36"/>
    <mergeCell ref="L37:M37"/>
    <mergeCell ref="L38:M38"/>
    <mergeCell ref="L40:N40"/>
    <mergeCell ref="L41:M41"/>
    <mergeCell ref="G33:I33"/>
    <mergeCell ref="G34:H34"/>
    <mergeCell ref="G36:I36"/>
    <mergeCell ref="G37:H37"/>
    <mergeCell ref="G38:H38"/>
    <mergeCell ref="G39:H39"/>
    <mergeCell ref="G40:H40"/>
    <mergeCell ref="G41:H41"/>
    <mergeCell ref="B34:C34"/>
    <mergeCell ref="B35:C35"/>
    <mergeCell ref="B37:D37"/>
    <mergeCell ref="B38:C38"/>
    <mergeCell ref="B39:C39"/>
    <mergeCell ref="B40:C40"/>
    <mergeCell ref="G30:H30"/>
    <mergeCell ref="L30:N30"/>
    <mergeCell ref="G31:H31"/>
    <mergeCell ref="L31:M31"/>
    <mergeCell ref="B32:D32"/>
    <mergeCell ref="B33:C33"/>
    <mergeCell ref="L34:M34"/>
    <mergeCell ref="B2:D2"/>
    <mergeCell ref="G2:I2"/>
    <mergeCell ref="L2:N2"/>
    <mergeCell ref="Q2:S2"/>
    <mergeCell ref="B3:C3"/>
    <mergeCell ref="L3:M3"/>
    <mergeCell ref="Q3:R3"/>
    <mergeCell ref="G3:H3"/>
    <mergeCell ref="G4:H4"/>
    <mergeCell ref="L4:M4"/>
    <mergeCell ref="Q4:R4"/>
    <mergeCell ref="G5:H5"/>
    <mergeCell ref="L5:M5"/>
    <mergeCell ref="Q5:R5"/>
    <mergeCell ref="G7:H7"/>
    <mergeCell ref="G8:H8"/>
    <mergeCell ref="Q7:S7"/>
    <mergeCell ref="Q8:R8"/>
    <mergeCell ref="L8:N8"/>
    <mergeCell ref="L9:M9"/>
    <mergeCell ref="L10:M10"/>
    <mergeCell ref="L11:M11"/>
    <mergeCell ref="L12:M12"/>
    <mergeCell ref="L13:M13"/>
    <mergeCell ref="L16:M16"/>
    <mergeCell ref="B5:D5"/>
    <mergeCell ref="B6:C6"/>
    <mergeCell ref="G6:H6"/>
    <mergeCell ref="L6:M6"/>
    <mergeCell ref="B7:C7"/>
    <mergeCell ref="B8:C8"/>
    <mergeCell ref="B9:C9"/>
    <mergeCell ref="L23:M23"/>
    <mergeCell ref="L24:M24"/>
  </mergeCells>
  <conditionalFormatting sqref="G3:H3">
    <cfRule type="expression" dxfId="7" priority="1">
      <formula>indirect("static")</formula>
    </cfRule>
  </conditionalFormatting>
  <conditionalFormatting sqref="I3 B3:E3 B6:E6 D7:E11 B10:C10 D14:E15 B15:C15 D18:E25 D28:E30 D33:E35 D38:E40 I3:J8 G7:H8 I11:J15 I18:J18 I21:J23 G23:H23 I26:J31 I34:J34 I37:J41 N3:O6 N9:O13 N16:O28 L18:M18 N31:O38 L41:O41 S3:T5 S8:T8">
    <cfRule type="expression" dxfId="8" priority="2">
      <formula>indirect("free")</formula>
    </cfRule>
  </conditionalFormatting>
  <conditionalFormatting sqref="B2:E2 B5:E5 B7:C7 B8:C8 B9:C9 B11:C11 B13:E13 B14:C14 B17:E17 B18:C25 B27:E27 B28:C30 B32:E32 B33:C35 B37:E37 B38:C40 G2:J2 G4:H6 G10:J10 G11:H15 G17:J17 G18:H18 G20:J20 G21:H22 G25:J25 G26:H31 G33:J33 G34:H34 G36:J36 G37:H41 L2:O2 L3:M6 L8:O8 L9:M13 L15:O15 L16:M17 L19:M28 L30:O30 L31:M38 L40:O40 Q2:T2 Q3:R5 Q7:T7 Q8:R8">
    <cfRule type="expression" dxfId="7" priority="3">
      <formula>indirect("static")</formula>
    </cfRule>
  </conditionalFormatting>
  <dataValidations>
    <dataValidation type="list" allowBlank="1" sqref="G7">
      <formula1>"Holy Aura,Holy Aura vs Evil"</formula1>
    </dataValidation>
    <dataValidation type="list" allowBlank="1" sqref="B10">
      <formula1>"Bless,Bless (vs Fear)"</formula1>
    </dataValidation>
    <dataValidation type="list" allowBlank="1" sqref="G8">
      <formula1>"Holy Sword,Holy Sword vs Evil"</formula1>
    </dataValidation>
    <dataValidation type="list" allowBlank="1" sqref="B3">
      <formula1>"Aid,Aid vs Fear"</formula1>
    </dataValidation>
    <dataValidation type="list" allowBlank="1" sqref="B6">
      <formula1>"Bane,Bane vs Fear"</formula1>
    </dataValidation>
    <dataValidation type="list" allowBlank="1" sqref="G23">
      <formula1>"Lullaby,Lullaby vs Sleep"</formula1>
    </dataValidation>
    <dataValidation type="list" allowBlank="1" sqref="L18">
      <formula1>"Shield of Law,Shield of Law vs Chaos"</formula1>
    </dataValidation>
    <dataValidation type="list" allowBlank="1" sqref="B15">
      <formula1>"Cloak of Chaos,Cloak of Chaos vs Law"</formula1>
    </dataValidation>
    <dataValidation type="list" allowBlank="1" sqref="L41">
      <formula1>"Unholy Aura,Unholy Aura vs Good"</formula1>
    </dataValidation>
    <dataValidation type="list" allowBlank="1" sqref="D9">
      <formula1>"Off,STR Drain,DEX Drain,CON Drain,INT Drain,WIS Drain,CHA Drain,Check Drain,Inaction"</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29"/>
    <col customWidth="1" min="2" max="2" width="11.14"/>
    <col customWidth="1" min="3" max="3" width="20.0"/>
    <col customWidth="1" min="4" max="4" width="18.14"/>
    <col customWidth="1" min="5" max="5" width="10.43"/>
    <col customWidth="1" min="6" max="6" width="13.57"/>
    <col customWidth="1" min="7" max="7" width="17.29"/>
    <col customWidth="1" min="8" max="8" width="1.29"/>
    <col customWidth="1" min="9" max="9" width="11.14"/>
    <col customWidth="1" min="10" max="10" width="20.0"/>
    <col customWidth="1" min="11" max="11" width="18.14"/>
    <col customWidth="1" min="12" max="12" width="10.43"/>
    <col customWidth="1" min="13" max="13" width="13.57"/>
    <col customWidth="1" min="14" max="14" width="17.29"/>
    <col customWidth="1" min="15" max="15" width="1.29"/>
    <col customWidth="1" min="18" max="18" width="1.29"/>
  </cols>
  <sheetData>
    <row r="2">
      <c r="B2" s="6" t="s">
        <v>9</v>
      </c>
      <c r="C2" s="3"/>
      <c r="D2" s="3"/>
      <c r="E2" s="3"/>
      <c r="F2" s="3"/>
      <c r="G2" s="4"/>
      <c r="I2" s="398" t="s">
        <v>731</v>
      </c>
      <c r="J2" s="349"/>
      <c r="K2" s="349"/>
      <c r="L2" s="349"/>
      <c r="M2" s="349"/>
      <c r="N2" s="154"/>
      <c r="P2" s="149" t="s">
        <v>732</v>
      </c>
      <c r="Q2" s="4"/>
    </row>
    <row r="3">
      <c r="B3" s="55" t="s">
        <v>11</v>
      </c>
      <c r="C3" s="55" t="s">
        <v>12</v>
      </c>
      <c r="D3" s="55" t="s">
        <v>13</v>
      </c>
      <c r="E3" s="55" t="s">
        <v>14</v>
      </c>
      <c r="F3" s="55" t="s">
        <v>15</v>
      </c>
      <c r="G3" s="55" t="s">
        <v>16</v>
      </c>
      <c r="I3" s="399" t="s">
        <v>733</v>
      </c>
      <c r="J3" s="10"/>
      <c r="K3" s="10"/>
      <c r="L3" s="400" t="s">
        <v>734</v>
      </c>
      <c r="M3" s="10"/>
      <c r="N3" s="11"/>
      <c r="P3" s="57">
        <v>14.0</v>
      </c>
      <c r="Q3" s="11"/>
    </row>
    <row r="4">
      <c r="B4" s="396" t="s">
        <v>19</v>
      </c>
      <c r="C4" s="63">
        <v>1.0</v>
      </c>
      <c r="D4" s="396">
        <v>4.0</v>
      </c>
      <c r="E4" s="401"/>
      <c r="F4" s="396" t="b">
        <v>0</v>
      </c>
      <c r="G4" s="402">
        <f>if(F4, sum(indirect("'custom dice roller'!l"&amp;'Custom Dice Roller'!$K$2):indirect("'custom dice roller'!l"&amp;'Custom Dice Roller'!$K$2+(C4-1)))+E4,G4)</f>
        <v>2</v>
      </c>
      <c r="I4" s="403" t="str">
        <f>IFERROR(__xludf.DUMMYFUNCTION("filter('Custom Dice Roller'!$B$15:$G$217,regexmatch('Custom Dice Roller'!$B$15:$B$217,L3))"),"Call Lightning (damage)")</f>
        <v>Call Lightning (damage)</v>
      </c>
      <c r="J4" s="221"/>
      <c r="K4" s="222"/>
      <c r="L4" s="404">
        <f>IFERROR(__xludf.DUMMYFUNCTION("""COMPUTED_VALUE"""),14.0)</f>
        <v>14</v>
      </c>
      <c r="M4" s="405">
        <f>IFERROR(__xludf.DUMMYFUNCTION("""COMPUTED_VALUE"""),7.0)</f>
        <v>7</v>
      </c>
      <c r="N4" s="222"/>
      <c r="P4" s="60"/>
      <c r="Q4" s="60"/>
    </row>
    <row r="5">
      <c r="B5" s="406" t="s">
        <v>21</v>
      </c>
      <c r="C5" s="55">
        <v>1.0</v>
      </c>
      <c r="D5" s="406">
        <v>6.0</v>
      </c>
      <c r="E5" s="407"/>
      <c r="F5" s="406" t="b">
        <v>0</v>
      </c>
      <c r="G5" s="408">
        <f>if(F5, sum(indirect("'custom dice roller'!m"&amp;'Custom Dice Roller'!$K$2):indirect("'custom dice roller'!m"&amp;'Custom Dice Roller'!$K$2+(C5-1)))+E5,G5)</f>
        <v>0</v>
      </c>
      <c r="I5" s="409" t="str">
        <f>IFERROR(__xludf.DUMMYFUNCTION("""COMPUTED_VALUE"""),"Call Lightning (stormy damage)")</f>
        <v>Call Lightning (stormy damage)</v>
      </c>
      <c r="J5" s="10"/>
      <c r="K5" s="11"/>
      <c r="L5" s="410">
        <f>IFERROR(__xludf.DUMMYFUNCTION("""COMPUTED_VALUE"""),14.0)</f>
        <v>14</v>
      </c>
      <c r="M5" s="411">
        <f>IFERROR(__xludf.DUMMYFUNCTION("""COMPUTED_VALUE"""),9.0)</f>
        <v>9</v>
      </c>
      <c r="N5" s="11"/>
      <c r="P5" s="412" t="s">
        <v>735</v>
      </c>
      <c r="Q5" s="412" t="b">
        <v>0</v>
      </c>
    </row>
    <row r="6">
      <c r="B6" s="396" t="s">
        <v>23</v>
      </c>
      <c r="C6" s="63">
        <v>1.0</v>
      </c>
      <c r="D6" s="396">
        <v>8.0</v>
      </c>
      <c r="E6" s="401"/>
      <c r="F6" s="396" t="b">
        <v>0</v>
      </c>
      <c r="G6" s="402">
        <f>if(F6, sum(indirect("'custom dice roller'!n"&amp;'Custom Dice Roller'!$K$2):indirect("'custom dice roller'!n"&amp;'Custom Dice Roller'!$K$2+(C6-1)))+E6,G6)</f>
        <v>0</v>
      </c>
      <c r="I6" s="413" t="str">
        <f>IFERROR(__xludf.DUMMYFUNCTION("""COMPUTED_VALUE"""),"Chain Lightning (main bolt damage)")</f>
        <v>Chain Lightning (main bolt damage)</v>
      </c>
      <c r="J6" s="3"/>
      <c r="K6" s="4"/>
      <c r="L6" s="414">
        <f>IFERROR(__xludf.DUMMYFUNCTION("""COMPUTED_VALUE"""),14.0)</f>
        <v>14</v>
      </c>
      <c r="M6" s="415">
        <f>IFERROR(__xludf.DUMMYFUNCTION("""COMPUTED_VALUE"""),38.0)</f>
        <v>38</v>
      </c>
      <c r="N6" s="4"/>
    </row>
    <row r="7">
      <c r="B7" s="406" t="s">
        <v>25</v>
      </c>
      <c r="C7" s="55">
        <v>1.0</v>
      </c>
      <c r="D7" s="406">
        <v>10.0</v>
      </c>
      <c r="E7" s="407"/>
      <c r="F7" s="406" t="b">
        <v>0</v>
      </c>
      <c r="G7" s="408">
        <f>if(F7, sum(indirect("'custom dice roller'!o"&amp;'Custom Dice Roller'!$K$2):indirect("'custom dice roller'!o"&amp;'Custom Dice Roller'!$K$2+(C7-1)))+E7,G7)</f>
        <v>0</v>
      </c>
      <c r="I7" s="409" t="str">
        <f>IFERROR(__xludf.DUMMYFUNCTION("""COMPUTED_VALUE"""),"Chain Lightning (secondary bolt damage)")</f>
        <v>Chain Lightning (secondary bolt damage)</v>
      </c>
      <c r="J7" s="10"/>
      <c r="K7" s="11"/>
      <c r="L7" s="410">
        <f>IFERROR(__xludf.DUMMYFUNCTION("""COMPUTED_VALUE"""),14.0)</f>
        <v>14</v>
      </c>
      <c r="M7" s="411">
        <f>IFERROR(__xludf.DUMMYFUNCTION("""COMPUTED_VALUE"""),19.0)</f>
        <v>19</v>
      </c>
      <c r="N7" s="11"/>
    </row>
    <row r="8">
      <c r="B8" s="396" t="s">
        <v>27</v>
      </c>
      <c r="C8" s="63">
        <v>1.0</v>
      </c>
      <c r="D8" s="396">
        <v>12.0</v>
      </c>
      <c r="E8" s="401"/>
      <c r="F8" s="396" t="b">
        <v>0</v>
      </c>
      <c r="G8" s="402">
        <f>if(F8, sum(indirect("'custom dice roller'!p"&amp;'Custom Dice Roller'!$K$2):indirect("'custom dice roller'!p"&amp;'Custom Dice Roller'!$K$2+(C8-1)))+E8,G8)</f>
        <v>0</v>
      </c>
      <c r="I8" s="413" t="str">
        <f>IFERROR(__xludf.DUMMYFUNCTION("""COMPUTED_VALUE"""),"Lightning Bolt (electricity damage)")</f>
        <v>Lightning Bolt (electricity damage)</v>
      </c>
      <c r="J8" s="3"/>
      <c r="K8" s="4"/>
      <c r="L8" s="414">
        <f>IFERROR(__xludf.DUMMYFUNCTION("""COMPUTED_VALUE"""),14.0)</f>
        <v>14</v>
      </c>
      <c r="M8" s="415">
        <f>IFERROR(__xludf.DUMMYFUNCTION("""COMPUTED_VALUE"""),26.0)</f>
        <v>26</v>
      </c>
      <c r="N8" s="4"/>
    </row>
    <row r="9">
      <c r="B9" s="406" t="s">
        <v>29</v>
      </c>
      <c r="C9" s="55">
        <v>1.0</v>
      </c>
      <c r="D9" s="406">
        <v>20.0</v>
      </c>
      <c r="E9" s="407"/>
      <c r="F9" s="406" t="b">
        <v>0</v>
      </c>
      <c r="G9" s="408">
        <f>if(F9, sum(indirect("'custom dice roller'!q"&amp;'Custom Dice Roller'!$K$2):indirect("'custom dice roller'!q"&amp;'Custom Dice Roller'!$K$2+(C9-1)))+E9,G9)</f>
        <v>141</v>
      </c>
      <c r="I9" s="409"/>
      <c r="J9" s="10"/>
      <c r="K9" s="11"/>
      <c r="L9" s="410"/>
      <c r="M9" s="411"/>
      <c r="N9" s="11"/>
    </row>
    <row r="10">
      <c r="B10" s="396" t="s">
        <v>31</v>
      </c>
      <c r="C10" s="63">
        <v>1.0</v>
      </c>
      <c r="D10" s="396">
        <v>100.0</v>
      </c>
      <c r="E10" s="401"/>
      <c r="F10" s="396" t="b">
        <v>0</v>
      </c>
      <c r="G10" s="402">
        <f>if(F10, sum(indirect("'custom dice roller'!r"&amp;'Custom Dice Roller'!$K$2):indirect("'custom dice roller'!r"&amp;'Custom Dice Roller'!$K$2+(C10-1)))+E10,G10)</f>
        <v>958</v>
      </c>
      <c r="I10" s="413"/>
      <c r="J10" s="3"/>
      <c r="K10" s="4"/>
      <c r="L10" s="414"/>
      <c r="M10" s="415"/>
      <c r="N10" s="4"/>
    </row>
    <row r="11">
      <c r="B11" s="406" t="s">
        <v>33</v>
      </c>
      <c r="C11" s="55">
        <v>1.0</v>
      </c>
      <c r="D11" s="391"/>
      <c r="E11" s="407"/>
      <c r="F11" s="391" t="b">
        <v>0</v>
      </c>
      <c r="G11" s="408">
        <f>if(F11, sum(indirect("'custom dice roller'!s"&amp;'Custom Dice Roller'!$K$2):indirect("'custom dice roller'!s"&amp;'Custom Dice Roller'!$K$2+(C11-1)))+E11,G11)</f>
        <v>0</v>
      </c>
      <c r="I11" s="409"/>
      <c r="J11" s="10"/>
      <c r="K11" s="11"/>
      <c r="L11" s="410"/>
      <c r="M11" s="411"/>
      <c r="N11" s="11"/>
    </row>
    <row r="12">
      <c r="I12" s="413"/>
      <c r="J12" s="3"/>
      <c r="K12" s="4"/>
      <c r="L12" s="414"/>
      <c r="M12" s="415"/>
      <c r="N12" s="4"/>
    </row>
    <row r="13">
      <c r="I13" s="409"/>
      <c r="J13" s="10"/>
      <c r="K13" s="11"/>
      <c r="L13" s="410"/>
      <c r="M13" s="411"/>
      <c r="N13" s="11"/>
    </row>
    <row r="14">
      <c r="I14" s="413"/>
      <c r="J14" s="3"/>
      <c r="K14" s="4"/>
      <c r="L14" s="414"/>
      <c r="M14" s="415"/>
      <c r="N14" s="4"/>
    </row>
    <row r="15">
      <c r="I15" s="409"/>
      <c r="J15" s="10"/>
      <c r="K15" s="11"/>
      <c r="L15" s="410"/>
      <c r="M15" s="411"/>
      <c r="N15" s="11"/>
    </row>
    <row r="16">
      <c r="I16" s="413"/>
      <c r="J16" s="3"/>
      <c r="K16" s="4"/>
      <c r="L16" s="414"/>
      <c r="M16" s="415"/>
      <c r="N16" s="4"/>
    </row>
    <row r="17">
      <c r="I17" s="409"/>
      <c r="J17" s="10"/>
      <c r="K17" s="11"/>
      <c r="L17" s="410"/>
      <c r="M17" s="411"/>
      <c r="N17" s="11"/>
    </row>
    <row r="18">
      <c r="I18" s="413"/>
      <c r="J18" s="3"/>
      <c r="K18" s="4"/>
      <c r="L18" s="414"/>
      <c r="M18" s="415"/>
      <c r="N18" s="4"/>
    </row>
    <row r="19">
      <c r="I19" s="409"/>
      <c r="J19" s="10"/>
      <c r="K19" s="11"/>
      <c r="L19" s="410"/>
      <c r="M19" s="411"/>
      <c r="N19" s="11"/>
    </row>
    <row r="20">
      <c r="I20" s="413"/>
      <c r="J20" s="3"/>
      <c r="K20" s="4"/>
      <c r="L20" s="414"/>
      <c r="M20" s="415"/>
      <c r="N20" s="4"/>
    </row>
    <row r="21">
      <c r="I21" s="409"/>
      <c r="J21" s="10"/>
      <c r="K21" s="11"/>
      <c r="L21" s="410"/>
      <c r="M21" s="411"/>
      <c r="N21" s="11"/>
    </row>
    <row r="22">
      <c r="I22" s="413"/>
      <c r="J22" s="3"/>
      <c r="K22" s="4"/>
      <c r="L22" s="414"/>
      <c r="M22" s="415"/>
      <c r="N22" s="4"/>
    </row>
    <row r="23">
      <c r="I23" s="409"/>
      <c r="J23" s="10"/>
      <c r="K23" s="11"/>
      <c r="L23" s="410"/>
      <c r="M23" s="411"/>
      <c r="N23" s="11"/>
    </row>
    <row r="24">
      <c r="I24" s="413"/>
      <c r="J24" s="3"/>
      <c r="K24" s="4"/>
      <c r="L24" s="414"/>
      <c r="M24" s="415"/>
      <c r="N24" s="4"/>
    </row>
    <row r="25">
      <c r="I25" s="409"/>
      <c r="J25" s="10"/>
      <c r="K25" s="11"/>
      <c r="L25" s="410"/>
      <c r="M25" s="411"/>
      <c r="N25" s="11"/>
    </row>
    <row r="26">
      <c r="I26" s="413"/>
      <c r="J26" s="3"/>
      <c r="K26" s="4"/>
      <c r="L26" s="414"/>
      <c r="M26" s="415"/>
      <c r="N26" s="4"/>
    </row>
    <row r="27">
      <c r="I27" s="409"/>
      <c r="J27" s="10"/>
      <c r="K27" s="11"/>
      <c r="L27" s="410"/>
      <c r="M27" s="411"/>
      <c r="N27" s="11"/>
    </row>
    <row r="28">
      <c r="I28" s="413"/>
      <c r="J28" s="3"/>
      <c r="K28" s="4"/>
      <c r="L28" s="414"/>
      <c r="M28" s="415"/>
      <c r="N28" s="4"/>
    </row>
    <row r="29">
      <c r="I29" s="409"/>
      <c r="J29" s="10"/>
      <c r="K29" s="11"/>
      <c r="L29" s="410"/>
      <c r="M29" s="411"/>
      <c r="N29" s="11"/>
    </row>
    <row r="30">
      <c r="I30" s="413"/>
      <c r="J30" s="3"/>
      <c r="K30" s="4"/>
      <c r="L30" s="414"/>
      <c r="M30" s="415"/>
      <c r="N30" s="4"/>
    </row>
    <row r="31">
      <c r="I31" s="409"/>
      <c r="J31" s="10"/>
      <c r="K31" s="11"/>
      <c r="L31" s="410"/>
      <c r="M31" s="411"/>
      <c r="N31" s="11"/>
    </row>
    <row r="32">
      <c r="I32" s="413"/>
      <c r="J32" s="3"/>
      <c r="K32" s="4"/>
      <c r="L32" s="414"/>
      <c r="M32" s="415"/>
      <c r="N32" s="4"/>
    </row>
    <row r="33">
      <c r="I33" s="409"/>
      <c r="J33" s="10"/>
      <c r="K33" s="11"/>
      <c r="L33" s="410"/>
      <c r="M33" s="411"/>
      <c r="N33" s="11"/>
    </row>
    <row r="34">
      <c r="I34" s="413"/>
      <c r="J34" s="3"/>
      <c r="K34" s="4"/>
      <c r="L34" s="414"/>
      <c r="M34" s="415"/>
      <c r="N34" s="4"/>
    </row>
    <row r="35">
      <c r="I35" s="409"/>
      <c r="J35" s="10"/>
      <c r="K35" s="11"/>
      <c r="L35" s="410"/>
      <c r="M35" s="411"/>
      <c r="N35" s="11"/>
    </row>
    <row r="36">
      <c r="I36" s="413"/>
      <c r="J36" s="3"/>
      <c r="K36" s="4"/>
      <c r="L36" s="414"/>
      <c r="M36" s="415"/>
      <c r="N36" s="4"/>
    </row>
    <row r="37">
      <c r="I37" s="409"/>
      <c r="J37" s="10"/>
      <c r="K37" s="11"/>
      <c r="L37" s="410"/>
      <c r="M37" s="411"/>
      <c r="N37" s="11"/>
    </row>
    <row r="38">
      <c r="I38" s="413"/>
      <c r="J38" s="3"/>
      <c r="K38" s="4"/>
      <c r="L38" s="414"/>
      <c r="M38" s="415"/>
      <c r="N38" s="4"/>
    </row>
    <row r="39">
      <c r="I39" s="409"/>
      <c r="J39" s="10"/>
      <c r="K39" s="11"/>
      <c r="L39" s="410"/>
      <c r="M39" s="411"/>
      <c r="N39" s="11"/>
    </row>
    <row r="40">
      <c r="I40" s="413"/>
      <c r="J40" s="3"/>
      <c r="K40" s="4"/>
      <c r="L40" s="414"/>
      <c r="M40" s="415"/>
      <c r="N40" s="4"/>
    </row>
    <row r="41">
      <c r="I41" s="409"/>
      <c r="J41" s="10"/>
      <c r="K41" s="11"/>
      <c r="L41" s="410"/>
      <c r="M41" s="411"/>
      <c r="N41" s="11"/>
    </row>
    <row r="42">
      <c r="I42" s="413"/>
      <c r="J42" s="3"/>
      <c r="K42" s="4"/>
      <c r="L42" s="414"/>
      <c r="M42" s="415"/>
      <c r="N42" s="4"/>
    </row>
    <row r="43">
      <c r="I43" s="409"/>
      <c r="J43" s="10"/>
      <c r="K43" s="11"/>
      <c r="L43" s="410"/>
      <c r="M43" s="411"/>
      <c r="N43" s="11"/>
    </row>
    <row r="44">
      <c r="I44" s="413"/>
      <c r="J44" s="3"/>
      <c r="K44" s="4"/>
      <c r="L44" s="414"/>
      <c r="M44" s="415"/>
      <c r="N44" s="4"/>
    </row>
    <row r="45">
      <c r="I45" s="409"/>
      <c r="J45" s="10"/>
      <c r="K45" s="11"/>
      <c r="L45" s="410"/>
      <c r="M45" s="411"/>
      <c r="N45" s="11"/>
    </row>
    <row r="46">
      <c r="I46" s="413"/>
      <c r="J46" s="3"/>
      <c r="K46" s="4"/>
      <c r="L46" s="414"/>
      <c r="M46" s="415"/>
      <c r="N46" s="4"/>
    </row>
    <row r="47">
      <c r="I47" s="409"/>
      <c r="J47" s="10"/>
      <c r="K47" s="11"/>
      <c r="L47" s="410"/>
      <c r="M47" s="411"/>
      <c r="N47" s="11"/>
    </row>
    <row r="48">
      <c r="I48" s="413"/>
      <c r="J48" s="3"/>
      <c r="K48" s="4"/>
      <c r="L48" s="414"/>
      <c r="M48" s="415"/>
      <c r="N48" s="4"/>
    </row>
    <row r="49">
      <c r="I49" s="409"/>
      <c r="J49" s="10"/>
      <c r="K49" s="11"/>
      <c r="L49" s="410"/>
      <c r="M49" s="411"/>
      <c r="N49" s="11"/>
    </row>
    <row r="50">
      <c r="I50" s="413"/>
      <c r="J50" s="3"/>
      <c r="K50" s="4"/>
      <c r="L50" s="414"/>
      <c r="M50" s="415"/>
      <c r="N50" s="4"/>
    </row>
    <row r="51">
      <c r="I51" s="409"/>
      <c r="J51" s="10"/>
      <c r="K51" s="11"/>
      <c r="L51" s="410"/>
      <c r="M51" s="411"/>
      <c r="N51" s="11"/>
    </row>
    <row r="52">
      <c r="I52" s="413"/>
      <c r="J52" s="3"/>
      <c r="K52" s="4"/>
      <c r="L52" s="414"/>
      <c r="M52" s="415"/>
      <c r="N52" s="4"/>
    </row>
    <row r="53">
      <c r="I53" s="409"/>
      <c r="J53" s="10"/>
      <c r="K53" s="11"/>
      <c r="L53" s="410"/>
      <c r="M53" s="411"/>
      <c r="N53" s="11"/>
    </row>
    <row r="54">
      <c r="I54" s="413"/>
      <c r="J54" s="3"/>
      <c r="K54" s="4"/>
      <c r="L54" s="414"/>
      <c r="M54" s="415"/>
      <c r="N54" s="4"/>
    </row>
    <row r="55">
      <c r="I55" s="409"/>
      <c r="J55" s="10"/>
      <c r="K55" s="11"/>
      <c r="L55" s="410"/>
      <c r="M55" s="411"/>
      <c r="N55" s="11"/>
    </row>
    <row r="56">
      <c r="I56" s="413"/>
      <c r="J56" s="3"/>
      <c r="K56" s="4"/>
      <c r="L56" s="414"/>
      <c r="M56" s="415"/>
      <c r="N56" s="4"/>
    </row>
    <row r="57">
      <c r="I57" s="409"/>
      <c r="J57" s="10"/>
      <c r="K57" s="11"/>
      <c r="L57" s="410"/>
      <c r="M57" s="411"/>
      <c r="N57" s="11"/>
    </row>
    <row r="58">
      <c r="I58" s="413"/>
      <c r="J58" s="3"/>
      <c r="K58" s="4"/>
      <c r="L58" s="414"/>
      <c r="M58" s="415"/>
      <c r="N58" s="4"/>
    </row>
    <row r="59">
      <c r="I59" s="409"/>
      <c r="J59" s="10"/>
      <c r="K59" s="11"/>
      <c r="L59" s="410"/>
      <c r="M59" s="411"/>
      <c r="N59" s="11"/>
    </row>
    <row r="60">
      <c r="I60" s="413"/>
      <c r="J60" s="3"/>
      <c r="K60" s="4"/>
      <c r="L60" s="414"/>
      <c r="M60" s="415"/>
      <c r="N60" s="4"/>
    </row>
    <row r="61">
      <c r="I61" s="409"/>
      <c r="J61" s="10"/>
      <c r="K61" s="11"/>
      <c r="L61" s="410"/>
      <c r="M61" s="411"/>
      <c r="N61" s="11"/>
    </row>
    <row r="62">
      <c r="I62" s="413"/>
      <c r="J62" s="3"/>
      <c r="K62" s="4"/>
      <c r="L62" s="414"/>
      <c r="M62" s="415"/>
      <c r="N62" s="4"/>
    </row>
    <row r="63">
      <c r="I63" s="409"/>
      <c r="J63" s="10"/>
      <c r="K63" s="11"/>
      <c r="L63" s="410"/>
      <c r="M63" s="411"/>
      <c r="N63" s="11"/>
    </row>
    <row r="64">
      <c r="I64" s="413"/>
      <c r="J64" s="3"/>
      <c r="K64" s="4"/>
      <c r="L64" s="414"/>
      <c r="M64" s="415"/>
      <c r="N64" s="4"/>
    </row>
    <row r="65">
      <c r="I65" s="409"/>
      <c r="J65" s="10"/>
      <c r="K65" s="11"/>
      <c r="L65" s="410"/>
      <c r="M65" s="411"/>
      <c r="N65" s="11"/>
    </row>
    <row r="66">
      <c r="I66" s="413"/>
      <c r="J66" s="3"/>
      <c r="K66" s="4"/>
      <c r="L66" s="414"/>
      <c r="M66" s="415"/>
      <c r="N66" s="4"/>
    </row>
    <row r="67">
      <c r="I67" s="409"/>
      <c r="J67" s="10"/>
      <c r="K67" s="11"/>
      <c r="L67" s="410"/>
      <c r="M67" s="411"/>
      <c r="N67" s="11"/>
    </row>
    <row r="68">
      <c r="I68" s="413"/>
      <c r="J68" s="3"/>
      <c r="K68" s="4"/>
      <c r="L68" s="414"/>
      <c r="M68" s="415"/>
      <c r="N68" s="4"/>
    </row>
    <row r="69">
      <c r="I69" s="409"/>
      <c r="J69" s="10"/>
      <c r="K69" s="11"/>
      <c r="L69" s="410"/>
      <c r="M69" s="411"/>
      <c r="N69" s="11"/>
    </row>
    <row r="70">
      <c r="I70" s="413"/>
      <c r="J70" s="3"/>
      <c r="K70" s="4"/>
      <c r="L70" s="414"/>
      <c r="M70" s="415"/>
      <c r="N70" s="4"/>
    </row>
    <row r="71">
      <c r="I71" s="409"/>
      <c r="J71" s="10"/>
      <c r="K71" s="11"/>
      <c r="L71" s="410"/>
      <c r="M71" s="411"/>
      <c r="N71" s="11"/>
    </row>
    <row r="72">
      <c r="I72" s="413"/>
      <c r="J72" s="3"/>
      <c r="K72" s="4"/>
      <c r="L72" s="414"/>
      <c r="M72" s="415"/>
      <c r="N72" s="4"/>
    </row>
    <row r="73">
      <c r="I73" s="409"/>
      <c r="J73" s="10"/>
      <c r="K73" s="11"/>
      <c r="L73" s="410"/>
      <c r="M73" s="411"/>
      <c r="N73" s="11"/>
    </row>
    <row r="74">
      <c r="I74" s="413"/>
      <c r="J74" s="3"/>
      <c r="K74" s="4"/>
      <c r="L74" s="414"/>
      <c r="M74" s="415"/>
      <c r="N74" s="4"/>
    </row>
    <row r="75">
      <c r="I75" s="409"/>
      <c r="J75" s="10"/>
      <c r="K75" s="11"/>
      <c r="L75" s="410"/>
      <c r="M75" s="411"/>
      <c r="N75" s="11"/>
    </row>
    <row r="76">
      <c r="I76" s="413"/>
      <c r="J76" s="3"/>
      <c r="K76" s="4"/>
      <c r="L76" s="414"/>
      <c r="M76" s="415"/>
      <c r="N76" s="4"/>
    </row>
    <row r="77">
      <c r="I77" s="409"/>
      <c r="J77" s="10"/>
      <c r="K77" s="11"/>
      <c r="L77" s="410"/>
      <c r="M77" s="411"/>
      <c r="N77" s="11"/>
    </row>
    <row r="78">
      <c r="I78" s="413"/>
      <c r="J78" s="3"/>
      <c r="K78" s="4"/>
      <c r="L78" s="414"/>
      <c r="M78" s="415"/>
      <c r="N78" s="4"/>
    </row>
    <row r="79">
      <c r="I79" s="409"/>
      <c r="J79" s="10"/>
      <c r="K79" s="11"/>
      <c r="L79" s="410"/>
      <c r="M79" s="411"/>
      <c r="N79" s="11"/>
    </row>
    <row r="80">
      <c r="I80" s="413"/>
      <c r="J80" s="3"/>
      <c r="K80" s="4"/>
      <c r="L80" s="414"/>
      <c r="M80" s="415"/>
      <c r="N80" s="4"/>
    </row>
    <row r="81">
      <c r="I81" s="409"/>
      <c r="J81" s="10"/>
      <c r="K81" s="11"/>
      <c r="L81" s="410"/>
      <c r="M81" s="411"/>
      <c r="N81" s="11"/>
    </row>
    <row r="82">
      <c r="I82" s="413"/>
      <c r="J82" s="3"/>
      <c r="K82" s="4"/>
      <c r="L82" s="414"/>
      <c r="M82" s="415"/>
      <c r="N82" s="4"/>
    </row>
    <row r="83">
      <c r="I83" s="409"/>
      <c r="J83" s="10"/>
      <c r="K83" s="11"/>
      <c r="L83" s="410"/>
      <c r="M83" s="411"/>
      <c r="N83" s="11"/>
    </row>
    <row r="84">
      <c r="I84" s="413"/>
      <c r="J84" s="3"/>
      <c r="K84" s="4"/>
      <c r="L84" s="414"/>
      <c r="M84" s="415"/>
      <c r="N84" s="4"/>
    </row>
    <row r="85">
      <c r="I85" s="409"/>
      <c r="J85" s="10"/>
      <c r="K85" s="11"/>
      <c r="L85" s="410"/>
      <c r="M85" s="411"/>
      <c r="N85" s="11"/>
    </row>
    <row r="86">
      <c r="I86" s="413"/>
      <c r="J86" s="3"/>
      <c r="K86" s="4"/>
      <c r="L86" s="414"/>
      <c r="M86" s="415"/>
      <c r="N86" s="4"/>
    </row>
    <row r="87">
      <c r="I87" s="409"/>
      <c r="J87" s="10"/>
      <c r="K87" s="11"/>
      <c r="L87" s="410"/>
      <c r="M87" s="411"/>
      <c r="N87" s="11"/>
    </row>
    <row r="88">
      <c r="I88" s="413"/>
      <c r="J88" s="3"/>
      <c r="K88" s="4"/>
      <c r="L88" s="414"/>
      <c r="M88" s="415"/>
      <c r="N88" s="4"/>
    </row>
    <row r="89">
      <c r="I89" s="409"/>
      <c r="J89" s="10"/>
      <c r="K89" s="11"/>
      <c r="L89" s="410"/>
      <c r="M89" s="411"/>
      <c r="N89" s="11"/>
    </row>
    <row r="90">
      <c r="I90" s="413"/>
      <c r="J90" s="3"/>
      <c r="K90" s="4"/>
      <c r="L90" s="414"/>
      <c r="M90" s="415"/>
      <c r="N90" s="4"/>
    </row>
    <row r="91">
      <c r="I91" s="409"/>
      <c r="J91" s="10"/>
      <c r="K91" s="11"/>
      <c r="L91" s="410"/>
      <c r="M91" s="411"/>
      <c r="N91" s="11"/>
    </row>
    <row r="92">
      <c r="I92" s="413"/>
      <c r="J92" s="3"/>
      <c r="K92" s="4"/>
      <c r="L92" s="414"/>
      <c r="M92" s="415"/>
      <c r="N92" s="4"/>
    </row>
    <row r="93">
      <c r="I93" s="409"/>
      <c r="J93" s="10"/>
      <c r="K93" s="11"/>
      <c r="L93" s="410"/>
      <c r="M93" s="411"/>
      <c r="N93" s="11"/>
    </row>
    <row r="94">
      <c r="I94" s="413"/>
      <c r="J94" s="3"/>
      <c r="K94" s="4"/>
      <c r="L94" s="414"/>
      <c r="M94" s="415"/>
      <c r="N94" s="4"/>
    </row>
    <row r="95">
      <c r="I95" s="409"/>
      <c r="J95" s="10"/>
      <c r="K95" s="11"/>
      <c r="L95" s="410"/>
      <c r="M95" s="411"/>
      <c r="N95" s="11"/>
    </row>
    <row r="96">
      <c r="I96" s="413"/>
      <c r="J96" s="3"/>
      <c r="K96" s="4"/>
      <c r="L96" s="414"/>
      <c r="M96" s="415"/>
      <c r="N96" s="4"/>
    </row>
    <row r="97">
      <c r="I97" s="409"/>
      <c r="J97" s="10"/>
      <c r="K97" s="11"/>
      <c r="L97" s="410"/>
      <c r="M97" s="411"/>
      <c r="N97" s="11"/>
    </row>
    <row r="98">
      <c r="I98" s="413"/>
      <c r="J98" s="3"/>
      <c r="K98" s="4"/>
      <c r="L98" s="414"/>
      <c r="M98" s="415"/>
      <c r="N98" s="4"/>
    </row>
    <row r="99">
      <c r="I99" s="409"/>
      <c r="J99" s="10"/>
      <c r="K99" s="11"/>
      <c r="L99" s="410"/>
      <c r="M99" s="411"/>
      <c r="N99" s="11"/>
    </row>
    <row r="100">
      <c r="I100" s="413"/>
      <c r="J100" s="3"/>
      <c r="K100" s="4"/>
      <c r="L100" s="414"/>
      <c r="M100" s="415"/>
      <c r="N100" s="4"/>
    </row>
    <row r="101">
      <c r="I101" s="409"/>
      <c r="J101" s="10"/>
      <c r="K101" s="11"/>
      <c r="L101" s="410"/>
      <c r="M101" s="411"/>
      <c r="N101" s="11"/>
    </row>
    <row r="102">
      <c r="I102" s="413"/>
      <c r="J102" s="3"/>
      <c r="K102" s="4"/>
      <c r="L102" s="414"/>
      <c r="M102" s="415"/>
      <c r="N102" s="4"/>
    </row>
    <row r="103">
      <c r="I103" s="409"/>
      <c r="J103" s="10"/>
      <c r="K103" s="11"/>
      <c r="L103" s="410"/>
      <c r="M103" s="411"/>
      <c r="N103" s="11"/>
    </row>
    <row r="104">
      <c r="I104" s="413"/>
      <c r="J104" s="3"/>
      <c r="K104" s="4"/>
      <c r="L104" s="414"/>
      <c r="M104" s="415"/>
      <c r="N104" s="4"/>
    </row>
    <row r="105">
      <c r="I105" s="409"/>
      <c r="J105" s="10"/>
      <c r="K105" s="11"/>
      <c r="L105" s="410"/>
      <c r="M105" s="411"/>
      <c r="N105" s="11"/>
    </row>
    <row r="106">
      <c r="I106" s="413"/>
      <c r="J106" s="3"/>
      <c r="K106" s="4"/>
      <c r="L106" s="414"/>
      <c r="M106" s="415"/>
      <c r="N106" s="4"/>
    </row>
    <row r="107">
      <c r="I107" s="409"/>
      <c r="J107" s="10"/>
      <c r="K107" s="11"/>
      <c r="L107" s="410"/>
      <c r="M107" s="411"/>
      <c r="N107" s="11"/>
    </row>
    <row r="108">
      <c r="I108" s="413"/>
      <c r="J108" s="3"/>
      <c r="K108" s="4"/>
      <c r="L108" s="414"/>
      <c r="M108" s="415"/>
      <c r="N108" s="4"/>
    </row>
    <row r="109">
      <c r="I109" s="409"/>
      <c r="J109" s="10"/>
      <c r="K109" s="11"/>
      <c r="L109" s="410"/>
      <c r="M109" s="411"/>
      <c r="N109" s="11"/>
    </row>
    <row r="110">
      <c r="I110" s="413"/>
      <c r="J110" s="3"/>
      <c r="K110" s="4"/>
      <c r="L110" s="414"/>
      <c r="M110" s="415"/>
      <c r="N110" s="4"/>
    </row>
    <row r="111">
      <c r="I111" s="409"/>
      <c r="J111" s="10"/>
      <c r="K111" s="11"/>
      <c r="L111" s="410"/>
      <c r="M111" s="411"/>
      <c r="N111" s="11"/>
    </row>
    <row r="112">
      <c r="I112" s="413"/>
      <c r="J112" s="3"/>
      <c r="K112" s="4"/>
      <c r="L112" s="414"/>
      <c r="M112" s="415"/>
      <c r="N112" s="4"/>
    </row>
    <row r="113">
      <c r="I113" s="409"/>
      <c r="J113" s="10"/>
      <c r="K113" s="11"/>
      <c r="L113" s="410"/>
      <c r="M113" s="411"/>
      <c r="N113" s="11"/>
    </row>
    <row r="114">
      <c r="I114" s="413"/>
      <c r="J114" s="3"/>
      <c r="K114" s="4"/>
      <c r="L114" s="414"/>
      <c r="M114" s="415"/>
      <c r="N114" s="4"/>
    </row>
    <row r="115">
      <c r="I115" s="409"/>
      <c r="J115" s="10"/>
      <c r="K115" s="11"/>
      <c r="L115" s="410"/>
      <c r="M115" s="411"/>
      <c r="N115" s="11"/>
    </row>
    <row r="116">
      <c r="I116" s="413"/>
      <c r="J116" s="3"/>
      <c r="K116" s="4"/>
      <c r="L116" s="414"/>
      <c r="M116" s="415"/>
      <c r="N116" s="4"/>
    </row>
    <row r="117">
      <c r="I117" s="409"/>
      <c r="J117" s="10"/>
      <c r="K117" s="11"/>
      <c r="L117" s="410"/>
      <c r="M117" s="411"/>
      <c r="N117" s="11"/>
    </row>
    <row r="118">
      <c r="I118" s="413"/>
      <c r="J118" s="3"/>
      <c r="K118" s="4"/>
      <c r="L118" s="414"/>
      <c r="M118" s="415"/>
      <c r="N118" s="4"/>
    </row>
    <row r="119">
      <c r="I119" s="409"/>
      <c r="J119" s="10"/>
      <c r="K119" s="11"/>
      <c r="L119" s="410"/>
      <c r="M119" s="411"/>
      <c r="N119" s="11"/>
    </row>
    <row r="120">
      <c r="I120" s="413"/>
      <c r="J120" s="3"/>
      <c r="K120" s="4"/>
      <c r="L120" s="414"/>
      <c r="M120" s="415"/>
      <c r="N120" s="4"/>
    </row>
    <row r="121">
      <c r="I121" s="409"/>
      <c r="J121" s="10"/>
      <c r="K121" s="11"/>
      <c r="L121" s="410"/>
      <c r="M121" s="411"/>
      <c r="N121" s="11"/>
    </row>
    <row r="122">
      <c r="I122" s="413"/>
      <c r="J122" s="3"/>
      <c r="K122" s="4"/>
      <c r="L122" s="414"/>
      <c r="M122" s="415"/>
      <c r="N122" s="4"/>
    </row>
    <row r="123">
      <c r="I123" s="409"/>
      <c r="J123" s="10"/>
      <c r="K123" s="11"/>
      <c r="L123" s="410"/>
      <c r="M123" s="411"/>
      <c r="N123" s="11"/>
    </row>
    <row r="124">
      <c r="I124" s="413"/>
      <c r="J124" s="3"/>
      <c r="K124" s="4"/>
      <c r="L124" s="414"/>
      <c r="M124" s="415"/>
      <c r="N124" s="4"/>
    </row>
    <row r="125">
      <c r="I125" s="409"/>
      <c r="J125" s="10"/>
      <c r="K125" s="11"/>
      <c r="L125" s="410"/>
      <c r="M125" s="411"/>
      <c r="N125" s="11"/>
    </row>
    <row r="126">
      <c r="I126" s="413"/>
      <c r="J126" s="3"/>
      <c r="K126" s="4"/>
      <c r="L126" s="414"/>
      <c r="M126" s="415"/>
      <c r="N126" s="4"/>
    </row>
    <row r="127">
      <c r="I127" s="409"/>
      <c r="J127" s="10"/>
      <c r="K127" s="11"/>
      <c r="L127" s="410"/>
      <c r="M127" s="411"/>
      <c r="N127" s="11"/>
    </row>
    <row r="128">
      <c r="I128" s="413"/>
      <c r="J128" s="3"/>
      <c r="K128" s="4"/>
      <c r="L128" s="414"/>
      <c r="M128" s="415"/>
      <c r="N128" s="4"/>
    </row>
    <row r="129">
      <c r="I129" s="409"/>
      <c r="J129" s="10"/>
      <c r="K129" s="11"/>
      <c r="L129" s="410"/>
      <c r="M129" s="411"/>
      <c r="N129" s="11"/>
    </row>
    <row r="130">
      <c r="I130" s="413"/>
      <c r="J130" s="3"/>
      <c r="K130" s="4"/>
      <c r="L130" s="414"/>
      <c r="M130" s="415"/>
      <c r="N130" s="4"/>
    </row>
    <row r="131">
      <c r="I131" s="409"/>
      <c r="J131" s="10"/>
      <c r="K131" s="11"/>
      <c r="L131" s="410"/>
      <c r="M131" s="411"/>
      <c r="N131" s="11"/>
    </row>
    <row r="132">
      <c r="I132" s="413"/>
      <c r="J132" s="3"/>
      <c r="K132" s="4"/>
      <c r="L132" s="414"/>
      <c r="M132" s="415"/>
      <c r="N132" s="4"/>
    </row>
    <row r="133">
      <c r="I133" s="409"/>
      <c r="J133" s="10"/>
      <c r="K133" s="11"/>
      <c r="L133" s="410"/>
      <c r="M133" s="411"/>
      <c r="N133" s="11"/>
    </row>
    <row r="134">
      <c r="I134" s="413"/>
      <c r="J134" s="3"/>
      <c r="K134" s="4"/>
      <c r="L134" s="414"/>
      <c r="M134" s="415"/>
      <c r="N134" s="4"/>
    </row>
    <row r="135">
      <c r="I135" s="409"/>
      <c r="J135" s="10"/>
      <c r="K135" s="11"/>
      <c r="L135" s="410"/>
      <c r="M135" s="411"/>
      <c r="N135" s="11"/>
    </row>
    <row r="136">
      <c r="I136" s="413"/>
      <c r="J136" s="3"/>
      <c r="K136" s="4"/>
      <c r="L136" s="414"/>
      <c r="M136" s="415"/>
      <c r="N136" s="4"/>
    </row>
    <row r="137">
      <c r="I137" s="409"/>
      <c r="J137" s="10"/>
      <c r="K137" s="11"/>
      <c r="L137" s="410"/>
      <c r="M137" s="411"/>
      <c r="N137" s="11"/>
    </row>
    <row r="138">
      <c r="I138" s="413"/>
      <c r="J138" s="3"/>
      <c r="K138" s="4"/>
      <c r="L138" s="414"/>
      <c r="M138" s="415"/>
      <c r="N138" s="4"/>
    </row>
    <row r="139">
      <c r="I139" s="409"/>
      <c r="J139" s="10"/>
      <c r="K139" s="11"/>
      <c r="L139" s="410"/>
      <c r="M139" s="411"/>
      <c r="N139" s="11"/>
    </row>
    <row r="140">
      <c r="I140" s="413"/>
      <c r="J140" s="3"/>
      <c r="K140" s="4"/>
      <c r="L140" s="414"/>
      <c r="M140" s="415"/>
      <c r="N140" s="4"/>
    </row>
    <row r="141">
      <c r="I141" s="409"/>
      <c r="J141" s="10"/>
      <c r="K141" s="11"/>
      <c r="L141" s="410"/>
      <c r="M141" s="411"/>
      <c r="N141" s="11"/>
    </row>
    <row r="142">
      <c r="I142" s="413"/>
      <c r="J142" s="3"/>
      <c r="K142" s="4"/>
      <c r="L142" s="414"/>
      <c r="M142" s="415"/>
      <c r="N142" s="4"/>
    </row>
    <row r="143">
      <c r="I143" s="409"/>
      <c r="J143" s="10"/>
      <c r="K143" s="11"/>
      <c r="L143" s="410"/>
      <c r="M143" s="411"/>
      <c r="N143" s="11"/>
    </row>
    <row r="144">
      <c r="I144" s="413"/>
      <c r="J144" s="3"/>
      <c r="K144" s="4"/>
      <c r="L144" s="414"/>
      <c r="M144" s="415"/>
      <c r="N144" s="4"/>
    </row>
    <row r="145">
      <c r="I145" s="409"/>
      <c r="J145" s="10"/>
      <c r="K145" s="11"/>
      <c r="L145" s="410"/>
      <c r="M145" s="411"/>
      <c r="N145" s="11"/>
    </row>
    <row r="146">
      <c r="I146" s="413"/>
      <c r="J146" s="3"/>
      <c r="K146" s="4"/>
      <c r="L146" s="414"/>
      <c r="M146" s="415"/>
      <c r="N146" s="4"/>
    </row>
    <row r="147">
      <c r="I147" s="409"/>
      <c r="J147" s="10"/>
      <c r="K147" s="11"/>
      <c r="L147" s="410"/>
      <c r="M147" s="411"/>
      <c r="N147" s="11"/>
    </row>
    <row r="148">
      <c r="I148" s="413"/>
      <c r="J148" s="3"/>
      <c r="K148" s="4"/>
      <c r="L148" s="414"/>
      <c r="M148" s="415"/>
      <c r="N148" s="4"/>
    </row>
    <row r="149">
      <c r="I149" s="409"/>
      <c r="J149" s="10"/>
      <c r="K149" s="11"/>
      <c r="L149" s="410"/>
      <c r="M149" s="411"/>
      <c r="N149" s="11"/>
    </row>
    <row r="150">
      <c r="I150" s="413"/>
      <c r="J150" s="3"/>
      <c r="K150" s="4"/>
      <c r="L150" s="414"/>
      <c r="M150" s="415"/>
      <c r="N150" s="4"/>
    </row>
    <row r="151">
      <c r="I151" s="409"/>
      <c r="J151" s="10"/>
      <c r="K151" s="11"/>
      <c r="L151" s="410"/>
      <c r="M151" s="411"/>
      <c r="N151" s="11"/>
    </row>
    <row r="152">
      <c r="I152" s="413"/>
      <c r="J152" s="3"/>
      <c r="K152" s="4"/>
      <c r="L152" s="414"/>
      <c r="M152" s="415"/>
      <c r="N152" s="4"/>
    </row>
    <row r="153">
      <c r="I153" s="409"/>
      <c r="J153" s="10"/>
      <c r="K153" s="11"/>
      <c r="L153" s="410"/>
      <c r="M153" s="411"/>
      <c r="N153" s="11"/>
    </row>
    <row r="154">
      <c r="I154" s="413"/>
      <c r="J154" s="3"/>
      <c r="K154" s="4"/>
      <c r="L154" s="414"/>
      <c r="M154" s="415"/>
      <c r="N154" s="4"/>
    </row>
    <row r="155">
      <c r="I155" s="409"/>
      <c r="J155" s="10"/>
      <c r="K155" s="11"/>
      <c r="L155" s="410"/>
      <c r="M155" s="411"/>
      <c r="N155" s="11"/>
    </row>
    <row r="156">
      <c r="I156" s="413"/>
      <c r="J156" s="3"/>
      <c r="K156" s="4"/>
      <c r="L156" s="414"/>
      <c r="M156" s="415"/>
      <c r="N156" s="4"/>
    </row>
    <row r="157">
      <c r="I157" s="409"/>
      <c r="J157" s="10"/>
      <c r="K157" s="11"/>
      <c r="L157" s="410"/>
      <c r="M157" s="411"/>
      <c r="N157" s="11"/>
    </row>
    <row r="158">
      <c r="I158" s="413"/>
      <c r="J158" s="3"/>
      <c r="K158" s="4"/>
      <c r="L158" s="414"/>
      <c r="M158" s="415"/>
      <c r="N158" s="4"/>
    </row>
    <row r="159">
      <c r="I159" s="409"/>
      <c r="J159" s="10"/>
      <c r="K159" s="11"/>
      <c r="L159" s="410"/>
      <c r="M159" s="411"/>
      <c r="N159" s="11"/>
    </row>
    <row r="160">
      <c r="I160" s="413"/>
      <c r="J160" s="3"/>
      <c r="K160" s="4"/>
      <c r="L160" s="414"/>
      <c r="M160" s="415"/>
      <c r="N160" s="4"/>
    </row>
    <row r="161">
      <c r="I161" s="409"/>
      <c r="J161" s="10"/>
      <c r="K161" s="11"/>
      <c r="L161" s="410"/>
      <c r="M161" s="411"/>
      <c r="N161" s="11"/>
    </row>
    <row r="162">
      <c r="I162" s="413"/>
      <c r="J162" s="3"/>
      <c r="K162" s="4"/>
      <c r="L162" s="414"/>
      <c r="M162" s="415"/>
      <c r="N162" s="4"/>
    </row>
    <row r="163">
      <c r="I163" s="409"/>
      <c r="J163" s="10"/>
      <c r="K163" s="11"/>
      <c r="L163" s="410"/>
      <c r="M163" s="411"/>
      <c r="N163" s="11"/>
    </row>
    <row r="164">
      <c r="I164" s="413"/>
      <c r="J164" s="3"/>
      <c r="K164" s="4"/>
      <c r="L164" s="414"/>
      <c r="M164" s="415"/>
      <c r="N164" s="4"/>
    </row>
    <row r="165">
      <c r="I165" s="409"/>
      <c r="J165" s="10"/>
      <c r="K165" s="11"/>
      <c r="L165" s="410"/>
      <c r="M165" s="411"/>
      <c r="N165" s="11"/>
    </row>
    <row r="166">
      <c r="I166" s="413"/>
      <c r="J166" s="3"/>
      <c r="K166" s="4"/>
      <c r="L166" s="414"/>
      <c r="M166" s="415"/>
      <c r="N166" s="4"/>
    </row>
    <row r="167">
      <c r="I167" s="409"/>
      <c r="J167" s="10"/>
      <c r="K167" s="11"/>
      <c r="L167" s="410"/>
      <c r="M167" s="411"/>
      <c r="N167" s="11"/>
    </row>
    <row r="168">
      <c r="I168" s="413"/>
      <c r="J168" s="3"/>
      <c r="K168" s="4"/>
      <c r="L168" s="414"/>
      <c r="M168" s="415"/>
      <c r="N168" s="4"/>
    </row>
    <row r="169">
      <c r="I169" s="409"/>
      <c r="J169" s="10"/>
      <c r="K169" s="11"/>
      <c r="L169" s="410"/>
      <c r="M169" s="411"/>
      <c r="N169" s="11"/>
    </row>
    <row r="170">
      <c r="I170" s="413"/>
      <c r="J170" s="3"/>
      <c r="K170" s="4"/>
      <c r="L170" s="414"/>
      <c r="M170" s="415"/>
      <c r="N170" s="4"/>
    </row>
    <row r="171">
      <c r="I171" s="409"/>
      <c r="J171" s="10"/>
      <c r="K171" s="11"/>
      <c r="L171" s="410"/>
      <c r="M171" s="411"/>
      <c r="N171" s="11"/>
    </row>
    <row r="172">
      <c r="I172" s="413"/>
      <c r="J172" s="3"/>
      <c r="K172" s="4"/>
      <c r="L172" s="414"/>
      <c r="M172" s="415"/>
      <c r="N172" s="4"/>
    </row>
    <row r="173">
      <c r="I173" s="409"/>
      <c r="J173" s="10"/>
      <c r="K173" s="11"/>
      <c r="L173" s="410"/>
      <c r="M173" s="411"/>
      <c r="N173" s="11"/>
    </row>
    <row r="174">
      <c r="I174" s="413"/>
      <c r="J174" s="3"/>
      <c r="K174" s="4"/>
      <c r="L174" s="414"/>
      <c r="M174" s="415"/>
      <c r="N174" s="4"/>
    </row>
    <row r="175">
      <c r="I175" s="409"/>
      <c r="J175" s="10"/>
      <c r="K175" s="11"/>
      <c r="L175" s="410"/>
      <c r="M175" s="411"/>
      <c r="N175" s="11"/>
    </row>
    <row r="176">
      <c r="I176" s="413"/>
      <c r="J176" s="3"/>
      <c r="K176" s="4"/>
      <c r="L176" s="414"/>
      <c r="M176" s="415"/>
      <c r="N176" s="4"/>
    </row>
    <row r="177">
      <c r="I177" s="409"/>
      <c r="J177" s="10"/>
      <c r="K177" s="11"/>
      <c r="L177" s="410"/>
      <c r="M177" s="411"/>
      <c r="N177" s="11"/>
    </row>
    <row r="178">
      <c r="I178" s="413"/>
      <c r="J178" s="3"/>
      <c r="K178" s="4"/>
      <c r="L178" s="414"/>
      <c r="M178" s="415"/>
      <c r="N178" s="4"/>
    </row>
    <row r="179">
      <c r="I179" s="409"/>
      <c r="J179" s="10"/>
      <c r="K179" s="11"/>
      <c r="L179" s="410"/>
      <c r="M179" s="411"/>
      <c r="N179" s="11"/>
    </row>
    <row r="180">
      <c r="I180" s="413"/>
      <c r="J180" s="3"/>
      <c r="K180" s="4"/>
      <c r="L180" s="414"/>
      <c r="M180" s="415"/>
      <c r="N180" s="4"/>
    </row>
    <row r="181">
      <c r="I181" s="409"/>
      <c r="J181" s="10"/>
      <c r="K181" s="11"/>
      <c r="L181" s="410"/>
      <c r="M181" s="411"/>
      <c r="N181" s="11"/>
    </row>
    <row r="182">
      <c r="I182" s="413"/>
      <c r="J182" s="3"/>
      <c r="K182" s="4"/>
      <c r="L182" s="414"/>
      <c r="M182" s="415"/>
      <c r="N182" s="4"/>
    </row>
    <row r="183">
      <c r="I183" s="409"/>
      <c r="J183" s="10"/>
      <c r="K183" s="11"/>
      <c r="L183" s="410"/>
      <c r="M183" s="411"/>
      <c r="N183" s="11"/>
    </row>
    <row r="184">
      <c r="I184" s="413"/>
      <c r="J184" s="3"/>
      <c r="K184" s="4"/>
      <c r="L184" s="414"/>
      <c r="M184" s="415"/>
      <c r="N184" s="4"/>
    </row>
    <row r="185">
      <c r="I185" s="409"/>
      <c r="J185" s="10"/>
      <c r="K185" s="11"/>
      <c r="L185" s="410"/>
      <c r="M185" s="411"/>
      <c r="N185" s="11"/>
    </row>
    <row r="186">
      <c r="I186" s="413"/>
      <c r="J186" s="3"/>
      <c r="K186" s="4"/>
      <c r="L186" s="414"/>
      <c r="M186" s="415"/>
      <c r="N186" s="4"/>
    </row>
    <row r="187">
      <c r="I187" s="409"/>
      <c r="J187" s="10"/>
      <c r="K187" s="11"/>
      <c r="L187" s="410"/>
      <c r="M187" s="411"/>
      <c r="N187" s="11"/>
    </row>
    <row r="188">
      <c r="I188" s="413"/>
      <c r="J188" s="3"/>
      <c r="K188" s="4"/>
      <c r="L188" s="414"/>
      <c r="M188" s="415"/>
      <c r="N188" s="4"/>
    </row>
    <row r="189">
      <c r="I189" s="409"/>
      <c r="J189" s="10"/>
      <c r="K189" s="11"/>
      <c r="L189" s="410"/>
      <c r="M189" s="411"/>
      <c r="N189" s="11"/>
    </row>
    <row r="190">
      <c r="I190" s="413"/>
      <c r="J190" s="3"/>
      <c r="K190" s="4"/>
      <c r="L190" s="414"/>
      <c r="M190" s="415"/>
      <c r="N190" s="4"/>
    </row>
    <row r="191">
      <c r="I191" s="409"/>
      <c r="J191" s="10"/>
      <c r="K191" s="11"/>
      <c r="L191" s="410"/>
      <c r="M191" s="411"/>
      <c r="N191" s="11"/>
    </row>
    <row r="192">
      <c r="I192" s="413"/>
      <c r="J192" s="3"/>
      <c r="K192" s="4"/>
      <c r="L192" s="414"/>
      <c r="M192" s="415"/>
      <c r="N192" s="4"/>
    </row>
    <row r="193">
      <c r="I193" s="409"/>
      <c r="J193" s="10"/>
      <c r="K193" s="11"/>
      <c r="L193" s="410"/>
      <c r="M193" s="411"/>
      <c r="N193" s="11"/>
    </row>
    <row r="194">
      <c r="I194" s="413"/>
      <c r="J194" s="3"/>
      <c r="K194" s="4"/>
      <c r="L194" s="414"/>
      <c r="M194" s="415"/>
      <c r="N194" s="4"/>
    </row>
    <row r="195">
      <c r="I195" s="409"/>
      <c r="J195" s="10"/>
      <c r="K195" s="11"/>
      <c r="L195" s="410"/>
      <c r="M195" s="411"/>
      <c r="N195" s="11"/>
    </row>
    <row r="196">
      <c r="I196" s="413"/>
      <c r="J196" s="3"/>
      <c r="K196" s="4"/>
      <c r="L196" s="414"/>
      <c r="M196" s="415"/>
      <c r="N196" s="4"/>
    </row>
    <row r="197">
      <c r="I197" s="409"/>
      <c r="J197" s="10"/>
      <c r="K197" s="11"/>
      <c r="L197" s="410"/>
      <c r="M197" s="411"/>
      <c r="N197" s="11"/>
    </row>
    <row r="198">
      <c r="I198" s="413"/>
      <c r="J198" s="3"/>
      <c r="K198" s="4"/>
      <c r="L198" s="414"/>
      <c r="M198" s="415"/>
      <c r="N198" s="4"/>
    </row>
    <row r="199">
      <c r="I199" s="409"/>
      <c r="J199" s="10"/>
      <c r="K199" s="11"/>
      <c r="L199" s="410"/>
      <c r="M199" s="411"/>
      <c r="N199" s="11"/>
    </row>
    <row r="200">
      <c r="I200" s="413"/>
      <c r="J200" s="3"/>
      <c r="K200" s="4"/>
      <c r="L200" s="414"/>
      <c r="M200" s="415"/>
      <c r="N200" s="4"/>
    </row>
    <row r="201">
      <c r="I201" s="409"/>
      <c r="J201" s="10"/>
      <c r="K201" s="11"/>
      <c r="L201" s="410"/>
      <c r="M201" s="411"/>
      <c r="N201" s="11"/>
    </row>
    <row r="202">
      <c r="I202" s="413"/>
      <c r="J202" s="3"/>
      <c r="K202" s="4"/>
      <c r="L202" s="414"/>
      <c r="M202" s="415"/>
      <c r="N202" s="4"/>
    </row>
    <row r="203">
      <c r="I203" s="409"/>
      <c r="J203" s="10"/>
      <c r="K203" s="11"/>
      <c r="L203" s="410"/>
      <c r="M203" s="411"/>
      <c r="N203" s="11"/>
    </row>
    <row r="204">
      <c r="I204" s="416"/>
      <c r="J204" s="3"/>
      <c r="K204" s="4"/>
      <c r="L204" s="414"/>
      <c r="M204" s="415"/>
      <c r="N204" s="4"/>
    </row>
    <row r="205">
      <c r="I205" s="417"/>
      <c r="J205" s="10"/>
      <c r="K205" s="11"/>
      <c r="L205" s="410"/>
      <c r="M205" s="411"/>
      <c r="N205" s="11"/>
    </row>
    <row r="206">
      <c r="I206" s="416"/>
      <c r="J206" s="3"/>
      <c r="K206" s="4"/>
      <c r="L206" s="414"/>
      <c r="M206" s="415"/>
      <c r="N206" s="4"/>
    </row>
  </sheetData>
  <mergeCells count="412">
    <mergeCell ref="M181:N181"/>
    <mergeCell ref="M182:N182"/>
    <mergeCell ref="M174:N174"/>
    <mergeCell ref="M175:N175"/>
    <mergeCell ref="M176:N176"/>
    <mergeCell ref="M177:N177"/>
    <mergeCell ref="M178:N178"/>
    <mergeCell ref="M179:N179"/>
    <mergeCell ref="M180:N180"/>
    <mergeCell ref="M125:N125"/>
    <mergeCell ref="M126:N126"/>
    <mergeCell ref="M127:N127"/>
    <mergeCell ref="M128:N128"/>
    <mergeCell ref="M129:N129"/>
    <mergeCell ref="M130:N130"/>
    <mergeCell ref="M131:N131"/>
    <mergeCell ref="M132:N132"/>
    <mergeCell ref="M133:N133"/>
    <mergeCell ref="M134:N134"/>
    <mergeCell ref="M135:N135"/>
    <mergeCell ref="M136:N136"/>
    <mergeCell ref="M137:N137"/>
    <mergeCell ref="M138:N138"/>
    <mergeCell ref="M139:N139"/>
    <mergeCell ref="M140:N140"/>
    <mergeCell ref="M141:N141"/>
    <mergeCell ref="M142:N142"/>
    <mergeCell ref="M143:N143"/>
    <mergeCell ref="M144:N144"/>
    <mergeCell ref="M145:N145"/>
    <mergeCell ref="M146:N146"/>
    <mergeCell ref="M147:N147"/>
    <mergeCell ref="M148:N148"/>
    <mergeCell ref="M149:N149"/>
    <mergeCell ref="M150:N150"/>
    <mergeCell ref="M151:N151"/>
    <mergeCell ref="M152:N152"/>
    <mergeCell ref="M153:N153"/>
    <mergeCell ref="M154:N154"/>
    <mergeCell ref="M155:N155"/>
    <mergeCell ref="M156:N156"/>
    <mergeCell ref="M157:N157"/>
    <mergeCell ref="M158:N158"/>
    <mergeCell ref="M159:N159"/>
    <mergeCell ref="M160:N160"/>
    <mergeCell ref="M161:N161"/>
    <mergeCell ref="M162:N162"/>
    <mergeCell ref="M163:N163"/>
    <mergeCell ref="M164:N164"/>
    <mergeCell ref="M165:N165"/>
    <mergeCell ref="M166:N166"/>
    <mergeCell ref="M167:N167"/>
    <mergeCell ref="M168:N168"/>
    <mergeCell ref="M169:N169"/>
    <mergeCell ref="M170:N170"/>
    <mergeCell ref="M171:N171"/>
    <mergeCell ref="M172:N172"/>
    <mergeCell ref="M173:N173"/>
    <mergeCell ref="M200:N200"/>
    <mergeCell ref="M201:N201"/>
    <mergeCell ref="I196:K196"/>
    <mergeCell ref="I197:K197"/>
    <mergeCell ref="I198:K198"/>
    <mergeCell ref="I199:K199"/>
    <mergeCell ref="M199:N199"/>
    <mergeCell ref="I200:K200"/>
    <mergeCell ref="I201:K201"/>
    <mergeCell ref="I166:K166"/>
    <mergeCell ref="I167:K167"/>
    <mergeCell ref="I168:K168"/>
    <mergeCell ref="I169:K169"/>
    <mergeCell ref="I170:K170"/>
    <mergeCell ref="I171:K171"/>
    <mergeCell ref="I172:K172"/>
    <mergeCell ref="I173:K173"/>
    <mergeCell ref="I174:K174"/>
    <mergeCell ref="I175:K175"/>
    <mergeCell ref="I176:K176"/>
    <mergeCell ref="I177:K177"/>
    <mergeCell ref="I178:K178"/>
    <mergeCell ref="I179:K179"/>
    <mergeCell ref="M184:N184"/>
    <mergeCell ref="M185:N185"/>
    <mergeCell ref="I180:K180"/>
    <mergeCell ref="I181:K181"/>
    <mergeCell ref="I182:K182"/>
    <mergeCell ref="I183:K183"/>
    <mergeCell ref="M183:N183"/>
    <mergeCell ref="I184:K184"/>
    <mergeCell ref="I185:K185"/>
    <mergeCell ref="I186:K186"/>
    <mergeCell ref="M186:N186"/>
    <mergeCell ref="I187:K187"/>
    <mergeCell ref="M187:N187"/>
    <mergeCell ref="I188:K188"/>
    <mergeCell ref="M188:N188"/>
    <mergeCell ref="M189:N189"/>
    <mergeCell ref="I189:K189"/>
    <mergeCell ref="I190:K190"/>
    <mergeCell ref="I191:K191"/>
    <mergeCell ref="I192:K192"/>
    <mergeCell ref="I193:K193"/>
    <mergeCell ref="I194:K194"/>
    <mergeCell ref="I195:K195"/>
    <mergeCell ref="I205:K205"/>
    <mergeCell ref="I206:K206"/>
    <mergeCell ref="I202:K202"/>
    <mergeCell ref="M202:N202"/>
    <mergeCell ref="I203:K203"/>
    <mergeCell ref="M203:N203"/>
    <mergeCell ref="I204:K204"/>
    <mergeCell ref="M204:N204"/>
    <mergeCell ref="M205:N205"/>
    <mergeCell ref="M206:N206"/>
    <mergeCell ref="B2:G2"/>
    <mergeCell ref="I2:N2"/>
    <mergeCell ref="P2:Q2"/>
    <mergeCell ref="I3:K3"/>
    <mergeCell ref="L3:N3"/>
    <mergeCell ref="P3:Q3"/>
    <mergeCell ref="M4:N4"/>
    <mergeCell ref="M7:N7"/>
    <mergeCell ref="M8:N8"/>
    <mergeCell ref="I4:K4"/>
    <mergeCell ref="I5:K5"/>
    <mergeCell ref="M5:N5"/>
    <mergeCell ref="I6:K6"/>
    <mergeCell ref="M6:N6"/>
    <mergeCell ref="I7:K7"/>
    <mergeCell ref="I8:K8"/>
    <mergeCell ref="I9:K9"/>
    <mergeCell ref="M9:N9"/>
    <mergeCell ref="I10:K10"/>
    <mergeCell ref="M10:N10"/>
    <mergeCell ref="I11:K11"/>
    <mergeCell ref="M11:N11"/>
    <mergeCell ref="M12:N12"/>
    <mergeCell ref="I12:K12"/>
    <mergeCell ref="I13:K13"/>
    <mergeCell ref="I14:K14"/>
    <mergeCell ref="I15:K15"/>
    <mergeCell ref="I16:K16"/>
    <mergeCell ref="I17:K17"/>
    <mergeCell ref="I18:K18"/>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I19:K19"/>
    <mergeCell ref="I20:K20"/>
    <mergeCell ref="I21:K21"/>
    <mergeCell ref="I22:K22"/>
    <mergeCell ref="I23:K23"/>
    <mergeCell ref="I24:K24"/>
    <mergeCell ref="I25:K25"/>
    <mergeCell ref="I26:K26"/>
    <mergeCell ref="I27:K27"/>
    <mergeCell ref="I28:K28"/>
    <mergeCell ref="I29:K29"/>
    <mergeCell ref="I30:K30"/>
    <mergeCell ref="I31:K31"/>
    <mergeCell ref="I32:K32"/>
    <mergeCell ref="I33:K33"/>
    <mergeCell ref="I34:K34"/>
    <mergeCell ref="I35:K35"/>
    <mergeCell ref="I36:K36"/>
    <mergeCell ref="I37:K37"/>
    <mergeCell ref="I38:K38"/>
    <mergeCell ref="I39:K39"/>
    <mergeCell ref="I40:K40"/>
    <mergeCell ref="I41:K41"/>
    <mergeCell ref="I42:K42"/>
    <mergeCell ref="I43:K43"/>
    <mergeCell ref="I44:K44"/>
    <mergeCell ref="I45:K45"/>
    <mergeCell ref="I46:K46"/>
    <mergeCell ref="I47:K47"/>
    <mergeCell ref="I48:K48"/>
    <mergeCell ref="I49:K49"/>
    <mergeCell ref="I50:K50"/>
    <mergeCell ref="I51:K51"/>
    <mergeCell ref="I52:K52"/>
    <mergeCell ref="I53:K53"/>
    <mergeCell ref="I54:K54"/>
    <mergeCell ref="I55:K55"/>
    <mergeCell ref="I56:K56"/>
    <mergeCell ref="I57:K57"/>
    <mergeCell ref="I58:K58"/>
    <mergeCell ref="I59:K59"/>
    <mergeCell ref="I60:K60"/>
    <mergeCell ref="I61:K61"/>
    <mergeCell ref="I62:K62"/>
    <mergeCell ref="I63:K63"/>
    <mergeCell ref="I64:K64"/>
    <mergeCell ref="I65:K65"/>
    <mergeCell ref="I66:K66"/>
    <mergeCell ref="I67:K67"/>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M70:N70"/>
    <mergeCell ref="M71:N71"/>
    <mergeCell ref="M72:N72"/>
    <mergeCell ref="M73:N73"/>
    <mergeCell ref="M74:N74"/>
    <mergeCell ref="M75:N75"/>
    <mergeCell ref="I68:K68"/>
    <mergeCell ref="I69:K69"/>
    <mergeCell ref="I70:K70"/>
    <mergeCell ref="I71:K71"/>
    <mergeCell ref="I72:K72"/>
    <mergeCell ref="I73:K73"/>
    <mergeCell ref="I74:K74"/>
    <mergeCell ref="I75:K75"/>
    <mergeCell ref="I76:K76"/>
    <mergeCell ref="I77:K77"/>
    <mergeCell ref="I78:K78"/>
    <mergeCell ref="I79:K79"/>
    <mergeCell ref="I80:K80"/>
    <mergeCell ref="I81:K81"/>
    <mergeCell ref="I82:K82"/>
    <mergeCell ref="I83:K83"/>
    <mergeCell ref="I84:K84"/>
    <mergeCell ref="I85:K85"/>
    <mergeCell ref="I86:K86"/>
    <mergeCell ref="I87:K87"/>
    <mergeCell ref="I88:K88"/>
    <mergeCell ref="I89:K89"/>
    <mergeCell ref="I90:K90"/>
    <mergeCell ref="I91:K91"/>
    <mergeCell ref="I92:K92"/>
    <mergeCell ref="I93:K93"/>
    <mergeCell ref="I94:K94"/>
    <mergeCell ref="I95:K95"/>
    <mergeCell ref="I96:K96"/>
    <mergeCell ref="I97:K97"/>
    <mergeCell ref="I98:K98"/>
    <mergeCell ref="I99:K99"/>
    <mergeCell ref="I100:K100"/>
    <mergeCell ref="I101:K101"/>
    <mergeCell ref="I102:K102"/>
    <mergeCell ref="I103:K103"/>
    <mergeCell ref="I104:K104"/>
    <mergeCell ref="I105:K105"/>
    <mergeCell ref="I106:K106"/>
    <mergeCell ref="I107:K107"/>
    <mergeCell ref="I108:K108"/>
    <mergeCell ref="I109:K109"/>
    <mergeCell ref="I110:K110"/>
    <mergeCell ref="I111:K111"/>
    <mergeCell ref="I112:K112"/>
    <mergeCell ref="I113:K113"/>
    <mergeCell ref="I114:K114"/>
    <mergeCell ref="I115:K115"/>
    <mergeCell ref="I116:K116"/>
    <mergeCell ref="M76:N76"/>
    <mergeCell ref="M77:N77"/>
    <mergeCell ref="M78:N78"/>
    <mergeCell ref="M79:N79"/>
    <mergeCell ref="M80:N80"/>
    <mergeCell ref="M81:N81"/>
    <mergeCell ref="M82:N82"/>
    <mergeCell ref="M83:N83"/>
    <mergeCell ref="M84:N84"/>
    <mergeCell ref="M85:N85"/>
    <mergeCell ref="M86:N86"/>
    <mergeCell ref="M87:N87"/>
    <mergeCell ref="M88:N88"/>
    <mergeCell ref="M89:N89"/>
    <mergeCell ref="M90:N90"/>
    <mergeCell ref="M91:N91"/>
    <mergeCell ref="M92:N92"/>
    <mergeCell ref="M93:N93"/>
    <mergeCell ref="M94:N94"/>
    <mergeCell ref="M95:N95"/>
    <mergeCell ref="M96:N96"/>
    <mergeCell ref="M97:N97"/>
    <mergeCell ref="M98:N98"/>
    <mergeCell ref="M99:N99"/>
    <mergeCell ref="M100:N100"/>
    <mergeCell ref="M101:N101"/>
    <mergeCell ref="M102:N102"/>
    <mergeCell ref="M103:N103"/>
    <mergeCell ref="M104:N104"/>
    <mergeCell ref="M105:N105"/>
    <mergeCell ref="M106:N106"/>
    <mergeCell ref="M107:N107"/>
    <mergeCell ref="M108:N108"/>
    <mergeCell ref="M109:N109"/>
    <mergeCell ref="M110:N110"/>
    <mergeCell ref="M111:N111"/>
    <mergeCell ref="M112:N112"/>
    <mergeCell ref="M113:N113"/>
    <mergeCell ref="M114:N114"/>
    <mergeCell ref="M115:N115"/>
    <mergeCell ref="M116:N116"/>
    <mergeCell ref="M117:N117"/>
    <mergeCell ref="M118:N118"/>
    <mergeCell ref="M119:N119"/>
    <mergeCell ref="M120:N120"/>
    <mergeCell ref="M121:N121"/>
    <mergeCell ref="M122:N122"/>
    <mergeCell ref="M123:N123"/>
    <mergeCell ref="M124:N124"/>
    <mergeCell ref="I117:K117"/>
    <mergeCell ref="I118:K118"/>
    <mergeCell ref="I119:K119"/>
    <mergeCell ref="I120:K120"/>
    <mergeCell ref="I121:K121"/>
    <mergeCell ref="I122:K122"/>
    <mergeCell ref="I123:K123"/>
    <mergeCell ref="I124:K124"/>
    <mergeCell ref="I125:K125"/>
    <mergeCell ref="I126:K126"/>
    <mergeCell ref="I127:K127"/>
    <mergeCell ref="I128:K128"/>
    <mergeCell ref="I129:K129"/>
    <mergeCell ref="I130:K130"/>
    <mergeCell ref="I131:K131"/>
    <mergeCell ref="I132:K132"/>
    <mergeCell ref="I133:K133"/>
    <mergeCell ref="I134:K134"/>
    <mergeCell ref="I135:K135"/>
    <mergeCell ref="I136:K136"/>
    <mergeCell ref="I137:K137"/>
    <mergeCell ref="I138:K138"/>
    <mergeCell ref="I139:K139"/>
    <mergeCell ref="I140:K140"/>
    <mergeCell ref="I141:K141"/>
    <mergeCell ref="I142:K142"/>
    <mergeCell ref="I143:K143"/>
    <mergeCell ref="I144:K144"/>
    <mergeCell ref="I145:K145"/>
    <mergeCell ref="I146:K146"/>
    <mergeCell ref="I147:K147"/>
    <mergeCell ref="I148:K148"/>
    <mergeCell ref="I149:K149"/>
    <mergeCell ref="I150:K150"/>
    <mergeCell ref="I151:K151"/>
    <mergeCell ref="I152:K152"/>
    <mergeCell ref="I153:K153"/>
    <mergeCell ref="I154:K154"/>
    <mergeCell ref="I155:K155"/>
    <mergeCell ref="I156:K156"/>
    <mergeCell ref="I157:K157"/>
    <mergeCell ref="I158:K158"/>
    <mergeCell ref="I159:K159"/>
    <mergeCell ref="I160:K160"/>
    <mergeCell ref="I161:K161"/>
    <mergeCell ref="I162:K162"/>
    <mergeCell ref="I163:K163"/>
    <mergeCell ref="I164:K164"/>
    <mergeCell ref="I165:K165"/>
    <mergeCell ref="M197:N197"/>
    <mergeCell ref="M198:N198"/>
    <mergeCell ref="M190:N190"/>
    <mergeCell ref="M191:N191"/>
    <mergeCell ref="M192:N192"/>
    <mergeCell ref="M193:N193"/>
    <mergeCell ref="M194:N194"/>
    <mergeCell ref="M195:N195"/>
    <mergeCell ref="M196:N196"/>
  </mergeCells>
  <drawing r:id="rId2"/>
  <legacyDrawing r:id="rId3"/>
  <tableParts count="1">
    <tablePart r:id="rId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3.14"/>
    <col customWidth="1" min="4" max="4" width="3.14"/>
    <col customWidth="1" min="7" max="7" width="3.14"/>
    <col customWidth="1" min="10" max="10" width="3.14"/>
  </cols>
  <sheetData>
    <row r="1">
      <c r="A1" s="418">
        <v>1.0</v>
      </c>
      <c r="B1" s="419"/>
      <c r="C1" s="418">
        <v>3.0</v>
      </c>
      <c r="D1" s="419"/>
      <c r="E1" s="420">
        <v>4.0</v>
      </c>
      <c r="F1" s="421">
        <v>6.0</v>
      </c>
      <c r="G1" s="422"/>
      <c r="H1" s="423">
        <v>7.0</v>
      </c>
      <c r="I1" s="423">
        <v>10.0</v>
      </c>
    </row>
    <row r="2">
      <c r="A2" s="424">
        <v>2.0</v>
      </c>
      <c r="B2" s="419"/>
      <c r="C2" s="424">
        <v>6.0</v>
      </c>
      <c r="D2" s="419"/>
      <c r="E2" s="425">
        <v>7.0</v>
      </c>
      <c r="F2" s="426">
        <v>13.0</v>
      </c>
      <c r="G2" s="427"/>
      <c r="H2" s="428">
        <v>14.0</v>
      </c>
      <c r="I2" s="428">
        <v>20.0</v>
      </c>
    </row>
    <row r="3">
      <c r="A3" s="418">
        <v>3.0</v>
      </c>
      <c r="B3" s="419"/>
      <c r="C3" s="418">
        <v>10.0</v>
      </c>
      <c r="D3" s="419"/>
      <c r="E3" s="420">
        <v>11.0</v>
      </c>
      <c r="F3" s="429">
        <v>20.0</v>
      </c>
      <c r="G3" s="427"/>
      <c r="H3" s="423">
        <v>21.0</v>
      </c>
      <c r="I3" s="423">
        <v>30.0</v>
      </c>
    </row>
    <row r="4">
      <c r="A4" s="424">
        <v>4.0</v>
      </c>
      <c r="B4" s="419"/>
      <c r="C4" s="424">
        <v>13.0</v>
      </c>
      <c r="D4" s="419"/>
      <c r="E4" s="425">
        <v>14.0</v>
      </c>
      <c r="F4" s="426">
        <v>26.0</v>
      </c>
      <c r="G4" s="427"/>
      <c r="H4" s="428">
        <v>27.0</v>
      </c>
      <c r="I4" s="428">
        <v>40.0</v>
      </c>
      <c r="M4" s="430" t="s">
        <v>277</v>
      </c>
      <c r="N4" s="430" t="s">
        <v>334</v>
      </c>
      <c r="O4" s="430" t="s">
        <v>736</v>
      </c>
      <c r="P4" s="431" t="s">
        <v>737</v>
      </c>
      <c r="Q4" s="431" t="s">
        <v>738</v>
      </c>
      <c r="R4" s="430" t="s">
        <v>739</v>
      </c>
      <c r="T4" s="430" t="s">
        <v>740</v>
      </c>
      <c r="U4" s="432" t="str">
        <f>Main!C15</f>
        <v>Biped</v>
      </c>
      <c r="V4" s="430" t="s">
        <v>737</v>
      </c>
      <c r="W4" s="430" t="s">
        <v>738</v>
      </c>
      <c r="X4" s="430" t="s">
        <v>739</v>
      </c>
    </row>
    <row r="5">
      <c r="A5" s="418">
        <v>5.0</v>
      </c>
      <c r="B5" s="419"/>
      <c r="C5" s="418">
        <v>16.0</v>
      </c>
      <c r="D5" s="419"/>
      <c r="E5" s="420">
        <v>17.0</v>
      </c>
      <c r="F5" s="429">
        <v>33.0</v>
      </c>
      <c r="G5" s="427"/>
      <c r="H5" s="423">
        <v>34.0</v>
      </c>
      <c r="I5" s="423">
        <v>50.0</v>
      </c>
      <c r="M5" s="430" t="s">
        <v>741</v>
      </c>
      <c r="N5" s="433">
        <f>1/8</f>
        <v>0.125</v>
      </c>
      <c r="O5" s="430">
        <v>0.25</v>
      </c>
      <c r="P5" s="434">
        <v>8.0</v>
      </c>
      <c r="Q5" s="434">
        <v>-16.0</v>
      </c>
      <c r="R5" s="430">
        <v>16.0</v>
      </c>
      <c r="T5" s="435" t="str">
        <f>Main!C14</f>
        <v>Medium</v>
      </c>
      <c r="U5" s="433">
        <f>dget(M4:Q13,U4,T4:T5)</f>
        <v>1</v>
      </c>
      <c r="V5" s="436">
        <f>dget(M4:Q13,V4,T4:T5)</f>
        <v>0</v>
      </c>
      <c r="W5" s="436">
        <f>dget(M4:Q13,W4,T4:T5)</f>
        <v>0</v>
      </c>
      <c r="X5" s="430">
        <f>dget(M4:R13,X4,T4:T5)</f>
        <v>0</v>
      </c>
    </row>
    <row r="6">
      <c r="A6" s="424">
        <v>6.0</v>
      </c>
      <c r="B6" s="419"/>
      <c r="C6" s="424">
        <v>20.0</v>
      </c>
      <c r="D6" s="419"/>
      <c r="E6" s="425">
        <v>21.0</v>
      </c>
      <c r="F6" s="426">
        <v>40.0</v>
      </c>
      <c r="G6" s="427"/>
      <c r="H6" s="428">
        <v>41.0</v>
      </c>
      <c r="I6" s="428">
        <v>60.0</v>
      </c>
      <c r="M6" s="430" t="s">
        <v>742</v>
      </c>
      <c r="N6" s="430">
        <v>0.25</v>
      </c>
      <c r="O6" s="430">
        <v>0.5</v>
      </c>
      <c r="P6" s="434">
        <v>4.0</v>
      </c>
      <c r="Q6" s="434">
        <v>-12.0</v>
      </c>
      <c r="R6" s="430">
        <v>12.0</v>
      </c>
    </row>
    <row r="7">
      <c r="A7" s="418">
        <v>7.0</v>
      </c>
      <c r="B7" s="419"/>
      <c r="C7" s="418">
        <v>23.0</v>
      </c>
      <c r="D7" s="419"/>
      <c r="E7" s="420">
        <v>24.0</v>
      </c>
      <c r="F7" s="429">
        <v>46.0</v>
      </c>
      <c r="G7" s="427"/>
      <c r="H7" s="423">
        <v>47.0</v>
      </c>
      <c r="I7" s="423">
        <v>70.0</v>
      </c>
      <c r="M7" s="430" t="s">
        <v>743</v>
      </c>
      <c r="N7" s="430">
        <v>0.5</v>
      </c>
      <c r="O7" s="430">
        <v>0.75</v>
      </c>
      <c r="P7" s="434">
        <v>2.0</v>
      </c>
      <c r="Q7" s="434">
        <v>-8.0</v>
      </c>
      <c r="R7" s="430">
        <v>8.0</v>
      </c>
    </row>
    <row r="8">
      <c r="A8" s="424">
        <v>8.0</v>
      </c>
      <c r="B8" s="419"/>
      <c r="C8" s="424">
        <v>26.0</v>
      </c>
      <c r="D8" s="419"/>
      <c r="E8" s="425">
        <v>27.0</v>
      </c>
      <c r="F8" s="426">
        <v>53.0</v>
      </c>
      <c r="G8" s="427"/>
      <c r="H8" s="428">
        <v>54.0</v>
      </c>
      <c r="I8" s="428">
        <v>80.0</v>
      </c>
      <c r="M8" s="430" t="s">
        <v>744</v>
      </c>
      <c r="N8" s="430">
        <v>0.75</v>
      </c>
      <c r="O8" s="430">
        <v>1.0</v>
      </c>
      <c r="P8" s="434">
        <v>1.0</v>
      </c>
      <c r="Q8" s="434">
        <v>-4.0</v>
      </c>
      <c r="R8" s="430">
        <v>4.0</v>
      </c>
    </row>
    <row r="9">
      <c r="A9" s="418">
        <v>9.0</v>
      </c>
      <c r="B9" s="419"/>
      <c r="C9" s="418">
        <v>30.0</v>
      </c>
      <c r="D9" s="419"/>
      <c r="E9" s="420">
        <v>31.0</v>
      </c>
      <c r="F9" s="429">
        <v>60.0</v>
      </c>
      <c r="G9" s="427"/>
      <c r="H9" s="423">
        <v>61.0</v>
      </c>
      <c r="I9" s="423">
        <v>90.0</v>
      </c>
      <c r="M9" s="430" t="s">
        <v>329</v>
      </c>
      <c r="N9" s="430">
        <v>1.0</v>
      </c>
      <c r="O9" s="430">
        <v>1.5</v>
      </c>
      <c r="P9" s="434">
        <v>0.0</v>
      </c>
      <c r="Q9" s="434">
        <v>0.0</v>
      </c>
      <c r="R9" s="430">
        <v>0.0</v>
      </c>
    </row>
    <row r="10">
      <c r="A10" s="424">
        <v>10.0</v>
      </c>
      <c r="B10" s="419"/>
      <c r="C10" s="424">
        <v>33.0</v>
      </c>
      <c r="D10" s="419"/>
      <c r="E10" s="425">
        <v>34.0</v>
      </c>
      <c r="F10" s="426">
        <v>66.0</v>
      </c>
      <c r="G10" s="427"/>
      <c r="H10" s="428">
        <v>67.0</v>
      </c>
      <c r="I10" s="428">
        <v>100.0</v>
      </c>
      <c r="M10" s="430" t="s">
        <v>745</v>
      </c>
      <c r="N10" s="430">
        <v>2.0</v>
      </c>
      <c r="O10" s="430">
        <v>3.0</v>
      </c>
      <c r="P10" s="434">
        <v>-1.0</v>
      </c>
      <c r="Q10" s="434">
        <v>4.0</v>
      </c>
      <c r="R10" s="430">
        <v>-4.0</v>
      </c>
    </row>
    <row r="11">
      <c r="A11" s="418">
        <v>11.0</v>
      </c>
      <c r="B11" s="419"/>
      <c r="C11" s="418">
        <v>38.0</v>
      </c>
      <c r="D11" s="419"/>
      <c r="E11" s="420">
        <v>39.0</v>
      </c>
      <c r="F11" s="429">
        <v>76.0</v>
      </c>
      <c r="G11" s="427"/>
      <c r="H11" s="423">
        <v>77.0</v>
      </c>
      <c r="I11" s="423">
        <v>115.0</v>
      </c>
      <c r="M11" s="430" t="s">
        <v>746</v>
      </c>
      <c r="N11" s="430">
        <v>4.0</v>
      </c>
      <c r="O11" s="430">
        <v>6.0</v>
      </c>
      <c r="P11" s="434">
        <v>-2.0</v>
      </c>
      <c r="Q11" s="434">
        <v>8.0</v>
      </c>
      <c r="R11" s="430">
        <v>-8.0</v>
      </c>
    </row>
    <row r="12">
      <c r="A12" s="424">
        <v>12.0</v>
      </c>
      <c r="B12" s="419"/>
      <c r="C12" s="424">
        <v>43.0</v>
      </c>
      <c r="D12" s="419"/>
      <c r="E12" s="425">
        <v>44.0</v>
      </c>
      <c r="F12" s="426">
        <v>86.0</v>
      </c>
      <c r="G12" s="427"/>
      <c r="H12" s="428">
        <v>87.0</v>
      </c>
      <c r="I12" s="428">
        <v>130.0</v>
      </c>
      <c r="M12" s="430" t="s">
        <v>747</v>
      </c>
      <c r="N12" s="430">
        <v>8.0</v>
      </c>
      <c r="O12" s="430">
        <v>12.0</v>
      </c>
      <c r="P12" s="434">
        <v>-4.0</v>
      </c>
      <c r="Q12" s="434">
        <v>12.0</v>
      </c>
      <c r="R12" s="430">
        <v>-12.0</v>
      </c>
    </row>
    <row r="13">
      <c r="A13" s="418">
        <v>13.0</v>
      </c>
      <c r="B13" s="419"/>
      <c r="C13" s="418">
        <v>50.0</v>
      </c>
      <c r="D13" s="419"/>
      <c r="E13" s="420">
        <v>51.0</v>
      </c>
      <c r="F13" s="429">
        <v>100.0</v>
      </c>
      <c r="G13" s="427"/>
      <c r="H13" s="423">
        <v>101.0</v>
      </c>
      <c r="I13" s="423">
        <v>150.0</v>
      </c>
      <c r="M13" s="430" t="s">
        <v>748</v>
      </c>
      <c r="N13" s="430">
        <v>16.0</v>
      </c>
      <c r="O13" s="430">
        <v>24.0</v>
      </c>
      <c r="P13" s="434">
        <v>-8.0</v>
      </c>
      <c r="Q13" s="434">
        <v>16.0</v>
      </c>
      <c r="R13" s="430">
        <v>-16.0</v>
      </c>
    </row>
    <row r="14">
      <c r="A14" s="424">
        <v>14.0</v>
      </c>
      <c r="B14" s="419"/>
      <c r="C14" s="424">
        <v>58.0</v>
      </c>
      <c r="D14" s="419"/>
      <c r="E14" s="425">
        <v>59.0</v>
      </c>
      <c r="F14" s="426">
        <v>116.0</v>
      </c>
      <c r="G14" s="427"/>
      <c r="H14" s="428">
        <v>117.0</v>
      </c>
      <c r="I14" s="428">
        <v>175.0</v>
      </c>
    </row>
    <row r="15">
      <c r="A15" s="418">
        <v>15.0</v>
      </c>
      <c r="B15" s="419"/>
      <c r="C15" s="418">
        <v>66.0</v>
      </c>
      <c r="D15" s="419"/>
      <c r="E15" s="420">
        <v>67.0</v>
      </c>
      <c r="F15" s="429">
        <v>133.0</v>
      </c>
      <c r="G15" s="427"/>
      <c r="H15" s="423">
        <v>134.0</v>
      </c>
      <c r="I15" s="423">
        <v>200.0</v>
      </c>
    </row>
    <row r="16">
      <c r="A16" s="424">
        <v>16.0</v>
      </c>
      <c r="B16" s="419"/>
      <c r="C16" s="424">
        <v>76.0</v>
      </c>
      <c r="D16" s="419"/>
      <c r="E16" s="425">
        <v>77.0</v>
      </c>
      <c r="F16" s="426">
        <v>153.0</v>
      </c>
      <c r="G16" s="427"/>
      <c r="H16" s="428">
        <v>154.0</v>
      </c>
      <c r="I16" s="428">
        <v>230.0</v>
      </c>
      <c r="M16" s="437" t="s">
        <v>267</v>
      </c>
      <c r="N16" s="437" t="s">
        <v>749</v>
      </c>
      <c r="O16" s="437" t="s">
        <v>750</v>
      </c>
      <c r="P16" s="437" t="s">
        <v>751</v>
      </c>
      <c r="Q16" s="437" t="s">
        <v>752</v>
      </c>
      <c r="R16" s="437" t="s">
        <v>753</v>
      </c>
      <c r="S16" s="437" t="s">
        <v>754</v>
      </c>
      <c r="T16" s="437" t="s">
        <v>755</v>
      </c>
      <c r="U16" s="437" t="s">
        <v>756</v>
      </c>
      <c r="W16" s="430" t="s">
        <v>266</v>
      </c>
      <c r="X16" s="430" t="s">
        <v>267</v>
      </c>
      <c r="Y16" s="430" t="s">
        <v>412</v>
      </c>
      <c r="Z16" s="430" t="s">
        <v>319</v>
      </c>
      <c r="AA16" s="430" t="s">
        <v>320</v>
      </c>
      <c r="AB16" s="430" t="s">
        <v>321</v>
      </c>
    </row>
    <row r="17">
      <c r="A17" s="418">
        <v>17.0</v>
      </c>
      <c r="B17" s="419"/>
      <c r="C17" s="418">
        <v>86.0</v>
      </c>
      <c r="D17" s="419"/>
      <c r="E17" s="420">
        <v>87.0</v>
      </c>
      <c r="F17" s="429">
        <v>173.0</v>
      </c>
      <c r="G17" s="427"/>
      <c r="H17" s="423">
        <v>174.0</v>
      </c>
      <c r="I17" s="423">
        <v>260.0</v>
      </c>
      <c r="M17" s="437">
        <v>1.0</v>
      </c>
      <c r="N17" s="437">
        <v>0.0</v>
      </c>
      <c r="O17" s="437">
        <v>0.0</v>
      </c>
      <c r="P17" s="437">
        <v>1.0</v>
      </c>
      <c r="Q17" s="437">
        <v>0.0</v>
      </c>
      <c r="R17" s="437">
        <v>0.0</v>
      </c>
      <c r="S17" s="437">
        <v>0.0</v>
      </c>
      <c r="T17" s="437">
        <v>2.0</v>
      </c>
      <c r="U17" s="437">
        <v>2.0</v>
      </c>
      <c r="W17" s="433" t="str">
        <f>Main!B4</f>
        <v>Class 1</v>
      </c>
      <c r="X17" s="433">
        <f>Main!C4</f>
        <v>0</v>
      </c>
      <c r="Y17" s="433" t="str">
        <f>dget(M16:U36, dget(M134:Q154,Y16,W16:W17),X16:X17)</f>
        <v>#VALUE!</v>
      </c>
      <c r="Z17" s="433" t="str">
        <f>dget(M16:U36, dget(M134:Q154,Z16,W16:W17),X16:X17)</f>
        <v>#VALUE!</v>
      </c>
      <c r="AA17" s="433" t="str">
        <f>dget(M16:U36, dget(M134:Q154,AA16,W16:W17),X16:X17)</f>
        <v>#VALUE!</v>
      </c>
      <c r="AB17" s="433" t="str">
        <f>dget(M16:U36, dget(M134:Q154,AB16,W16:W17),X16:X17)</f>
        <v>#VALUE!</v>
      </c>
      <c r="AE17" s="430" t="s">
        <v>757</v>
      </c>
      <c r="AF17" s="430" t="s">
        <v>758</v>
      </c>
      <c r="AG17" s="430" t="s">
        <v>759</v>
      </c>
      <c r="AH17" s="430" t="s">
        <v>760</v>
      </c>
      <c r="AI17" s="430" t="s">
        <v>761</v>
      </c>
      <c r="AJ17" s="430" t="s">
        <v>762</v>
      </c>
      <c r="AK17" s="430" t="s">
        <v>763</v>
      </c>
      <c r="AL17" s="430" t="s">
        <v>764</v>
      </c>
    </row>
    <row r="18">
      <c r="A18" s="424">
        <v>18.0</v>
      </c>
      <c r="B18" s="419"/>
      <c r="C18" s="424">
        <v>100.0</v>
      </c>
      <c r="D18" s="419"/>
      <c r="E18" s="425">
        <v>101.0</v>
      </c>
      <c r="F18" s="426">
        <v>200.0</v>
      </c>
      <c r="G18" s="427"/>
      <c r="H18" s="428">
        <v>201.0</v>
      </c>
      <c r="I18" s="428">
        <v>300.0</v>
      </c>
      <c r="M18" s="437">
        <v>2.0</v>
      </c>
      <c r="N18" s="437">
        <v>1.0</v>
      </c>
      <c r="O18" s="437">
        <v>1.0</v>
      </c>
      <c r="P18" s="437">
        <v>2.0</v>
      </c>
      <c r="Q18" s="437">
        <v>1.0</v>
      </c>
      <c r="R18" s="437">
        <v>0.0</v>
      </c>
      <c r="S18" s="437">
        <v>0.0</v>
      </c>
      <c r="T18" s="437">
        <v>3.0</v>
      </c>
      <c r="U18" s="437">
        <v>3.0</v>
      </c>
      <c r="AE18" s="430">
        <v>1.0</v>
      </c>
      <c r="AF18" s="430" t="s">
        <v>765</v>
      </c>
      <c r="AG18" s="430" t="s">
        <v>766</v>
      </c>
      <c r="AH18" s="430" t="s">
        <v>767</v>
      </c>
      <c r="AI18" s="430" t="s">
        <v>767</v>
      </c>
      <c r="AJ18" s="430" t="s">
        <v>767</v>
      </c>
      <c r="AK18" s="430" t="s">
        <v>767</v>
      </c>
      <c r="AL18" s="430"/>
    </row>
    <row r="19">
      <c r="A19" s="418">
        <v>19.0</v>
      </c>
      <c r="B19" s="419"/>
      <c r="C19" s="418">
        <v>116.0</v>
      </c>
      <c r="D19" s="419"/>
      <c r="E19" s="420">
        <v>117.0</v>
      </c>
      <c r="F19" s="429">
        <v>233.0</v>
      </c>
      <c r="G19" s="427"/>
      <c r="H19" s="423">
        <v>234.0</v>
      </c>
      <c r="I19" s="423">
        <v>350.0</v>
      </c>
      <c r="M19" s="437">
        <v>3.0</v>
      </c>
      <c r="N19" s="437">
        <v>1.0</v>
      </c>
      <c r="O19" s="437">
        <v>2.0</v>
      </c>
      <c r="P19" s="437">
        <v>3.0</v>
      </c>
      <c r="Q19" s="437">
        <v>1.0</v>
      </c>
      <c r="R19" s="437">
        <v>1.0</v>
      </c>
      <c r="S19" s="437">
        <v>0.0</v>
      </c>
      <c r="T19" s="437">
        <v>3.0</v>
      </c>
      <c r="U19" s="437">
        <v>3.0</v>
      </c>
      <c r="W19" s="430" t="s">
        <v>266</v>
      </c>
      <c r="X19" s="430" t="s">
        <v>267</v>
      </c>
      <c r="Y19" s="430" t="s">
        <v>412</v>
      </c>
      <c r="Z19" s="430" t="s">
        <v>319</v>
      </c>
      <c r="AA19" s="430" t="s">
        <v>320</v>
      </c>
      <c r="AB19" s="430" t="s">
        <v>321</v>
      </c>
      <c r="AE19" s="430">
        <v>2.0</v>
      </c>
      <c r="AF19" s="430" t="s">
        <v>555</v>
      </c>
      <c r="AG19" s="430" t="s">
        <v>766</v>
      </c>
      <c r="AH19" s="430" t="s">
        <v>767</v>
      </c>
      <c r="AI19" s="430" t="s">
        <v>767</v>
      </c>
      <c r="AJ19" s="430" t="s">
        <v>767</v>
      </c>
      <c r="AK19" s="430" t="s">
        <v>767</v>
      </c>
      <c r="AL19" s="430"/>
    </row>
    <row r="20">
      <c r="A20" s="424">
        <v>20.0</v>
      </c>
      <c r="B20" s="419"/>
      <c r="C20" s="424">
        <v>133.0</v>
      </c>
      <c r="D20" s="419"/>
      <c r="E20" s="425">
        <v>134.0</v>
      </c>
      <c r="F20" s="426">
        <v>266.0</v>
      </c>
      <c r="G20" s="427"/>
      <c r="H20" s="428">
        <v>267.0</v>
      </c>
      <c r="I20" s="428">
        <v>400.0</v>
      </c>
      <c r="M20" s="437">
        <v>4.0</v>
      </c>
      <c r="N20" s="437">
        <v>2.0</v>
      </c>
      <c r="O20" s="437">
        <v>3.0</v>
      </c>
      <c r="P20" s="437">
        <v>4.0</v>
      </c>
      <c r="Q20" s="437">
        <v>2.0</v>
      </c>
      <c r="R20" s="437">
        <v>1.0</v>
      </c>
      <c r="S20" s="437">
        <v>1.0</v>
      </c>
      <c r="T20" s="437">
        <v>3.0</v>
      </c>
      <c r="U20" s="437">
        <v>4.0</v>
      </c>
      <c r="W20" s="433" t="str">
        <f>Main!B5</f>
        <v>Class 2</v>
      </c>
      <c r="X20" s="433">
        <f>Main!C5</f>
        <v>0</v>
      </c>
      <c r="Y20" s="433">
        <f>IF(W20="Class 2",0, dget(M16:U36, dget(M134:Q154,Y19,W19:W20),X19:X20))</f>
        <v>0</v>
      </c>
      <c r="Z20" s="433">
        <f>IF(W20="Class 2",0, dget(M16:U36, dget(M134:Q154,Z19,W19:W20),X19:X20))</f>
        <v>0</v>
      </c>
      <c r="AA20" s="433">
        <f>IF(W20="Class 2",0, dget(M16:U36, dget(M134:Q154,AA19,W19:W20),X19:X20))</f>
        <v>0</v>
      </c>
      <c r="AB20" s="433">
        <f>IF(W20="Class 2",0, dget(M16:U36, dget(M134:Q154,AB19,W19:W20),X19:X20))</f>
        <v>0</v>
      </c>
      <c r="AE20" s="430">
        <v>3.0</v>
      </c>
      <c r="AF20" s="430" t="s">
        <v>555</v>
      </c>
      <c r="AG20" s="430" t="s">
        <v>766</v>
      </c>
      <c r="AH20" s="430" t="s">
        <v>767</v>
      </c>
      <c r="AI20" s="430" t="s">
        <v>767</v>
      </c>
      <c r="AJ20" s="430" t="s">
        <v>767</v>
      </c>
      <c r="AK20" s="430" t="s">
        <v>767</v>
      </c>
      <c r="AL20" s="430"/>
    </row>
    <row r="21">
      <c r="A21" s="418">
        <v>21.0</v>
      </c>
      <c r="B21" s="419"/>
      <c r="C21" s="418">
        <v>153.0</v>
      </c>
      <c r="D21" s="419"/>
      <c r="E21" s="420">
        <v>154.0</v>
      </c>
      <c r="F21" s="429">
        <v>306.0</v>
      </c>
      <c r="G21" s="427"/>
      <c r="H21" s="423">
        <v>307.0</v>
      </c>
      <c r="I21" s="423">
        <v>460.0</v>
      </c>
      <c r="M21" s="437">
        <v>5.0</v>
      </c>
      <c r="N21" s="437">
        <v>2.0</v>
      </c>
      <c r="O21" s="437">
        <v>3.0</v>
      </c>
      <c r="P21" s="437">
        <v>5.0</v>
      </c>
      <c r="Q21" s="437">
        <v>2.0</v>
      </c>
      <c r="R21" s="437">
        <v>1.0</v>
      </c>
      <c r="S21" s="437">
        <v>1.0</v>
      </c>
      <c r="T21" s="437">
        <v>3.0</v>
      </c>
      <c r="U21" s="437">
        <v>4.0</v>
      </c>
      <c r="AE21" s="430">
        <v>4.0</v>
      </c>
      <c r="AF21" s="430" t="s">
        <v>555</v>
      </c>
      <c r="AG21" s="430" t="s">
        <v>766</v>
      </c>
      <c r="AH21" s="430" t="s">
        <v>767</v>
      </c>
      <c r="AI21" s="430" t="s">
        <v>767</v>
      </c>
      <c r="AJ21" s="430" t="s">
        <v>767</v>
      </c>
      <c r="AK21" s="430" t="s">
        <v>767</v>
      </c>
      <c r="AL21" s="430"/>
    </row>
    <row r="22">
      <c r="A22" s="424">
        <v>22.0</v>
      </c>
      <c r="B22" s="419"/>
      <c r="C22" s="424">
        <v>173.0</v>
      </c>
      <c r="D22" s="419"/>
      <c r="E22" s="425">
        <v>174.0</v>
      </c>
      <c r="F22" s="426">
        <v>346.0</v>
      </c>
      <c r="G22" s="427"/>
      <c r="H22" s="428">
        <v>347.0</v>
      </c>
      <c r="I22" s="428">
        <v>520.0</v>
      </c>
      <c r="M22" s="437">
        <v>6.0</v>
      </c>
      <c r="N22" s="437">
        <v>3.0</v>
      </c>
      <c r="O22" s="437">
        <v>4.0</v>
      </c>
      <c r="P22" s="437">
        <v>6.0</v>
      </c>
      <c r="Q22" s="437">
        <v>3.0</v>
      </c>
      <c r="R22" s="437">
        <v>2.0</v>
      </c>
      <c r="S22" s="437">
        <v>1.0</v>
      </c>
      <c r="T22" s="437">
        <v>4.0</v>
      </c>
      <c r="U22" s="437">
        <v>5.0</v>
      </c>
      <c r="W22" s="430" t="s">
        <v>266</v>
      </c>
      <c r="X22" s="430" t="s">
        <v>267</v>
      </c>
      <c r="Y22" s="430" t="s">
        <v>412</v>
      </c>
      <c r="Z22" s="430" t="s">
        <v>319</v>
      </c>
      <c r="AA22" s="430" t="s">
        <v>320</v>
      </c>
      <c r="AB22" s="430" t="s">
        <v>321</v>
      </c>
      <c r="AE22" s="430">
        <v>5.0</v>
      </c>
      <c r="AF22" s="430" t="s">
        <v>555</v>
      </c>
      <c r="AG22" s="430" t="s">
        <v>766</v>
      </c>
      <c r="AH22" s="430" t="s">
        <v>767</v>
      </c>
      <c r="AI22" s="430" t="s">
        <v>767</v>
      </c>
      <c r="AJ22" s="430" t="s">
        <v>767</v>
      </c>
      <c r="AK22" s="430" t="s">
        <v>767</v>
      </c>
      <c r="AL22" s="430"/>
    </row>
    <row r="23">
      <c r="A23" s="418">
        <v>23.0</v>
      </c>
      <c r="B23" s="419"/>
      <c r="C23" s="418">
        <v>200.0</v>
      </c>
      <c r="D23" s="419"/>
      <c r="E23" s="420">
        <v>201.0</v>
      </c>
      <c r="F23" s="429">
        <v>400.0</v>
      </c>
      <c r="G23" s="427"/>
      <c r="H23" s="423">
        <v>401.0</v>
      </c>
      <c r="I23" s="423">
        <v>600.0</v>
      </c>
      <c r="M23" s="437">
        <v>7.0</v>
      </c>
      <c r="N23" s="437">
        <v>3.0</v>
      </c>
      <c r="O23" s="437">
        <v>5.0</v>
      </c>
      <c r="P23" s="437">
        <v>7.0</v>
      </c>
      <c r="Q23" s="437">
        <v>3.0</v>
      </c>
      <c r="R23" s="437">
        <v>2.0</v>
      </c>
      <c r="S23" s="437">
        <v>1.0</v>
      </c>
      <c r="T23" s="437">
        <v>4.0</v>
      </c>
      <c r="U23" s="437">
        <v>5.0</v>
      </c>
      <c r="W23" s="433" t="str">
        <f>Main!B6</f>
        <v>Class 3</v>
      </c>
      <c r="X23" s="433">
        <f>Main!C6</f>
        <v>0</v>
      </c>
      <c r="Y23" s="433">
        <f>IF(W23="Class 3",0, dget(M16:U36, dget(M134:Q154,Y22,W22:W23),X22:X23))</f>
        <v>0</v>
      </c>
      <c r="Z23" s="433">
        <f>IF(W23="Class 3",0, dget(M16:U36, dget(M134:Q154,Z22,W22:W23),X22:X23))</f>
        <v>0</v>
      </c>
      <c r="AA23" s="433">
        <f>IF(W23="Class 3",0, dget(M16:U36, dget(M134:Q154,AA22,W22:W23),X22:X23))</f>
        <v>0</v>
      </c>
      <c r="AB23" s="433">
        <f>IF(W23="Class 3",0, dget(M16:U36, dget(M134:Q154,AB22,W22:W23),X22:X23))</f>
        <v>0</v>
      </c>
      <c r="AE23" s="430">
        <v>6.0</v>
      </c>
      <c r="AF23" s="430" t="s">
        <v>555</v>
      </c>
      <c r="AG23" s="430" t="s">
        <v>766</v>
      </c>
      <c r="AH23" s="430" t="s">
        <v>767</v>
      </c>
      <c r="AI23" s="430" t="s">
        <v>767</v>
      </c>
      <c r="AJ23" s="430" t="s">
        <v>767</v>
      </c>
      <c r="AK23" s="430" t="s">
        <v>767</v>
      </c>
      <c r="AL23" s="430"/>
    </row>
    <row r="24">
      <c r="A24" s="424">
        <v>24.0</v>
      </c>
      <c r="B24" s="419"/>
      <c r="C24" s="424">
        <v>233.0</v>
      </c>
      <c r="D24" s="419"/>
      <c r="E24" s="425">
        <v>234.0</v>
      </c>
      <c r="F24" s="426">
        <v>466.0</v>
      </c>
      <c r="G24" s="427"/>
      <c r="H24" s="428">
        <v>467.0</v>
      </c>
      <c r="I24" s="428">
        <v>700.0</v>
      </c>
      <c r="M24" s="437">
        <v>8.0</v>
      </c>
      <c r="N24" s="437">
        <v>4.0</v>
      </c>
      <c r="O24" s="437">
        <v>6.0</v>
      </c>
      <c r="P24" s="437">
        <v>8.0</v>
      </c>
      <c r="Q24" s="437">
        <v>3.0</v>
      </c>
      <c r="R24" s="437">
        <v>2.0</v>
      </c>
      <c r="S24" s="437">
        <v>1.0</v>
      </c>
      <c r="T24" s="437">
        <v>4.0</v>
      </c>
      <c r="U24" s="437">
        <v>6.0</v>
      </c>
      <c r="AE24" s="430">
        <v>7.0</v>
      </c>
      <c r="AF24" s="430" t="s">
        <v>555</v>
      </c>
      <c r="AG24" s="430" t="s">
        <v>766</v>
      </c>
      <c r="AH24" s="430" t="s">
        <v>767</v>
      </c>
      <c r="AI24" s="430" t="s">
        <v>767</v>
      </c>
      <c r="AJ24" s="430" t="s">
        <v>767</v>
      </c>
      <c r="AK24" s="430" t="s">
        <v>767</v>
      </c>
      <c r="AL24" s="430"/>
    </row>
    <row r="25">
      <c r="A25" s="418">
        <v>25.0</v>
      </c>
      <c r="B25" s="419"/>
      <c r="C25" s="418">
        <v>266.0</v>
      </c>
      <c r="D25" s="419"/>
      <c r="E25" s="420">
        <v>267.0</v>
      </c>
      <c r="F25" s="429">
        <v>533.0</v>
      </c>
      <c r="G25" s="427"/>
      <c r="H25" s="423">
        <v>534.0</v>
      </c>
      <c r="I25" s="423">
        <v>800.0</v>
      </c>
      <c r="M25" s="437">
        <v>9.0</v>
      </c>
      <c r="N25" s="437">
        <v>4.0</v>
      </c>
      <c r="O25" s="437">
        <v>6.0</v>
      </c>
      <c r="P25" s="437">
        <v>9.0</v>
      </c>
      <c r="Q25" s="437">
        <v>3.0</v>
      </c>
      <c r="R25" s="437">
        <v>3.0</v>
      </c>
      <c r="S25" s="437">
        <v>1.0</v>
      </c>
      <c r="T25" s="437">
        <v>4.0</v>
      </c>
      <c r="U25" s="437">
        <v>6.0</v>
      </c>
      <c r="AE25" s="430">
        <v>8.0</v>
      </c>
      <c r="AF25" s="430" t="s">
        <v>555</v>
      </c>
      <c r="AG25" s="430" t="s">
        <v>766</v>
      </c>
      <c r="AH25" s="430" t="s">
        <v>767</v>
      </c>
      <c r="AI25" s="430" t="s">
        <v>767</v>
      </c>
      <c r="AJ25" s="430" t="s">
        <v>767</v>
      </c>
      <c r="AK25" s="430" t="s">
        <v>767</v>
      </c>
      <c r="AL25" s="430"/>
    </row>
    <row r="26">
      <c r="A26" s="424">
        <v>26.0</v>
      </c>
      <c r="B26" s="419"/>
      <c r="C26" s="424">
        <v>306.0</v>
      </c>
      <c r="D26" s="419"/>
      <c r="E26" s="425">
        <v>307.0</v>
      </c>
      <c r="F26" s="426">
        <v>613.0</v>
      </c>
      <c r="G26" s="427"/>
      <c r="H26" s="428">
        <v>614.0</v>
      </c>
      <c r="I26" s="428">
        <v>920.0</v>
      </c>
      <c r="M26" s="437">
        <v>10.0</v>
      </c>
      <c r="N26" s="437">
        <v>5.0</v>
      </c>
      <c r="O26" s="437">
        <v>7.0</v>
      </c>
      <c r="P26" s="437">
        <v>10.0</v>
      </c>
      <c r="Q26" s="437">
        <v>4.0</v>
      </c>
      <c r="R26" s="437">
        <v>3.0</v>
      </c>
      <c r="S26" s="437">
        <v>2.0</v>
      </c>
      <c r="T26" s="437">
        <v>5.0</v>
      </c>
      <c r="U26" s="437">
        <v>7.0</v>
      </c>
      <c r="W26" s="430" t="s">
        <v>768</v>
      </c>
      <c r="X26" s="430" t="s">
        <v>769</v>
      </c>
      <c r="Y26" s="430" t="s">
        <v>770</v>
      </c>
      <c r="Z26" s="430" t="s">
        <v>771</v>
      </c>
      <c r="AE26" s="430">
        <v>9.0</v>
      </c>
      <c r="AF26" s="430" t="s">
        <v>555</v>
      </c>
      <c r="AG26" s="430" t="s">
        <v>766</v>
      </c>
      <c r="AH26" s="430" t="s">
        <v>767</v>
      </c>
      <c r="AI26" s="430" t="s">
        <v>767</v>
      </c>
      <c r="AJ26" s="430" t="s">
        <v>767</v>
      </c>
      <c r="AK26" s="430" t="s">
        <v>767</v>
      </c>
      <c r="AL26" s="430"/>
    </row>
    <row r="27">
      <c r="A27" s="418">
        <v>27.0</v>
      </c>
      <c r="B27" s="419"/>
      <c r="C27" s="418">
        <v>346.0</v>
      </c>
      <c r="D27" s="419"/>
      <c r="E27" s="420">
        <v>347.0</v>
      </c>
      <c r="F27" s="429">
        <v>693.0</v>
      </c>
      <c r="G27" s="427"/>
      <c r="H27" s="423">
        <v>694.0</v>
      </c>
      <c r="I27" s="423">
        <v>1040.0</v>
      </c>
      <c r="M27" s="437">
        <v>11.0</v>
      </c>
      <c r="N27" s="437">
        <v>5.0</v>
      </c>
      <c r="O27" s="437">
        <v>8.0</v>
      </c>
      <c r="P27" s="437">
        <v>11.0</v>
      </c>
      <c r="Q27" s="437">
        <v>4.0</v>
      </c>
      <c r="R27" s="437">
        <v>3.0</v>
      </c>
      <c r="S27" s="437">
        <v>2.0</v>
      </c>
      <c r="T27" s="437">
        <v>5.0</v>
      </c>
      <c r="U27" s="437">
        <v>7.0</v>
      </c>
      <c r="W27" s="433" t="str">
        <f t="shared" ref="W27:Z27" si="1">Y17+Y20+Y23</f>
        <v>#VALUE!</v>
      </c>
      <c r="X27" s="433" t="str">
        <f t="shared" si="1"/>
        <v>#VALUE!</v>
      </c>
      <c r="Y27" s="433" t="str">
        <f t="shared" si="1"/>
        <v>#VALUE!</v>
      </c>
      <c r="Z27" s="433" t="str">
        <f t="shared" si="1"/>
        <v>#VALUE!</v>
      </c>
      <c r="AE27" s="430">
        <v>10.0</v>
      </c>
      <c r="AF27" s="430" t="s">
        <v>555</v>
      </c>
      <c r="AG27" s="430" t="s">
        <v>766</v>
      </c>
      <c r="AH27" s="430" t="s">
        <v>767</v>
      </c>
      <c r="AI27" s="430" t="s">
        <v>767</v>
      </c>
      <c r="AJ27" s="430" t="s">
        <v>767</v>
      </c>
      <c r="AK27" s="430" t="s">
        <v>767</v>
      </c>
      <c r="AL27" s="430"/>
    </row>
    <row r="28">
      <c r="A28" s="424">
        <v>28.0</v>
      </c>
      <c r="B28" s="419"/>
      <c r="C28" s="424">
        <v>400.0</v>
      </c>
      <c r="D28" s="419"/>
      <c r="E28" s="425">
        <v>401.0</v>
      </c>
      <c r="F28" s="426">
        <v>800.0</v>
      </c>
      <c r="G28" s="427"/>
      <c r="H28" s="428">
        <v>801.0</v>
      </c>
      <c r="I28" s="428">
        <v>1200.0</v>
      </c>
      <c r="M28" s="437">
        <v>12.0</v>
      </c>
      <c r="N28" s="437">
        <v>6.0</v>
      </c>
      <c r="O28" s="437">
        <v>9.0</v>
      </c>
      <c r="P28" s="437">
        <v>12.0</v>
      </c>
      <c r="Q28" s="437"/>
      <c r="R28" s="437">
        <v>4.0</v>
      </c>
      <c r="S28" s="437"/>
      <c r="T28" s="437"/>
      <c r="U28" s="437">
        <v>8.0</v>
      </c>
      <c r="AE28" s="430">
        <v>11.0</v>
      </c>
      <c r="AF28" s="430" t="s">
        <v>555</v>
      </c>
      <c r="AG28" s="430" t="s">
        <v>766</v>
      </c>
      <c r="AH28" s="430" t="s">
        <v>767</v>
      </c>
      <c r="AI28" s="430" t="s">
        <v>767</v>
      </c>
      <c r="AJ28" s="430" t="s">
        <v>767</v>
      </c>
      <c r="AK28" s="430" t="s">
        <v>767</v>
      </c>
      <c r="AL28" s="430"/>
    </row>
    <row r="29">
      <c r="A29" s="418">
        <v>29.0</v>
      </c>
      <c r="B29" s="419"/>
      <c r="C29" s="418">
        <v>466.0</v>
      </c>
      <c r="D29" s="419"/>
      <c r="E29" s="420">
        <v>467.0</v>
      </c>
      <c r="F29" s="438">
        <v>933.0</v>
      </c>
      <c r="G29" s="427"/>
      <c r="H29" s="423">
        <v>934.0</v>
      </c>
      <c r="I29" s="423">
        <v>1400.0</v>
      </c>
      <c r="M29" s="437">
        <v>13.0</v>
      </c>
      <c r="N29" s="437">
        <v>6.0</v>
      </c>
      <c r="O29" s="437">
        <v>9.0</v>
      </c>
      <c r="P29" s="437">
        <v>13.0</v>
      </c>
      <c r="Q29" s="437"/>
      <c r="R29" s="437">
        <v>4.0</v>
      </c>
      <c r="S29" s="437"/>
      <c r="T29" s="437"/>
      <c r="U29" s="437">
        <v>8.0</v>
      </c>
      <c r="AE29" s="430">
        <v>12.0</v>
      </c>
      <c r="AF29" s="430" t="s">
        <v>555</v>
      </c>
      <c r="AG29" s="430" t="s">
        <v>766</v>
      </c>
      <c r="AH29" s="430" t="s">
        <v>767</v>
      </c>
      <c r="AI29" s="430" t="s">
        <v>767</v>
      </c>
      <c r="AJ29" s="430" t="s">
        <v>767</v>
      </c>
      <c r="AK29" s="430" t="s">
        <v>767</v>
      </c>
      <c r="AL29" s="430"/>
    </row>
    <row r="30">
      <c r="A30" s="439" t="s">
        <v>772</v>
      </c>
      <c r="B30" s="440"/>
      <c r="C30" s="425" t="s">
        <v>773</v>
      </c>
      <c r="D30" s="441"/>
      <c r="E30" s="442" t="s">
        <v>773</v>
      </c>
      <c r="F30" s="443"/>
      <c r="G30" s="441"/>
      <c r="H30" s="444" t="s">
        <v>773</v>
      </c>
      <c r="M30" s="437">
        <v>14.0</v>
      </c>
      <c r="N30" s="437">
        <v>7.0</v>
      </c>
      <c r="O30" s="437">
        <v>10.0</v>
      </c>
      <c r="P30" s="437">
        <v>14.0</v>
      </c>
      <c r="Q30" s="437"/>
      <c r="R30" s="437">
        <v>4.0</v>
      </c>
      <c r="S30" s="437"/>
      <c r="T30" s="437"/>
      <c r="U30" s="437">
        <v>9.0</v>
      </c>
      <c r="W30" s="430" t="s">
        <v>312</v>
      </c>
      <c r="X30" s="430" t="s">
        <v>774</v>
      </c>
      <c r="Y30" s="430" t="s">
        <v>313</v>
      </c>
      <c r="Z30" s="430" t="s">
        <v>775</v>
      </c>
      <c r="AA30" s="430" t="s">
        <v>776</v>
      </c>
      <c r="AE30" s="430">
        <v>13.0</v>
      </c>
      <c r="AF30" s="430" t="s">
        <v>555</v>
      </c>
      <c r="AG30" s="430" t="s">
        <v>766</v>
      </c>
      <c r="AH30" s="430" t="s">
        <v>767</v>
      </c>
      <c r="AI30" s="430" t="s">
        <v>767</v>
      </c>
      <c r="AJ30" s="430" t="s">
        <v>767</v>
      </c>
      <c r="AK30" s="430" t="s">
        <v>767</v>
      </c>
      <c r="AL30" s="430"/>
    </row>
    <row r="31">
      <c r="M31" s="437">
        <v>15.0</v>
      </c>
      <c r="N31" s="437">
        <v>7.0</v>
      </c>
      <c r="O31" s="437">
        <v>11.0</v>
      </c>
      <c r="P31" s="437">
        <v>15.0</v>
      </c>
      <c r="Q31" s="437"/>
      <c r="R31" s="437">
        <v>5.0</v>
      </c>
      <c r="S31" s="437"/>
      <c r="T31" s="437"/>
      <c r="U31" s="437">
        <v>9.0</v>
      </c>
      <c r="W31" s="430" t="s">
        <v>777</v>
      </c>
      <c r="X31" s="430">
        <v>1.5</v>
      </c>
      <c r="Y31" s="430">
        <v>1.0</v>
      </c>
      <c r="Z31" s="430">
        <v>0.5</v>
      </c>
      <c r="AA31" s="430">
        <v>0.5</v>
      </c>
      <c r="AE31" s="430">
        <v>14.0</v>
      </c>
      <c r="AF31" s="430" t="s">
        <v>559</v>
      </c>
      <c r="AG31" s="430" t="s">
        <v>766</v>
      </c>
      <c r="AH31" s="430" t="s">
        <v>767</v>
      </c>
      <c r="AI31" s="430" t="s">
        <v>767</v>
      </c>
      <c r="AJ31" s="430" t="s">
        <v>767</v>
      </c>
      <c r="AK31" s="430" t="s">
        <v>767</v>
      </c>
      <c r="AL31" s="430"/>
    </row>
    <row r="32">
      <c r="M32" s="437">
        <v>16.0</v>
      </c>
      <c r="N32" s="437">
        <v>8.0</v>
      </c>
      <c r="O32" s="437">
        <v>12.0</v>
      </c>
      <c r="P32" s="437">
        <v>16.0</v>
      </c>
      <c r="Q32" s="437"/>
      <c r="R32" s="437">
        <v>5.0</v>
      </c>
      <c r="S32" s="437"/>
      <c r="T32" s="437"/>
      <c r="U32" s="437">
        <v>10.0</v>
      </c>
      <c r="AE32" s="430">
        <v>15.0</v>
      </c>
      <c r="AF32" s="430" t="s">
        <v>559</v>
      </c>
      <c r="AG32" s="430" t="s">
        <v>766</v>
      </c>
      <c r="AH32" s="430" t="s">
        <v>767</v>
      </c>
      <c r="AI32" s="430" t="s">
        <v>767</v>
      </c>
      <c r="AJ32" s="430" t="s">
        <v>767</v>
      </c>
      <c r="AK32" s="430" t="s">
        <v>767</v>
      </c>
      <c r="AL32" s="430"/>
    </row>
    <row r="33">
      <c r="E33" s="337">
        <f t="array" ref="E33">IF(Main!X4&lt;30,INDEX(carrying_capacity,Main!X4,1),INDEX(carrying_capacity,MOD(Main!X4,10)+20,1)*4^CEILING((Main!X4-29)/10,1))*size_multiplier</f>
        <v>33</v>
      </c>
      <c r="F33" s="337"/>
      <c r="M33" s="437">
        <v>17.0</v>
      </c>
      <c r="N33" s="437">
        <v>8.0</v>
      </c>
      <c r="O33" s="437">
        <v>12.0</v>
      </c>
      <c r="P33" s="437">
        <v>17.0</v>
      </c>
      <c r="Q33" s="437"/>
      <c r="R33" s="437">
        <v>5.0</v>
      </c>
      <c r="S33" s="437"/>
      <c r="T33" s="437"/>
      <c r="U33" s="437">
        <v>10.0</v>
      </c>
      <c r="AE33" s="430">
        <v>16.0</v>
      </c>
      <c r="AF33" s="430" t="s">
        <v>559</v>
      </c>
      <c r="AG33" s="430" t="s">
        <v>766</v>
      </c>
      <c r="AH33" s="430" t="s">
        <v>767</v>
      </c>
      <c r="AI33" s="430" t="s">
        <v>767</v>
      </c>
      <c r="AJ33" s="430" t="s">
        <v>767</v>
      </c>
      <c r="AK33" s="430" t="s">
        <v>767</v>
      </c>
      <c r="AL33" s="430"/>
    </row>
    <row r="34">
      <c r="E34" s="337">
        <f>E33+1</f>
        <v>34</v>
      </c>
      <c r="F34" s="445">
        <f t="array" ref="F34">IF(Main!X4&lt;30,INDEX(carrying_capacity,Main!X4,4),INDEX(carrying_capacity,MOD(Main!X4,10)+20,4)*4^CEILING((Main!X4-29)/10,1))*size_multiplier</f>
        <v>66</v>
      </c>
      <c r="M34" s="437">
        <v>18.0</v>
      </c>
      <c r="N34" s="437">
        <v>9.0</v>
      </c>
      <c r="O34" s="437">
        <v>13.0</v>
      </c>
      <c r="P34" s="437">
        <v>18.0</v>
      </c>
      <c r="Q34" s="437"/>
      <c r="R34" s="437">
        <v>6.0</v>
      </c>
      <c r="S34" s="437"/>
      <c r="T34" s="437"/>
      <c r="U34" s="437">
        <v>11.0</v>
      </c>
      <c r="AE34" s="430">
        <v>17.0</v>
      </c>
      <c r="AF34" s="430" t="s">
        <v>559</v>
      </c>
      <c r="AG34" s="430" t="s">
        <v>766</v>
      </c>
      <c r="AH34" s="430" t="s">
        <v>767</v>
      </c>
      <c r="AI34" s="430" t="s">
        <v>767</v>
      </c>
      <c r="AJ34" s="430" t="s">
        <v>767</v>
      </c>
      <c r="AK34" s="430" t="s">
        <v>767</v>
      </c>
      <c r="AL34" s="430"/>
    </row>
    <row r="35">
      <c r="E35" s="337">
        <f>F34+1</f>
        <v>67</v>
      </c>
      <c r="F35" s="445">
        <f t="array" ref="F35">IF(Main!X4&lt;30,INDEX(carrying_capacity,Main!X4,7),INDEX(carrying_capacity,MOD(Main!X4,10)+20,7)*4^CEILING((Main!X4-29)/10,1))*size_multiplier</f>
        <v>100</v>
      </c>
      <c r="M35" s="437">
        <v>19.0</v>
      </c>
      <c r="N35" s="437">
        <v>9.0</v>
      </c>
      <c r="O35" s="437">
        <v>14.0</v>
      </c>
      <c r="P35" s="437">
        <v>19.0</v>
      </c>
      <c r="Q35" s="437"/>
      <c r="R35" s="437">
        <v>6.0</v>
      </c>
      <c r="S35" s="437"/>
      <c r="T35" s="437"/>
      <c r="U35" s="437">
        <v>11.0</v>
      </c>
      <c r="AE35" s="430">
        <v>18.0</v>
      </c>
      <c r="AF35" s="430" t="s">
        <v>559</v>
      </c>
      <c r="AG35" s="430" t="s">
        <v>766</v>
      </c>
      <c r="AH35" s="430" t="s">
        <v>767</v>
      </c>
      <c r="AI35" s="430" t="s">
        <v>767</v>
      </c>
      <c r="AJ35" s="430" t="s">
        <v>767</v>
      </c>
      <c r="AK35" s="430" t="s">
        <v>767</v>
      </c>
      <c r="AL35" s="430"/>
    </row>
    <row r="36">
      <c r="M36" s="437">
        <v>20.0</v>
      </c>
      <c r="N36" s="437">
        <v>10.0</v>
      </c>
      <c r="O36" s="437">
        <v>15.0</v>
      </c>
      <c r="P36" s="437">
        <v>20.0</v>
      </c>
      <c r="Q36" s="437"/>
      <c r="R36" s="437">
        <v>6.0</v>
      </c>
      <c r="S36" s="437"/>
      <c r="T36" s="437"/>
      <c r="U36" s="437">
        <v>12.0</v>
      </c>
      <c r="AE36" s="430">
        <v>19.0</v>
      </c>
      <c r="AF36" s="430" t="s">
        <v>559</v>
      </c>
      <c r="AG36" s="430" t="s">
        <v>766</v>
      </c>
      <c r="AH36" s="430" t="s">
        <v>767</v>
      </c>
      <c r="AI36" s="430" t="s">
        <v>767</v>
      </c>
      <c r="AJ36" s="430" t="s">
        <v>767</v>
      </c>
      <c r="AK36" s="430" t="s">
        <v>767</v>
      </c>
      <c r="AL36" s="430"/>
    </row>
    <row r="37">
      <c r="AE37" s="430">
        <v>20.0</v>
      </c>
      <c r="AF37" s="430" t="s">
        <v>559</v>
      </c>
      <c r="AG37" s="430" t="s">
        <v>766</v>
      </c>
      <c r="AH37" s="430" t="s">
        <v>767</v>
      </c>
      <c r="AI37" s="430" t="s">
        <v>767</v>
      </c>
      <c r="AJ37" s="430" t="s">
        <v>767</v>
      </c>
      <c r="AK37" s="430" t="s">
        <v>767</v>
      </c>
      <c r="AL37" s="430"/>
    </row>
    <row r="38">
      <c r="AE38" s="430">
        <v>21.0</v>
      </c>
      <c r="AF38" s="430" t="s">
        <v>559</v>
      </c>
      <c r="AG38" s="430" t="s">
        <v>766</v>
      </c>
      <c r="AH38" s="430" t="s">
        <v>767</v>
      </c>
      <c r="AI38" s="430" t="s">
        <v>767</v>
      </c>
      <c r="AJ38" s="430" t="s">
        <v>767</v>
      </c>
      <c r="AK38" s="430" t="s">
        <v>767</v>
      </c>
      <c r="AL38" s="430"/>
    </row>
    <row r="39">
      <c r="AE39" s="430">
        <v>22.0</v>
      </c>
      <c r="AF39" s="430" t="s">
        <v>559</v>
      </c>
      <c r="AG39" s="430" t="s">
        <v>766</v>
      </c>
      <c r="AH39" s="430" t="s">
        <v>767</v>
      </c>
      <c r="AI39" s="430" t="s">
        <v>767</v>
      </c>
      <c r="AJ39" s="430" t="s">
        <v>767</v>
      </c>
      <c r="AK39" s="430" t="s">
        <v>767</v>
      </c>
      <c r="AL39" s="430"/>
    </row>
    <row r="40">
      <c r="AE40" s="430">
        <v>23.0</v>
      </c>
      <c r="AF40" s="430" t="s">
        <v>559</v>
      </c>
      <c r="AG40" s="430" t="s">
        <v>766</v>
      </c>
      <c r="AH40" s="430" t="s">
        <v>767</v>
      </c>
      <c r="AI40" s="430" t="s">
        <v>767</v>
      </c>
      <c r="AJ40" s="430" t="s">
        <v>767</v>
      </c>
      <c r="AK40" s="430" t="s">
        <v>767</v>
      </c>
      <c r="AL40" s="430"/>
    </row>
    <row r="41">
      <c r="AE41" s="430">
        <v>24.0</v>
      </c>
      <c r="AF41" s="430" t="s">
        <v>559</v>
      </c>
      <c r="AG41" s="430" t="s">
        <v>766</v>
      </c>
      <c r="AH41" s="430" t="s">
        <v>767</v>
      </c>
      <c r="AI41" s="430" t="s">
        <v>767</v>
      </c>
      <c r="AJ41" s="430" t="s">
        <v>767</v>
      </c>
      <c r="AK41" s="430" t="s">
        <v>767</v>
      </c>
      <c r="AL41" s="430"/>
    </row>
    <row r="42">
      <c r="AE42" s="430">
        <v>25.0</v>
      </c>
      <c r="AF42" s="430" t="s">
        <v>559</v>
      </c>
      <c r="AG42" s="430" t="s">
        <v>766</v>
      </c>
      <c r="AH42" s="430" t="s">
        <v>767</v>
      </c>
      <c r="AI42" s="430" t="s">
        <v>767</v>
      </c>
      <c r="AJ42" s="430" t="s">
        <v>767</v>
      </c>
      <c r="AK42" s="430" t="s">
        <v>767</v>
      </c>
      <c r="AL42" s="430"/>
    </row>
    <row r="43">
      <c r="AE43" s="430">
        <v>26.0</v>
      </c>
      <c r="AF43" s="430" t="s">
        <v>778</v>
      </c>
      <c r="AG43" s="430" t="s">
        <v>766</v>
      </c>
      <c r="AH43" s="430" t="s">
        <v>767</v>
      </c>
      <c r="AI43" s="430" t="s">
        <v>767</v>
      </c>
      <c r="AJ43" s="430" t="s">
        <v>767</v>
      </c>
      <c r="AK43" s="430" t="s">
        <v>767</v>
      </c>
      <c r="AL43" s="430"/>
    </row>
    <row r="44">
      <c r="AE44" s="430">
        <v>27.0</v>
      </c>
      <c r="AF44" s="430" t="s">
        <v>561</v>
      </c>
      <c r="AG44" s="430" t="s">
        <v>766</v>
      </c>
      <c r="AH44" s="430" t="s">
        <v>767</v>
      </c>
      <c r="AI44" s="430" t="s">
        <v>767</v>
      </c>
      <c r="AJ44" s="430" t="s">
        <v>767</v>
      </c>
      <c r="AK44" s="430" t="s">
        <v>767</v>
      </c>
      <c r="AL44" s="430"/>
    </row>
    <row r="45">
      <c r="AE45" s="430">
        <v>28.0</v>
      </c>
      <c r="AF45" s="430" t="s">
        <v>561</v>
      </c>
      <c r="AG45" s="430" t="s">
        <v>766</v>
      </c>
      <c r="AH45" s="430" t="s">
        <v>767</v>
      </c>
      <c r="AI45" s="430" t="s">
        <v>767</v>
      </c>
      <c r="AJ45" s="430" t="s">
        <v>767</v>
      </c>
      <c r="AK45" s="430" t="s">
        <v>767</v>
      </c>
      <c r="AL45" s="430"/>
    </row>
    <row r="46">
      <c r="AE46" s="430">
        <v>29.0</v>
      </c>
      <c r="AF46" s="430" t="s">
        <v>561</v>
      </c>
      <c r="AG46" s="430" t="s">
        <v>766</v>
      </c>
      <c r="AH46" s="430" t="s">
        <v>767</v>
      </c>
      <c r="AI46" s="430" t="s">
        <v>767</v>
      </c>
      <c r="AJ46" s="430" t="s">
        <v>767</v>
      </c>
      <c r="AK46" s="430" t="s">
        <v>767</v>
      </c>
      <c r="AL46" s="430"/>
    </row>
    <row r="47">
      <c r="AE47" s="430">
        <v>30.0</v>
      </c>
      <c r="AF47" s="430" t="s">
        <v>561</v>
      </c>
      <c r="AG47" s="430" t="s">
        <v>766</v>
      </c>
      <c r="AH47" s="430" t="s">
        <v>767</v>
      </c>
      <c r="AI47" s="430" t="s">
        <v>767</v>
      </c>
      <c r="AJ47" s="430" t="s">
        <v>767</v>
      </c>
      <c r="AK47" s="430" t="s">
        <v>767</v>
      </c>
      <c r="AL47" s="430"/>
    </row>
    <row r="48">
      <c r="AE48" s="430">
        <v>31.0</v>
      </c>
      <c r="AF48" s="430" t="s">
        <v>561</v>
      </c>
      <c r="AG48" s="430" t="s">
        <v>766</v>
      </c>
      <c r="AH48" s="430" t="s">
        <v>767</v>
      </c>
      <c r="AI48" s="430" t="s">
        <v>767</v>
      </c>
      <c r="AJ48" s="430" t="s">
        <v>767</v>
      </c>
      <c r="AK48" s="430" t="s">
        <v>767</v>
      </c>
      <c r="AL48" s="430"/>
    </row>
    <row r="49">
      <c r="AE49" s="430">
        <v>32.0</v>
      </c>
      <c r="AF49" s="430" t="s">
        <v>561</v>
      </c>
      <c r="AG49" s="430" t="s">
        <v>766</v>
      </c>
      <c r="AH49" s="430" t="s">
        <v>767</v>
      </c>
      <c r="AI49" s="430" t="s">
        <v>767</v>
      </c>
      <c r="AJ49" s="430" t="s">
        <v>767</v>
      </c>
      <c r="AK49" s="430" t="s">
        <v>767</v>
      </c>
      <c r="AL49" s="430"/>
    </row>
    <row r="50">
      <c r="AE50" s="430">
        <v>33.0</v>
      </c>
      <c r="AF50" s="430" t="s">
        <v>561</v>
      </c>
      <c r="AG50" s="430" t="s">
        <v>766</v>
      </c>
      <c r="AH50" s="430" t="s">
        <v>767</v>
      </c>
      <c r="AI50" s="430" t="s">
        <v>767</v>
      </c>
      <c r="AJ50" s="430" t="s">
        <v>767</v>
      </c>
      <c r="AK50" s="430" t="s">
        <v>767</v>
      </c>
      <c r="AL50" s="430"/>
    </row>
    <row r="51">
      <c r="O51" s="433">
        <f t="array" ref="O51">if(or(Main!$T$12="Heavy",Main!$T$12="Medium",Equipment!$I$5&gt;Sheet4!$F$34,Equipment!$I$5&gt;Sheet4!$E$33),0,dget(Sheet4!$A$112:$C$132,"Speed",{"Level";iferror(dget(Main!B$3:C$6,Main!$C$3,{"Class";"Monk"}),1)}))</f>
        <v>0</v>
      </c>
      <c r="AE51" s="430">
        <v>34.0</v>
      </c>
      <c r="AF51" s="430" t="s">
        <v>561</v>
      </c>
      <c r="AG51" s="430" t="s">
        <v>766</v>
      </c>
      <c r="AH51" s="430" t="s">
        <v>767</v>
      </c>
      <c r="AI51" s="430" t="s">
        <v>767</v>
      </c>
      <c r="AJ51" s="430" t="s">
        <v>767</v>
      </c>
      <c r="AK51" s="430" t="s">
        <v>767</v>
      </c>
      <c r="AL51" s="430"/>
    </row>
    <row r="52">
      <c r="AE52" s="430">
        <v>35.0</v>
      </c>
      <c r="AF52" s="430" t="s">
        <v>561</v>
      </c>
      <c r="AG52" s="430" t="s">
        <v>766</v>
      </c>
      <c r="AH52" s="430" t="s">
        <v>767</v>
      </c>
      <c r="AI52" s="430" t="s">
        <v>767</v>
      </c>
      <c r="AJ52" s="430" t="s">
        <v>767</v>
      </c>
      <c r="AK52" s="430" t="s">
        <v>767</v>
      </c>
      <c r="AL52" s="430"/>
    </row>
    <row r="53">
      <c r="AE53" s="430">
        <v>36.0</v>
      </c>
      <c r="AF53" s="430" t="s">
        <v>561</v>
      </c>
      <c r="AG53" s="430" t="s">
        <v>766</v>
      </c>
      <c r="AH53" s="430" t="s">
        <v>767</v>
      </c>
      <c r="AI53" s="430" t="s">
        <v>767</v>
      </c>
      <c r="AJ53" s="430" t="s">
        <v>767</v>
      </c>
      <c r="AK53" s="430" t="s">
        <v>767</v>
      </c>
      <c r="AL53" s="430"/>
    </row>
    <row r="54">
      <c r="AE54" s="430">
        <v>37.0</v>
      </c>
      <c r="AF54" s="430" t="s">
        <v>561</v>
      </c>
      <c r="AG54" s="430" t="s">
        <v>766</v>
      </c>
      <c r="AH54" s="430" t="s">
        <v>767</v>
      </c>
      <c r="AI54" s="430" t="s">
        <v>767</v>
      </c>
      <c r="AJ54" s="430" t="s">
        <v>767</v>
      </c>
      <c r="AK54" s="430" t="s">
        <v>767</v>
      </c>
      <c r="AL54" s="430"/>
    </row>
    <row r="55">
      <c r="AE55" s="430">
        <v>38.0</v>
      </c>
      <c r="AF55" s="430" t="s">
        <v>561</v>
      </c>
      <c r="AG55" s="430" t="s">
        <v>766</v>
      </c>
      <c r="AH55" s="430" t="s">
        <v>767</v>
      </c>
      <c r="AI55" s="430" t="s">
        <v>767</v>
      </c>
      <c r="AJ55" s="430" t="s">
        <v>767</v>
      </c>
      <c r="AK55" s="430" t="s">
        <v>767</v>
      </c>
      <c r="AL55" s="430"/>
    </row>
    <row r="56">
      <c r="M56" s="430" t="s">
        <v>779</v>
      </c>
      <c r="N56" s="430" t="s">
        <v>337</v>
      </c>
      <c r="O56" s="430" t="s">
        <v>327</v>
      </c>
      <c r="P56" s="430" t="s">
        <v>780</v>
      </c>
      <c r="Q56" s="430" t="s">
        <v>781</v>
      </c>
      <c r="R56" s="430" t="s">
        <v>782</v>
      </c>
      <c r="S56" s="430" t="s">
        <v>783</v>
      </c>
      <c r="T56" s="430" t="s">
        <v>784</v>
      </c>
      <c r="U56" s="430" t="s">
        <v>785</v>
      </c>
      <c r="V56" s="430" t="s">
        <v>786</v>
      </c>
      <c r="W56" s="430" t="s">
        <v>787</v>
      </c>
      <c r="X56" s="430" t="s">
        <v>788</v>
      </c>
      <c r="AE56" s="430">
        <v>39.0</v>
      </c>
      <c r="AF56" s="430" t="s">
        <v>789</v>
      </c>
      <c r="AG56" s="430" t="s">
        <v>766</v>
      </c>
      <c r="AH56" s="430" t="s">
        <v>767</v>
      </c>
      <c r="AI56" s="430" t="s">
        <v>767</v>
      </c>
      <c r="AJ56" s="430" t="s">
        <v>767</v>
      </c>
      <c r="AK56" s="430" t="s">
        <v>767</v>
      </c>
      <c r="AL56" s="430"/>
    </row>
    <row r="57">
      <c r="M57" s="430" t="s">
        <v>317</v>
      </c>
      <c r="O57" s="430">
        <v>0.0</v>
      </c>
      <c r="P57" s="430">
        <v>20.0</v>
      </c>
      <c r="Q57" s="430">
        <v>30.0</v>
      </c>
      <c r="R57" s="430">
        <v>40.0</v>
      </c>
      <c r="S57" s="430">
        <v>50.0</v>
      </c>
      <c r="T57" s="430">
        <v>60.0</v>
      </c>
      <c r="U57" s="430">
        <v>70.0</v>
      </c>
      <c r="V57" s="430">
        <v>80.0</v>
      </c>
      <c r="W57" s="430">
        <v>90.0</v>
      </c>
      <c r="X57" s="430">
        <v>100.0</v>
      </c>
      <c r="AE57" s="430">
        <v>40.0</v>
      </c>
      <c r="AF57" s="430" t="s">
        <v>789</v>
      </c>
      <c r="AG57" s="430" t="s">
        <v>766</v>
      </c>
      <c r="AH57" s="430" t="s">
        <v>767</v>
      </c>
      <c r="AI57" s="430" t="s">
        <v>767</v>
      </c>
      <c r="AJ57" s="430" t="s">
        <v>767</v>
      </c>
      <c r="AK57" s="430" t="s">
        <v>767</v>
      </c>
      <c r="AL57" s="430"/>
    </row>
    <row r="58">
      <c r="M58" s="430" t="s">
        <v>329</v>
      </c>
      <c r="N58" s="430">
        <v>3.0</v>
      </c>
      <c r="O58" s="430">
        <v>3.0</v>
      </c>
      <c r="P58" s="430">
        <v>15.0</v>
      </c>
      <c r="Q58" s="430">
        <v>20.0</v>
      </c>
      <c r="R58" s="430">
        <v>30.0</v>
      </c>
      <c r="S58" s="430">
        <v>35.0</v>
      </c>
      <c r="T58" s="430">
        <v>40.0</v>
      </c>
      <c r="U58" s="430">
        <v>50.0</v>
      </c>
      <c r="V58" s="430">
        <v>55.0</v>
      </c>
      <c r="W58" s="430">
        <v>60.0</v>
      </c>
      <c r="X58" s="430">
        <v>70.0</v>
      </c>
      <c r="AE58" s="430">
        <v>41.0</v>
      </c>
      <c r="AF58" s="430" t="s">
        <v>789</v>
      </c>
      <c r="AG58" s="430" t="s">
        <v>766</v>
      </c>
      <c r="AH58" s="430" t="s">
        <v>767</v>
      </c>
      <c r="AI58" s="430" t="s">
        <v>767</v>
      </c>
      <c r="AJ58" s="430" t="s">
        <v>767</v>
      </c>
      <c r="AK58" s="430" t="s">
        <v>767</v>
      </c>
      <c r="AL58" s="430"/>
    </row>
    <row r="59">
      <c r="M59" s="430" t="s">
        <v>790</v>
      </c>
      <c r="N59" s="430">
        <v>1.0</v>
      </c>
      <c r="O59" s="430">
        <v>6.0</v>
      </c>
      <c r="P59" s="430">
        <v>15.0</v>
      </c>
      <c r="Q59" s="430">
        <v>20.0</v>
      </c>
      <c r="R59" s="430">
        <v>30.0</v>
      </c>
      <c r="S59" s="430">
        <v>35.0</v>
      </c>
      <c r="T59" s="430">
        <v>40.0</v>
      </c>
      <c r="U59" s="430">
        <v>50.0</v>
      </c>
      <c r="V59" s="430">
        <v>55.0</v>
      </c>
      <c r="W59" s="430">
        <v>60.0</v>
      </c>
      <c r="X59" s="430">
        <v>70.0</v>
      </c>
      <c r="AE59" s="430">
        <v>42.0</v>
      </c>
      <c r="AF59" s="430" t="s">
        <v>789</v>
      </c>
      <c r="AG59" s="430" t="s">
        <v>766</v>
      </c>
      <c r="AH59" s="430" t="s">
        <v>767</v>
      </c>
      <c r="AI59" s="430" t="s">
        <v>767</v>
      </c>
      <c r="AJ59" s="430" t="s">
        <v>767</v>
      </c>
      <c r="AK59" s="430" t="s">
        <v>767</v>
      </c>
      <c r="AL59" s="430"/>
    </row>
    <row r="60">
      <c r="AE60" s="430">
        <v>43.0</v>
      </c>
      <c r="AF60" s="430" t="s">
        <v>791</v>
      </c>
      <c r="AG60" s="430" t="s">
        <v>766</v>
      </c>
      <c r="AH60" s="430" t="s">
        <v>767</v>
      </c>
      <c r="AI60" s="430" t="s">
        <v>767</v>
      </c>
      <c r="AJ60" s="430" t="s">
        <v>767</v>
      </c>
      <c r="AK60" s="430" t="s">
        <v>767</v>
      </c>
      <c r="AL60" s="430"/>
    </row>
    <row r="61">
      <c r="AE61" s="430">
        <v>44.0</v>
      </c>
      <c r="AF61" s="430" t="s">
        <v>791</v>
      </c>
      <c r="AG61" s="430" t="s">
        <v>766</v>
      </c>
      <c r="AH61" s="430" t="s">
        <v>767</v>
      </c>
      <c r="AI61" s="430" t="s">
        <v>767</v>
      </c>
      <c r="AJ61" s="430" t="s">
        <v>767</v>
      </c>
      <c r="AK61" s="430" t="s">
        <v>767</v>
      </c>
      <c r="AL61" s="430"/>
    </row>
    <row r="62">
      <c r="AE62" s="430">
        <v>45.0</v>
      </c>
      <c r="AF62" s="430" t="s">
        <v>791</v>
      </c>
      <c r="AG62" s="430" t="s">
        <v>766</v>
      </c>
      <c r="AH62" s="430" t="s">
        <v>767</v>
      </c>
      <c r="AI62" s="430" t="s">
        <v>767</v>
      </c>
      <c r="AJ62" s="430" t="s">
        <v>767</v>
      </c>
      <c r="AK62" s="430" t="s">
        <v>767</v>
      </c>
      <c r="AL62" s="430"/>
    </row>
    <row r="63">
      <c r="AE63" s="430">
        <v>46.0</v>
      </c>
      <c r="AF63" s="430" t="s">
        <v>791</v>
      </c>
      <c r="AG63" s="430" t="s">
        <v>766</v>
      </c>
      <c r="AH63" s="430" t="s">
        <v>767</v>
      </c>
      <c r="AI63" s="430" t="s">
        <v>767</v>
      </c>
      <c r="AJ63" s="430" t="s">
        <v>767</v>
      </c>
      <c r="AK63" s="430" t="s">
        <v>767</v>
      </c>
      <c r="AL63" s="430"/>
    </row>
    <row r="64">
      <c r="M64" s="430" t="s">
        <v>792</v>
      </c>
      <c r="O64" s="430" t="s">
        <v>374</v>
      </c>
      <c r="AE64" s="430">
        <v>47.0</v>
      </c>
      <c r="AF64" s="430" t="s">
        <v>791</v>
      </c>
      <c r="AG64" s="430" t="s">
        <v>766</v>
      </c>
      <c r="AH64" s="430" t="s">
        <v>767</v>
      </c>
      <c r="AI64" s="430" t="s">
        <v>767</v>
      </c>
      <c r="AJ64" s="430" t="s">
        <v>767</v>
      </c>
      <c r="AK64" s="430" t="s">
        <v>767</v>
      </c>
      <c r="AL64" s="430"/>
    </row>
    <row r="65">
      <c r="A65" s="446" t="s">
        <v>793</v>
      </c>
      <c r="B65" s="202"/>
      <c r="C65" s="202"/>
      <c r="D65" s="202"/>
      <c r="E65" s="202"/>
      <c r="F65" s="202"/>
      <c r="G65" s="202"/>
      <c r="H65" s="203"/>
      <c r="M65" s="433">
        <f>dget(M69:P78,if(isblank(Main!T12),"Light",Main!T12),O64:O65)</f>
        <v>30</v>
      </c>
      <c r="O65" s="430">
        <f t="array" ref="O65">Main!C29
+
if(iferror(dget(Main!$B$3:$C$6,Main!$C$3,{"Class";"Barbarian"}),0)=0,0,if(or($T$12="Heavy",Equipment!$I$5&gt;Sheet4!$F$34),0,10))
+
if(or(Main!$T$12="Heavy",Main!$T$12="Medium",Equipment!$I$5&gt;Sheet4!$F$34,Equipment!$I$5&gt;Sheet4!$E$33),0,dget(Sheet4!$A$112:$C$132,"Speed",{"Level";iferror(dget(Main!B$3:C$6,Main!$C$3,{"Class";"Monk"}),1)}))
+
if('Spell Switchboard'!D30,30,0)
+
if('Spell Switchboard'!I22,10,0)</f>
        <v>30</v>
      </c>
      <c r="R65" s="430" t="s">
        <v>794</v>
      </c>
      <c r="U65" s="430" t="s">
        <v>795</v>
      </c>
      <c r="AE65" s="430">
        <v>48.0</v>
      </c>
      <c r="AF65" s="430" t="s">
        <v>791</v>
      </c>
      <c r="AG65" s="430" t="s">
        <v>766</v>
      </c>
      <c r="AH65" s="430" t="s">
        <v>767</v>
      </c>
      <c r="AI65" s="430" t="s">
        <v>767</v>
      </c>
      <c r="AJ65" s="430" t="s">
        <v>767</v>
      </c>
      <c r="AK65" s="430" t="s">
        <v>767</v>
      </c>
      <c r="AL65" s="430"/>
    </row>
    <row r="66">
      <c r="A66" s="447" t="s">
        <v>267</v>
      </c>
      <c r="B66" s="203"/>
      <c r="C66" s="447" t="s">
        <v>744</v>
      </c>
      <c r="D66" s="448"/>
      <c r="E66" s="447" t="s">
        <v>796</v>
      </c>
      <c r="F66" s="203"/>
      <c r="G66" s="447" t="s">
        <v>797</v>
      </c>
      <c r="H66" s="203"/>
      <c r="R66" s="433">
        <f>dget(M69:P78,IF(Equipment!I5&gt;Sheet4!F34,"Heavy",if(Equipment!I5&gt;Sheet4!E33,"Medium","Light")),O64:O65)</f>
        <v>30</v>
      </c>
      <c r="U66" s="433">
        <f t="array" ref="U66">if(Main!X4=0,0,dget(M56:X59,"ACP",{"Load";IF(Equipment!I5&gt;Sheet4!F34,"Heavy",if(Equipment!I5&gt;Sheet4!E33,"Medium","Light"))}))</f>
        <v>0</v>
      </c>
      <c r="AE66" s="430">
        <v>49.0</v>
      </c>
      <c r="AF66" s="430" t="s">
        <v>791</v>
      </c>
      <c r="AG66" s="430" t="s">
        <v>766</v>
      </c>
      <c r="AH66" s="430" t="s">
        <v>767</v>
      </c>
      <c r="AI66" s="430" t="s">
        <v>767</v>
      </c>
      <c r="AJ66" s="430" t="s">
        <v>767</v>
      </c>
      <c r="AK66" s="430" t="s">
        <v>767</v>
      </c>
      <c r="AL66" s="430"/>
    </row>
    <row r="67">
      <c r="A67" s="447">
        <v>1.0</v>
      </c>
      <c r="B67" s="203"/>
      <c r="C67" s="447">
        <v>1.0</v>
      </c>
      <c r="D67" s="203"/>
      <c r="E67" s="447">
        <v>1.0</v>
      </c>
      <c r="F67" s="203"/>
      <c r="G67" s="447">
        <v>1.0</v>
      </c>
      <c r="H67" s="203"/>
      <c r="AE67" s="430">
        <v>50.0</v>
      </c>
      <c r="AF67" s="430" t="s">
        <v>791</v>
      </c>
      <c r="AG67" s="430" t="s">
        <v>766</v>
      </c>
      <c r="AH67" s="430" t="s">
        <v>767</v>
      </c>
      <c r="AI67" s="430" t="s">
        <v>767</v>
      </c>
      <c r="AJ67" s="430" t="s">
        <v>767</v>
      </c>
      <c r="AK67" s="430" t="s">
        <v>767</v>
      </c>
      <c r="AL67" s="430"/>
    </row>
    <row r="68">
      <c r="A68" s="447">
        <v>2.0</v>
      </c>
      <c r="B68" s="203"/>
      <c r="C68" s="447">
        <v>1.0</v>
      </c>
      <c r="D68" s="203"/>
      <c r="E68" s="447">
        <v>1.0</v>
      </c>
      <c r="F68" s="203"/>
      <c r="G68" s="447">
        <v>1.0</v>
      </c>
      <c r="H68" s="203"/>
      <c r="AE68" s="430">
        <v>51.0</v>
      </c>
      <c r="AF68" s="430" t="s">
        <v>791</v>
      </c>
      <c r="AG68" s="430" t="s">
        <v>766</v>
      </c>
      <c r="AH68" s="430" t="s">
        <v>767</v>
      </c>
      <c r="AI68" s="430" t="s">
        <v>767</v>
      </c>
      <c r="AJ68" s="430" t="s">
        <v>767</v>
      </c>
      <c r="AK68" s="430" t="s">
        <v>767</v>
      </c>
      <c r="AL68" s="430"/>
    </row>
    <row r="69">
      <c r="A69" s="447">
        <v>3.0</v>
      </c>
      <c r="B69" s="203"/>
      <c r="C69" s="447">
        <v>1.0</v>
      </c>
      <c r="D69" s="203"/>
      <c r="E69" s="447">
        <v>1.0</v>
      </c>
      <c r="F69" s="203"/>
      <c r="G69" s="447">
        <v>1.0</v>
      </c>
      <c r="H69" s="203"/>
      <c r="M69" s="430" t="s">
        <v>374</v>
      </c>
      <c r="N69" s="430" t="s">
        <v>317</v>
      </c>
      <c r="O69" s="430" t="s">
        <v>329</v>
      </c>
      <c r="P69" s="430" t="s">
        <v>790</v>
      </c>
      <c r="AE69" s="430">
        <v>52.0</v>
      </c>
      <c r="AF69" s="430" t="s">
        <v>791</v>
      </c>
      <c r="AG69" s="430" t="s">
        <v>766</v>
      </c>
      <c r="AH69" s="430" t="s">
        <v>767</v>
      </c>
      <c r="AI69" s="430" t="s">
        <v>767</v>
      </c>
      <c r="AJ69" s="430" t="s">
        <v>767</v>
      </c>
      <c r="AK69" s="430" t="s">
        <v>767</v>
      </c>
      <c r="AL69" s="430"/>
    </row>
    <row r="70">
      <c r="A70" s="447">
        <v>4.0</v>
      </c>
      <c r="B70" s="203"/>
      <c r="C70" s="447">
        <v>1.0</v>
      </c>
      <c r="D70" s="203"/>
      <c r="E70" s="447">
        <v>1.0</v>
      </c>
      <c r="F70" s="203"/>
      <c r="G70" s="447">
        <v>2.0</v>
      </c>
      <c r="H70" s="203"/>
      <c r="M70" s="430">
        <v>20.0</v>
      </c>
      <c r="N70" s="430">
        <v>20.0</v>
      </c>
      <c r="O70" s="430">
        <v>15.0</v>
      </c>
      <c r="P70" s="430">
        <v>15.0</v>
      </c>
      <c r="AE70" s="430">
        <v>53.0</v>
      </c>
      <c r="AF70" s="430" t="s">
        <v>798</v>
      </c>
      <c r="AG70" s="430" t="s">
        <v>766</v>
      </c>
      <c r="AH70" s="430" t="s">
        <v>767</v>
      </c>
      <c r="AI70" s="430" t="s">
        <v>767</v>
      </c>
      <c r="AJ70" s="430" t="s">
        <v>767</v>
      </c>
      <c r="AK70" s="430" t="s">
        <v>767</v>
      </c>
      <c r="AL70" s="430"/>
    </row>
    <row r="71">
      <c r="A71" s="447">
        <v>5.0</v>
      </c>
      <c r="B71" s="203"/>
      <c r="C71" s="447">
        <v>1.0</v>
      </c>
      <c r="D71" s="203"/>
      <c r="E71" s="447">
        <v>1.0</v>
      </c>
      <c r="F71" s="203"/>
      <c r="G71" s="447">
        <v>2.0</v>
      </c>
      <c r="H71" s="203"/>
      <c r="M71" s="430">
        <v>30.0</v>
      </c>
      <c r="N71" s="430">
        <v>30.0</v>
      </c>
      <c r="O71" s="430">
        <v>20.0</v>
      </c>
      <c r="P71" s="430">
        <v>20.0</v>
      </c>
      <c r="AE71" s="430">
        <v>54.0</v>
      </c>
      <c r="AF71" s="430" t="s">
        <v>798</v>
      </c>
      <c r="AG71" s="430" t="s">
        <v>766</v>
      </c>
      <c r="AH71" s="430" t="s">
        <v>767</v>
      </c>
      <c r="AI71" s="430" t="s">
        <v>767</v>
      </c>
      <c r="AJ71" s="430" t="s">
        <v>767</v>
      </c>
      <c r="AK71" s="430" t="s">
        <v>767</v>
      </c>
      <c r="AL71" s="430"/>
    </row>
    <row r="72">
      <c r="A72" s="447">
        <v>6.0</v>
      </c>
      <c r="B72" s="203"/>
      <c r="C72" s="447">
        <v>1.0</v>
      </c>
      <c r="D72" s="203"/>
      <c r="E72" s="447">
        <v>1.0</v>
      </c>
      <c r="F72" s="203"/>
      <c r="G72" s="447">
        <v>2.0</v>
      </c>
      <c r="H72" s="203"/>
      <c r="M72" s="430">
        <v>40.0</v>
      </c>
      <c r="N72" s="430">
        <v>40.0</v>
      </c>
      <c r="O72" s="430">
        <v>30.0</v>
      </c>
      <c r="P72" s="430">
        <v>30.0</v>
      </c>
      <c r="AE72" s="430">
        <v>55.0</v>
      </c>
      <c r="AF72" s="430" t="s">
        <v>798</v>
      </c>
      <c r="AG72" s="430" t="s">
        <v>766</v>
      </c>
      <c r="AH72" s="430" t="s">
        <v>767</v>
      </c>
      <c r="AI72" s="430" t="s">
        <v>767</v>
      </c>
      <c r="AJ72" s="430" t="s">
        <v>767</v>
      </c>
      <c r="AK72" s="430" t="s">
        <v>767</v>
      </c>
      <c r="AL72" s="430"/>
    </row>
    <row r="73">
      <c r="A73" s="447">
        <v>7.0</v>
      </c>
      <c r="B73" s="203"/>
      <c r="C73" s="447">
        <v>1.0</v>
      </c>
      <c r="D73" s="203"/>
      <c r="E73" s="447">
        <v>1.0</v>
      </c>
      <c r="F73" s="203"/>
      <c r="G73" s="447">
        <v>2.0</v>
      </c>
      <c r="H73" s="203"/>
      <c r="M73" s="430">
        <v>50.0</v>
      </c>
      <c r="N73" s="430">
        <v>50.0</v>
      </c>
      <c r="O73" s="430">
        <v>35.0</v>
      </c>
      <c r="P73" s="430">
        <v>35.0</v>
      </c>
      <c r="AE73" s="430">
        <v>56.0</v>
      </c>
      <c r="AF73" s="430" t="s">
        <v>798</v>
      </c>
      <c r="AG73" s="430" t="s">
        <v>766</v>
      </c>
      <c r="AH73" s="430" t="s">
        <v>767</v>
      </c>
      <c r="AI73" s="430" t="s">
        <v>767</v>
      </c>
      <c r="AJ73" s="430" t="s">
        <v>767</v>
      </c>
      <c r="AK73" s="430" t="s">
        <v>767</v>
      </c>
      <c r="AL73" s="430"/>
    </row>
    <row r="74">
      <c r="A74" s="447">
        <v>8.0</v>
      </c>
      <c r="B74" s="203"/>
      <c r="C74" s="447">
        <v>1.0</v>
      </c>
      <c r="D74" s="203"/>
      <c r="E74" s="447">
        <v>1.0</v>
      </c>
      <c r="F74" s="203"/>
      <c r="G74" s="447">
        <v>2.0</v>
      </c>
      <c r="H74" s="203"/>
      <c r="M74" s="430">
        <v>60.0</v>
      </c>
      <c r="N74" s="430">
        <v>60.0</v>
      </c>
      <c r="O74" s="430">
        <v>40.0</v>
      </c>
      <c r="P74" s="430">
        <v>40.0</v>
      </c>
      <c r="AE74" s="430">
        <v>57.0</v>
      </c>
      <c r="AF74" s="430" t="s">
        <v>798</v>
      </c>
      <c r="AG74" s="430" t="s">
        <v>766</v>
      </c>
      <c r="AH74" s="430" t="s">
        <v>767</v>
      </c>
      <c r="AI74" s="430" t="s">
        <v>767</v>
      </c>
      <c r="AJ74" s="430" t="s">
        <v>767</v>
      </c>
      <c r="AK74" s="430" t="s">
        <v>767</v>
      </c>
      <c r="AL74" s="430"/>
    </row>
    <row r="75">
      <c r="A75" s="447">
        <v>9.0</v>
      </c>
      <c r="B75" s="203"/>
      <c r="C75" s="447">
        <v>1.0</v>
      </c>
      <c r="D75" s="203"/>
      <c r="E75" s="447">
        <v>1.0</v>
      </c>
      <c r="F75" s="203"/>
      <c r="G75" s="447">
        <v>2.0</v>
      </c>
      <c r="H75" s="203"/>
      <c r="M75" s="430">
        <v>70.0</v>
      </c>
      <c r="N75" s="430">
        <v>70.0</v>
      </c>
      <c r="O75" s="430">
        <v>50.0</v>
      </c>
      <c r="P75" s="430">
        <v>50.0</v>
      </c>
      <c r="AE75" s="430">
        <v>58.0</v>
      </c>
      <c r="AF75" s="430" t="s">
        <v>798</v>
      </c>
      <c r="AG75" s="430" t="s">
        <v>766</v>
      </c>
      <c r="AH75" s="430" t="s">
        <v>767</v>
      </c>
      <c r="AI75" s="430" t="s">
        <v>767</v>
      </c>
      <c r="AJ75" s="430" t="s">
        <v>767</v>
      </c>
      <c r="AK75" s="430" t="s">
        <v>767</v>
      </c>
      <c r="AL75" s="430"/>
    </row>
    <row r="76">
      <c r="A76" s="447">
        <v>10.0</v>
      </c>
      <c r="B76" s="203"/>
      <c r="C76" s="447">
        <v>1.0</v>
      </c>
      <c r="D76" s="203"/>
      <c r="E76" s="447">
        <v>1.0</v>
      </c>
      <c r="F76" s="203"/>
      <c r="G76" s="447">
        <v>2.0</v>
      </c>
      <c r="H76" s="203"/>
      <c r="M76" s="430">
        <v>80.0</v>
      </c>
      <c r="N76" s="430">
        <v>80.0</v>
      </c>
      <c r="O76" s="430">
        <v>55.0</v>
      </c>
      <c r="P76" s="430">
        <v>55.0</v>
      </c>
      <c r="AE76" s="430">
        <v>59.0</v>
      </c>
      <c r="AF76" s="430" t="s">
        <v>798</v>
      </c>
      <c r="AG76" s="430" t="s">
        <v>766</v>
      </c>
      <c r="AH76" s="430" t="s">
        <v>767</v>
      </c>
      <c r="AI76" s="430" t="s">
        <v>767</v>
      </c>
      <c r="AJ76" s="430" t="s">
        <v>767</v>
      </c>
      <c r="AK76" s="430" t="s">
        <v>767</v>
      </c>
      <c r="AL76" s="430"/>
    </row>
    <row r="77">
      <c r="A77" s="447">
        <v>11.0</v>
      </c>
      <c r="B77" s="203"/>
      <c r="C77" s="447">
        <v>1.0</v>
      </c>
      <c r="D77" s="203"/>
      <c r="E77" s="447">
        <v>1.0</v>
      </c>
      <c r="F77" s="203"/>
      <c r="G77" s="447">
        <v>2.0</v>
      </c>
      <c r="H77" s="203"/>
      <c r="M77" s="430">
        <v>90.0</v>
      </c>
      <c r="N77" s="430">
        <v>90.0</v>
      </c>
      <c r="O77" s="430">
        <v>60.0</v>
      </c>
      <c r="P77" s="430">
        <v>60.0</v>
      </c>
      <c r="AE77" s="430">
        <v>60.0</v>
      </c>
      <c r="AF77" s="430" t="s">
        <v>798</v>
      </c>
      <c r="AG77" s="430" t="s">
        <v>766</v>
      </c>
      <c r="AH77" s="430" t="s">
        <v>767</v>
      </c>
      <c r="AI77" s="430" t="s">
        <v>767</v>
      </c>
      <c r="AJ77" s="430" t="s">
        <v>767</v>
      </c>
      <c r="AK77" s="430" t="s">
        <v>767</v>
      </c>
      <c r="AL77" s="430"/>
    </row>
    <row r="78">
      <c r="A78" s="447">
        <v>12.0</v>
      </c>
      <c r="B78" s="203"/>
      <c r="C78" s="447">
        <v>1.0</v>
      </c>
      <c r="D78" s="203"/>
      <c r="E78" s="447">
        <v>2.0</v>
      </c>
      <c r="F78" s="203"/>
      <c r="G78" s="447">
        <v>3.0</v>
      </c>
      <c r="H78" s="203"/>
      <c r="M78" s="430">
        <v>100.0</v>
      </c>
      <c r="N78" s="430">
        <v>100.0</v>
      </c>
      <c r="O78" s="430">
        <v>70.0</v>
      </c>
      <c r="P78" s="430">
        <v>70.0</v>
      </c>
      <c r="AE78" s="430">
        <v>61.0</v>
      </c>
      <c r="AF78" s="430" t="s">
        <v>798</v>
      </c>
      <c r="AG78" s="430" t="s">
        <v>766</v>
      </c>
      <c r="AH78" s="430" t="s">
        <v>767</v>
      </c>
      <c r="AI78" s="430" t="s">
        <v>767</v>
      </c>
      <c r="AJ78" s="430" t="s">
        <v>767</v>
      </c>
      <c r="AK78" s="430" t="s">
        <v>767</v>
      </c>
      <c r="AL78" s="430"/>
    </row>
    <row r="79">
      <c r="A79" s="447">
        <v>13.0</v>
      </c>
      <c r="B79" s="203"/>
      <c r="C79" s="447">
        <v>1.0</v>
      </c>
      <c r="D79" s="203"/>
      <c r="E79" s="447">
        <v>2.0</v>
      </c>
      <c r="F79" s="203"/>
      <c r="G79" s="447">
        <v>3.0</v>
      </c>
      <c r="H79" s="203"/>
      <c r="AE79" s="430">
        <v>62.0</v>
      </c>
      <c r="AF79" s="430" t="s">
        <v>798</v>
      </c>
      <c r="AG79" s="430" t="s">
        <v>766</v>
      </c>
      <c r="AH79" s="430" t="s">
        <v>767</v>
      </c>
      <c r="AI79" s="430" t="s">
        <v>767</v>
      </c>
      <c r="AJ79" s="430" t="s">
        <v>767</v>
      </c>
      <c r="AK79" s="430" t="s">
        <v>767</v>
      </c>
      <c r="AL79" s="430"/>
    </row>
    <row r="80">
      <c r="A80" s="447">
        <v>14.0</v>
      </c>
      <c r="B80" s="203"/>
      <c r="C80" s="447">
        <v>1.0</v>
      </c>
      <c r="D80" s="203"/>
      <c r="E80" s="447">
        <v>2.0</v>
      </c>
      <c r="F80" s="203"/>
      <c r="G80" s="447">
        <v>3.0</v>
      </c>
      <c r="H80" s="203"/>
      <c r="L80" s="430" t="s">
        <v>799</v>
      </c>
      <c r="M80" s="449" t="s">
        <v>313</v>
      </c>
      <c r="N80" s="449" t="s">
        <v>775</v>
      </c>
      <c r="O80" s="449"/>
      <c r="P80" s="449"/>
      <c r="AE80" s="430">
        <v>63.0</v>
      </c>
      <c r="AF80" s="430" t="s">
        <v>568</v>
      </c>
      <c r="AG80" s="430" t="s">
        <v>766</v>
      </c>
      <c r="AH80" s="430" t="s">
        <v>767</v>
      </c>
      <c r="AI80" s="430" t="s">
        <v>767</v>
      </c>
      <c r="AJ80" s="430" t="s">
        <v>767</v>
      </c>
      <c r="AK80" s="430" t="s">
        <v>767</v>
      </c>
      <c r="AL80" s="430"/>
    </row>
    <row r="81">
      <c r="A81" s="447">
        <v>15.0</v>
      </c>
      <c r="B81" s="203"/>
      <c r="C81" s="447">
        <v>1.0</v>
      </c>
      <c r="D81" s="203"/>
      <c r="E81" s="447">
        <v>2.0</v>
      </c>
      <c r="F81" s="203"/>
      <c r="G81" s="447">
        <v>3.0</v>
      </c>
      <c r="H81" s="203"/>
      <c r="L81" s="430" t="s">
        <v>800</v>
      </c>
      <c r="M81" s="450">
        <v>-6.0</v>
      </c>
      <c r="N81" s="450">
        <v>-10.0</v>
      </c>
      <c r="AE81" s="430">
        <v>64.0</v>
      </c>
      <c r="AF81" s="430" t="s">
        <v>568</v>
      </c>
      <c r="AG81" s="430" t="s">
        <v>766</v>
      </c>
      <c r="AH81" s="430" t="s">
        <v>767</v>
      </c>
      <c r="AI81" s="430" t="s">
        <v>767</v>
      </c>
      <c r="AJ81" s="430" t="s">
        <v>767</v>
      </c>
      <c r="AK81" s="430" t="s">
        <v>767</v>
      </c>
      <c r="AL81" s="430"/>
    </row>
    <row r="82">
      <c r="A82" s="447">
        <v>16.0</v>
      </c>
      <c r="B82" s="203"/>
      <c r="C82" s="447">
        <v>2.0</v>
      </c>
      <c r="D82" s="203"/>
      <c r="E82" s="447">
        <v>2.0</v>
      </c>
      <c r="F82" s="203"/>
      <c r="G82" s="447">
        <v>3.0</v>
      </c>
      <c r="H82" s="203"/>
      <c r="L82" s="430" t="s">
        <v>801</v>
      </c>
      <c r="M82" s="450">
        <v>-4.0</v>
      </c>
      <c r="N82" s="450">
        <v>-8.0</v>
      </c>
      <c r="AE82" s="430">
        <v>65.0</v>
      </c>
      <c r="AF82" s="430" t="s">
        <v>568</v>
      </c>
      <c r="AG82" s="430" t="s">
        <v>766</v>
      </c>
      <c r="AH82" s="430" t="s">
        <v>767</v>
      </c>
      <c r="AI82" s="430" t="s">
        <v>767</v>
      </c>
      <c r="AJ82" s="430" t="s">
        <v>767</v>
      </c>
      <c r="AK82" s="430" t="s">
        <v>767</v>
      </c>
      <c r="AL82" s="430"/>
    </row>
    <row r="83">
      <c r="A83" s="447">
        <v>17.0</v>
      </c>
      <c r="B83" s="203"/>
      <c r="C83" s="447">
        <v>2.0</v>
      </c>
      <c r="D83" s="203"/>
      <c r="E83" s="447">
        <v>2.0</v>
      </c>
      <c r="F83" s="203"/>
      <c r="G83" s="447">
        <v>3.0</v>
      </c>
      <c r="H83" s="203"/>
      <c r="L83" s="430" t="s">
        <v>802</v>
      </c>
      <c r="M83" s="450">
        <v>-4.0</v>
      </c>
      <c r="N83" s="450">
        <v>-4.0</v>
      </c>
      <c r="AE83" s="430">
        <v>66.0</v>
      </c>
      <c r="AF83" s="430" t="s">
        <v>568</v>
      </c>
      <c r="AG83" s="430" t="s">
        <v>766</v>
      </c>
      <c r="AH83" s="430" t="s">
        <v>767</v>
      </c>
      <c r="AI83" s="430" t="s">
        <v>767</v>
      </c>
      <c r="AJ83" s="430" t="s">
        <v>767</v>
      </c>
      <c r="AK83" s="430" t="s">
        <v>767</v>
      </c>
      <c r="AL83" s="430"/>
    </row>
    <row r="84">
      <c r="A84" s="447">
        <v>18.0</v>
      </c>
      <c r="B84" s="203"/>
      <c r="C84" s="447">
        <v>2.0</v>
      </c>
      <c r="D84" s="203"/>
      <c r="E84" s="447">
        <v>2.0</v>
      </c>
      <c r="F84" s="203"/>
      <c r="G84" s="447">
        <v>3.0</v>
      </c>
      <c r="H84" s="203"/>
      <c r="L84" s="430" t="s">
        <v>803</v>
      </c>
      <c r="M84" s="450">
        <v>-2.0</v>
      </c>
      <c r="N84" s="450">
        <v>-2.0</v>
      </c>
      <c r="AE84" s="430">
        <v>67.0</v>
      </c>
      <c r="AF84" s="430" t="s">
        <v>568</v>
      </c>
      <c r="AG84" s="430" t="s">
        <v>766</v>
      </c>
      <c r="AH84" s="430" t="s">
        <v>767</v>
      </c>
      <c r="AI84" s="430" t="s">
        <v>767</v>
      </c>
      <c r="AJ84" s="430" t="s">
        <v>767</v>
      </c>
      <c r="AK84" s="430" t="s">
        <v>767</v>
      </c>
      <c r="AL84" s="430"/>
    </row>
    <row r="85">
      <c r="A85" s="447">
        <v>19.0</v>
      </c>
      <c r="B85" s="203"/>
      <c r="C85" s="447">
        <v>2.0</v>
      </c>
      <c r="D85" s="203"/>
      <c r="E85" s="447">
        <v>2.0</v>
      </c>
      <c r="F85" s="203"/>
      <c r="G85" s="447">
        <v>3.0</v>
      </c>
      <c r="H85" s="203"/>
      <c r="L85" s="430" t="s">
        <v>445</v>
      </c>
      <c r="M85" s="450">
        <v>0.0</v>
      </c>
      <c r="N85" s="450">
        <v>0.0</v>
      </c>
      <c r="AE85" s="430">
        <v>68.0</v>
      </c>
      <c r="AF85" s="430" t="s">
        <v>568</v>
      </c>
      <c r="AG85" s="430" t="s">
        <v>766</v>
      </c>
      <c r="AH85" s="430" t="s">
        <v>767</v>
      </c>
      <c r="AI85" s="430" t="s">
        <v>767</v>
      </c>
      <c r="AJ85" s="430" t="s">
        <v>767</v>
      </c>
      <c r="AK85" s="430" t="s">
        <v>767</v>
      </c>
      <c r="AL85" s="430"/>
    </row>
    <row r="86">
      <c r="A86" s="447">
        <v>20.0</v>
      </c>
      <c r="B86" s="203"/>
      <c r="C86" s="447">
        <v>2.0</v>
      </c>
      <c r="D86" s="203"/>
      <c r="E86" s="447">
        <v>2.0</v>
      </c>
      <c r="F86" s="203"/>
      <c r="G86" s="447">
        <v>4.0</v>
      </c>
      <c r="H86" s="203"/>
      <c r="AE86" s="430">
        <v>69.0</v>
      </c>
      <c r="AF86" s="430" t="s">
        <v>568</v>
      </c>
      <c r="AG86" s="430" t="s">
        <v>766</v>
      </c>
      <c r="AH86" s="430" t="s">
        <v>767</v>
      </c>
      <c r="AI86" s="430" t="s">
        <v>767</v>
      </c>
      <c r="AJ86" s="430" t="s">
        <v>767</v>
      </c>
      <c r="AK86" s="430" t="s">
        <v>767</v>
      </c>
      <c r="AL86" s="430"/>
    </row>
    <row r="87">
      <c r="O87" s="430" t="s">
        <v>804</v>
      </c>
      <c r="P87" s="430" t="s">
        <v>805</v>
      </c>
      <c r="AE87" s="430">
        <v>70.0</v>
      </c>
      <c r="AF87" s="430" t="s">
        <v>568</v>
      </c>
      <c r="AG87" s="430" t="s">
        <v>766</v>
      </c>
      <c r="AH87" s="430" t="s">
        <v>767</v>
      </c>
      <c r="AI87" s="430" t="s">
        <v>767</v>
      </c>
      <c r="AJ87" s="430" t="s">
        <v>767</v>
      </c>
      <c r="AK87" s="430" t="s">
        <v>767</v>
      </c>
      <c r="AL87" s="430"/>
    </row>
    <row r="88">
      <c r="A88" s="446" t="s">
        <v>806</v>
      </c>
      <c r="B88" s="202"/>
      <c r="C88" s="202"/>
      <c r="D88" s="202"/>
      <c r="E88" s="202"/>
      <c r="F88" s="202"/>
      <c r="G88" s="202"/>
      <c r="H88" s="203"/>
      <c r="L88" s="451"/>
      <c r="O88" s="431" t="s">
        <v>807</v>
      </c>
      <c r="P88" s="452">
        <v>4.0</v>
      </c>
      <c r="Q88" s="451"/>
      <c r="R88" s="451"/>
      <c r="AE88" s="430">
        <v>71.0</v>
      </c>
      <c r="AF88" s="430" t="s">
        <v>568</v>
      </c>
      <c r="AG88" s="430" t="s">
        <v>808</v>
      </c>
      <c r="AH88" s="430" t="s">
        <v>767</v>
      </c>
      <c r="AI88" s="430" t="s">
        <v>767</v>
      </c>
      <c r="AJ88" s="430" t="s">
        <v>767</v>
      </c>
      <c r="AK88" s="430" t="s">
        <v>767</v>
      </c>
      <c r="AL88" s="430"/>
    </row>
    <row r="89">
      <c r="A89" s="447" t="s">
        <v>267</v>
      </c>
      <c r="B89" s="203"/>
      <c r="C89" s="447" t="s">
        <v>744</v>
      </c>
      <c r="D89" s="448"/>
      <c r="E89" s="447" t="s">
        <v>796</v>
      </c>
      <c r="F89" s="203"/>
      <c r="G89" s="447" t="s">
        <v>797</v>
      </c>
      <c r="H89" s="203"/>
      <c r="O89" s="431" t="s">
        <v>809</v>
      </c>
      <c r="P89" s="452">
        <v>6.0</v>
      </c>
      <c r="AE89" s="430">
        <v>72.0</v>
      </c>
      <c r="AF89" s="430" t="s">
        <v>568</v>
      </c>
      <c r="AG89" s="430" t="s">
        <v>808</v>
      </c>
      <c r="AH89" s="430" t="s">
        <v>767</v>
      </c>
      <c r="AI89" s="430" t="s">
        <v>767</v>
      </c>
      <c r="AJ89" s="430" t="s">
        <v>767</v>
      </c>
      <c r="AK89" s="430" t="s">
        <v>767</v>
      </c>
      <c r="AL89" s="430"/>
    </row>
    <row r="90">
      <c r="A90" s="447">
        <v>1.0</v>
      </c>
      <c r="B90" s="203"/>
      <c r="C90" s="447">
        <v>4.0</v>
      </c>
      <c r="D90" s="203"/>
      <c r="E90" s="447">
        <v>6.0</v>
      </c>
      <c r="F90" s="203"/>
      <c r="G90" s="447">
        <v>8.0</v>
      </c>
      <c r="H90" s="203"/>
      <c r="O90" s="431" t="s">
        <v>810</v>
      </c>
      <c r="P90" s="452">
        <v>8.0</v>
      </c>
      <c r="AE90" s="430">
        <v>73.0</v>
      </c>
      <c r="AF90" s="430" t="s">
        <v>568</v>
      </c>
      <c r="AG90" s="430" t="s">
        <v>808</v>
      </c>
      <c r="AH90" s="430" t="s">
        <v>767</v>
      </c>
      <c r="AI90" s="430" t="s">
        <v>767</v>
      </c>
      <c r="AJ90" s="430" t="s">
        <v>767</v>
      </c>
      <c r="AK90" s="430" t="s">
        <v>767</v>
      </c>
      <c r="AL90" s="430"/>
    </row>
    <row r="91">
      <c r="A91" s="447">
        <v>2.0</v>
      </c>
      <c r="B91" s="203"/>
      <c r="C91" s="447">
        <v>4.0</v>
      </c>
      <c r="D91" s="203"/>
      <c r="E91" s="447">
        <v>6.0</v>
      </c>
      <c r="F91" s="203"/>
      <c r="G91" s="447">
        <v>8.0</v>
      </c>
      <c r="H91" s="203"/>
      <c r="O91" s="431" t="s">
        <v>811</v>
      </c>
      <c r="P91" s="430">
        <v>10.0</v>
      </c>
      <c r="AE91" s="430">
        <v>74.0</v>
      </c>
      <c r="AF91" s="430" t="s">
        <v>568</v>
      </c>
      <c r="AG91" s="430" t="s">
        <v>808</v>
      </c>
      <c r="AH91" s="430" t="s">
        <v>767</v>
      </c>
      <c r="AI91" s="430" t="s">
        <v>767</v>
      </c>
      <c r="AJ91" s="430" t="s">
        <v>767</v>
      </c>
      <c r="AK91" s="430" t="s">
        <v>767</v>
      </c>
      <c r="AL91" s="430"/>
    </row>
    <row r="92">
      <c r="A92" s="447">
        <v>3.0</v>
      </c>
      <c r="B92" s="203"/>
      <c r="C92" s="447">
        <v>4.0</v>
      </c>
      <c r="D92" s="203"/>
      <c r="E92" s="447">
        <v>6.0</v>
      </c>
      <c r="F92" s="203"/>
      <c r="G92" s="447">
        <v>8.0</v>
      </c>
      <c r="H92" s="203"/>
      <c r="O92" s="430" t="s">
        <v>812</v>
      </c>
      <c r="P92" s="430">
        <v>12.0</v>
      </c>
      <c r="AE92" s="430">
        <v>75.0</v>
      </c>
      <c r="AF92" s="430" t="s">
        <v>450</v>
      </c>
      <c r="AG92" s="430" t="s">
        <v>808</v>
      </c>
      <c r="AH92" s="430" t="s">
        <v>767</v>
      </c>
      <c r="AI92" s="430" t="s">
        <v>767</v>
      </c>
      <c r="AJ92" s="430" t="s">
        <v>767</v>
      </c>
      <c r="AK92" s="430" t="s">
        <v>767</v>
      </c>
      <c r="AL92" s="430"/>
    </row>
    <row r="93">
      <c r="A93" s="447">
        <v>4.0</v>
      </c>
      <c r="B93" s="203"/>
      <c r="C93" s="447">
        <v>6.0</v>
      </c>
      <c r="D93" s="203"/>
      <c r="E93" s="447">
        <v>8.0</v>
      </c>
      <c r="F93" s="203"/>
      <c r="G93" s="447">
        <v>6.0</v>
      </c>
      <c r="H93" s="203"/>
      <c r="O93" s="430" t="s">
        <v>813</v>
      </c>
      <c r="P93" s="430">
        <v>20.0</v>
      </c>
      <c r="AE93" s="430">
        <v>76.0</v>
      </c>
      <c r="AF93" s="430" t="s">
        <v>450</v>
      </c>
      <c r="AG93" s="430" t="s">
        <v>808</v>
      </c>
      <c r="AH93" s="430" t="s">
        <v>767</v>
      </c>
      <c r="AI93" s="430" t="s">
        <v>767</v>
      </c>
      <c r="AJ93" s="430" t="s">
        <v>767</v>
      </c>
      <c r="AK93" s="430" t="s">
        <v>767</v>
      </c>
      <c r="AL93" s="430"/>
    </row>
    <row r="94">
      <c r="A94" s="447">
        <v>5.0</v>
      </c>
      <c r="B94" s="203"/>
      <c r="C94" s="447">
        <v>6.0</v>
      </c>
      <c r="D94" s="203"/>
      <c r="E94" s="447">
        <v>8.0</v>
      </c>
      <c r="F94" s="203"/>
      <c r="G94" s="447">
        <v>6.0</v>
      </c>
      <c r="H94" s="203"/>
      <c r="O94" s="430" t="s">
        <v>814</v>
      </c>
      <c r="P94" s="430">
        <v>100.0</v>
      </c>
      <c r="AE94" s="430">
        <v>77.0</v>
      </c>
      <c r="AF94" s="430" t="s">
        <v>450</v>
      </c>
      <c r="AG94" s="430" t="s">
        <v>808</v>
      </c>
      <c r="AH94" s="430" t="s">
        <v>767</v>
      </c>
      <c r="AI94" s="430" t="s">
        <v>767</v>
      </c>
      <c r="AJ94" s="430" t="s">
        <v>767</v>
      </c>
      <c r="AK94" s="430" t="s">
        <v>815</v>
      </c>
      <c r="AL94" s="430"/>
    </row>
    <row r="95">
      <c r="A95" s="447">
        <v>6.0</v>
      </c>
      <c r="B95" s="203"/>
      <c r="C95" s="447">
        <v>6.0</v>
      </c>
      <c r="D95" s="203"/>
      <c r="E95" s="447">
        <v>8.0</v>
      </c>
      <c r="F95" s="203"/>
      <c r="G95" s="447">
        <v>6.0</v>
      </c>
      <c r="H95" s="203"/>
      <c r="AE95" s="430">
        <v>78.0</v>
      </c>
      <c r="AF95" s="430" t="s">
        <v>450</v>
      </c>
      <c r="AG95" s="430" t="s">
        <v>808</v>
      </c>
      <c r="AH95" s="430" t="s">
        <v>767</v>
      </c>
      <c r="AI95" s="430" t="s">
        <v>767</v>
      </c>
      <c r="AJ95" s="430" t="s">
        <v>767</v>
      </c>
      <c r="AK95" s="430" t="s">
        <v>815</v>
      </c>
      <c r="AL95" s="430"/>
    </row>
    <row r="96">
      <c r="A96" s="447">
        <v>7.0</v>
      </c>
      <c r="B96" s="203"/>
      <c r="C96" s="447">
        <v>6.0</v>
      </c>
      <c r="D96" s="203"/>
      <c r="E96" s="447">
        <v>8.0</v>
      </c>
      <c r="F96" s="203"/>
      <c r="G96" s="447">
        <v>6.0</v>
      </c>
      <c r="H96" s="203"/>
      <c r="AE96" s="430">
        <v>79.0</v>
      </c>
      <c r="AF96" s="430" t="s">
        <v>450</v>
      </c>
      <c r="AG96" s="430" t="s">
        <v>808</v>
      </c>
      <c r="AH96" s="430" t="s">
        <v>767</v>
      </c>
      <c r="AI96" s="430" t="s">
        <v>767</v>
      </c>
      <c r="AJ96" s="430" t="s">
        <v>767</v>
      </c>
      <c r="AK96" s="430" t="s">
        <v>815</v>
      </c>
      <c r="AL96" s="430"/>
    </row>
    <row r="97">
      <c r="A97" s="447">
        <v>8.0</v>
      </c>
      <c r="B97" s="203"/>
      <c r="C97" s="447">
        <v>8.0</v>
      </c>
      <c r="D97" s="203"/>
      <c r="E97" s="447">
        <v>10.0</v>
      </c>
      <c r="F97" s="203"/>
      <c r="G97" s="447">
        <v>8.0</v>
      </c>
      <c r="H97" s="203"/>
      <c r="AE97" s="430">
        <v>80.0</v>
      </c>
      <c r="AF97" s="430" t="s">
        <v>450</v>
      </c>
      <c r="AG97" s="430" t="s">
        <v>808</v>
      </c>
      <c r="AH97" s="430" t="s">
        <v>767</v>
      </c>
      <c r="AI97" s="430" t="s">
        <v>767</v>
      </c>
      <c r="AJ97" s="430" t="s">
        <v>767</v>
      </c>
      <c r="AK97" s="430" t="s">
        <v>815</v>
      </c>
      <c r="AL97" s="430"/>
    </row>
    <row r="98">
      <c r="A98" s="447">
        <v>9.0</v>
      </c>
      <c r="B98" s="203"/>
      <c r="C98" s="447">
        <v>8.0</v>
      </c>
      <c r="D98" s="203"/>
      <c r="E98" s="447">
        <v>10.0</v>
      </c>
      <c r="F98" s="203"/>
      <c r="G98" s="447">
        <v>8.0</v>
      </c>
      <c r="H98" s="203"/>
      <c r="AE98" s="430">
        <v>81.0</v>
      </c>
      <c r="AF98" s="430" t="s">
        <v>450</v>
      </c>
      <c r="AG98" s="433" t="str">
        <f>if(macroroll,"Both turning effects are rendered nonfunctional for "&amp;randbetween(1,4)&amp;" minutes",AG98)</f>
        <v>Both turning effects are rendered nonfunctional for 4 minutes</v>
      </c>
      <c r="AH98" s="430" t="s">
        <v>767</v>
      </c>
      <c r="AI98" s="430" t="s">
        <v>767</v>
      </c>
      <c r="AJ98" s="430" t="s">
        <v>767</v>
      </c>
      <c r="AK98" s="430" t="s">
        <v>815</v>
      </c>
      <c r="AL98" s="430" t="s">
        <v>816</v>
      </c>
    </row>
    <row r="99">
      <c r="A99" s="447">
        <v>10.0</v>
      </c>
      <c r="B99" s="203"/>
      <c r="C99" s="447">
        <v>8.0</v>
      </c>
      <c r="D99" s="203"/>
      <c r="E99" s="447">
        <v>10.0</v>
      </c>
      <c r="F99" s="203"/>
      <c r="G99" s="447">
        <v>8.0</v>
      </c>
      <c r="H99" s="203"/>
      <c r="AE99" s="430">
        <v>82.0</v>
      </c>
      <c r="AF99" s="430" t="s">
        <v>450</v>
      </c>
      <c r="AG99" s="433" t="str">
        <f>if(macroroll,"Both turning effects are rendered nonfunctional for "&amp;randbetween(1,4)&amp;" minutes",AG99)</f>
        <v>Both turning effects are rendered nonfunctional for 3 minutes</v>
      </c>
      <c r="AH99" s="430" t="s">
        <v>767</v>
      </c>
      <c r="AI99" s="430" t="s">
        <v>767</v>
      </c>
      <c r="AJ99" s="430" t="s">
        <v>767</v>
      </c>
      <c r="AK99" s="430" t="s">
        <v>815</v>
      </c>
      <c r="AL99" s="430" t="s">
        <v>816</v>
      </c>
    </row>
    <row r="100">
      <c r="A100" s="447">
        <v>11.0</v>
      </c>
      <c r="B100" s="203"/>
      <c r="C100" s="447">
        <v>8.0</v>
      </c>
      <c r="D100" s="203"/>
      <c r="E100" s="447">
        <v>10.0</v>
      </c>
      <c r="F100" s="203"/>
      <c r="G100" s="447">
        <v>8.0</v>
      </c>
      <c r="H100" s="203"/>
      <c r="O100" s="433" t="str">
        <f t="array" ref="O100">dget(O87:P94,O87,{"number";Q100})</f>
        <v>l</v>
      </c>
      <c r="Q100" s="430">
        <v>4.0</v>
      </c>
      <c r="AE100" s="430">
        <v>83.0</v>
      </c>
      <c r="AF100" s="430" t="s">
        <v>450</v>
      </c>
      <c r="AG100" s="433" t="str">
        <f>if(macroroll,"Both turning effects are rendered nonfunctional for "&amp;randbetween(1,4)&amp;" minutes",AG100)</f>
        <v>Both turning effects are rendered nonfunctional for 2 minutes</v>
      </c>
      <c r="AH100" s="430" t="s">
        <v>767</v>
      </c>
      <c r="AI100" s="430" t="s">
        <v>767</v>
      </c>
      <c r="AJ100" s="430" t="s">
        <v>767</v>
      </c>
      <c r="AK100" s="430" t="s">
        <v>815</v>
      </c>
      <c r="AL100" s="430" t="s">
        <v>816</v>
      </c>
    </row>
    <row r="101">
      <c r="A101" s="447">
        <v>12.0</v>
      </c>
      <c r="B101" s="203"/>
      <c r="C101" s="447">
        <v>10.0</v>
      </c>
      <c r="D101" s="203"/>
      <c r="E101" s="447">
        <v>6.0</v>
      </c>
      <c r="F101" s="203"/>
      <c r="G101" s="447">
        <v>6.0</v>
      </c>
      <c r="H101" s="203"/>
      <c r="AE101" s="430">
        <v>84.0</v>
      </c>
      <c r="AF101" s="430" t="s">
        <v>450</v>
      </c>
      <c r="AG101" s="433" t="str">
        <f>if(macroroll,"Both turning effects are rendered nonfunctional for "&amp;randbetween(1,4)&amp;" minutes",AG101)</f>
        <v>Both turning effects are rendered nonfunctional for 1 minutes</v>
      </c>
      <c r="AH101" s="430" t="s">
        <v>767</v>
      </c>
      <c r="AI101" s="430" t="s">
        <v>767</v>
      </c>
      <c r="AJ101" s="430" t="s">
        <v>767</v>
      </c>
      <c r="AK101" s="430" t="s">
        <v>815</v>
      </c>
      <c r="AL101" s="430" t="s">
        <v>816</v>
      </c>
    </row>
    <row r="102">
      <c r="A102" s="447">
        <v>13.0</v>
      </c>
      <c r="B102" s="203"/>
      <c r="C102" s="447">
        <v>10.0</v>
      </c>
      <c r="D102" s="203"/>
      <c r="E102" s="447">
        <v>6.0</v>
      </c>
      <c r="F102" s="203"/>
      <c r="G102" s="447">
        <v>6.0</v>
      </c>
      <c r="H102" s="203"/>
      <c r="AE102" s="430">
        <v>85.0</v>
      </c>
      <c r="AF102" s="430" t="s">
        <v>450</v>
      </c>
      <c r="AG102" s="433" t="str">
        <f>if(macroroll,"Both turning effects are rendered nonfunctional for "&amp;randbetween(1,4)&amp;" minutes",AG102)</f>
        <v>Both turning effects are rendered nonfunctional for 1 minutes</v>
      </c>
      <c r="AH102" s="430" t="s">
        <v>767</v>
      </c>
      <c r="AI102" s="430" t="s">
        <v>767</v>
      </c>
      <c r="AJ102" s="430" t="s">
        <v>767</v>
      </c>
      <c r="AK102" s="430" t="s">
        <v>815</v>
      </c>
      <c r="AL102" s="430" t="s">
        <v>816</v>
      </c>
    </row>
    <row r="103">
      <c r="A103" s="447">
        <v>14.0</v>
      </c>
      <c r="B103" s="203"/>
      <c r="C103" s="447">
        <v>10.0</v>
      </c>
      <c r="D103" s="203"/>
      <c r="E103" s="447">
        <v>6.0</v>
      </c>
      <c r="F103" s="203"/>
      <c r="G103" s="447">
        <v>6.0</v>
      </c>
      <c r="H103" s="203"/>
      <c r="AE103" s="430">
        <v>86.0</v>
      </c>
      <c r="AF103" s="430" t="s">
        <v>450</v>
      </c>
      <c r="AG103" s="433" t="str">
        <f>if(macroroll,"Both turning effects are rendered nonfunctional for "&amp;randbetween(1,4)&amp;" minutes",AG103)</f>
        <v>Both turning effects are rendered nonfunctional for 1 minutes</v>
      </c>
      <c r="AH103" s="430" t="s">
        <v>767</v>
      </c>
      <c r="AI103" s="430" t="s">
        <v>767</v>
      </c>
      <c r="AJ103" s="430" t="s">
        <v>767</v>
      </c>
      <c r="AK103" s="430" t="s">
        <v>815</v>
      </c>
      <c r="AL103" s="430" t="s">
        <v>816</v>
      </c>
    </row>
    <row r="104">
      <c r="A104" s="447">
        <v>15.0</v>
      </c>
      <c r="B104" s="203"/>
      <c r="C104" s="447">
        <v>10.0</v>
      </c>
      <c r="D104" s="203"/>
      <c r="E104" s="447">
        <v>6.0</v>
      </c>
      <c r="F104" s="203"/>
      <c r="G104" s="447">
        <v>6.0</v>
      </c>
      <c r="H104" s="203"/>
      <c r="AE104" s="430">
        <v>87.0</v>
      </c>
      <c r="AF104" s="430" t="s">
        <v>450</v>
      </c>
      <c r="AG104" s="433" t="str">
        <f>if(macroroll,"Both turning effects are rendered nonfunctional for "&amp;randbetween(1,4)&amp;" minutes",AG104)</f>
        <v>Both turning effects are rendered nonfunctional for 2 minutes</v>
      </c>
      <c r="AH104" s="430" t="s">
        <v>767</v>
      </c>
      <c r="AI104" s="430" t="s">
        <v>767</v>
      </c>
      <c r="AJ104" s="430" t="s">
        <v>767</v>
      </c>
      <c r="AK104" s="430" t="s">
        <v>815</v>
      </c>
      <c r="AL104" s="430" t="s">
        <v>816</v>
      </c>
    </row>
    <row r="105">
      <c r="A105" s="447">
        <v>16.0</v>
      </c>
      <c r="B105" s="203"/>
      <c r="C105" s="447">
        <v>6.0</v>
      </c>
      <c r="D105" s="203"/>
      <c r="E105" s="447">
        <v>8.0</v>
      </c>
      <c r="F105" s="203"/>
      <c r="G105" s="447">
        <v>8.0</v>
      </c>
      <c r="H105" s="203"/>
      <c r="K105" s="451" t="s">
        <v>817</v>
      </c>
      <c r="O105" s="451"/>
      <c r="AE105" s="430">
        <v>88.0</v>
      </c>
      <c r="AF105" s="430" t="s">
        <v>450</v>
      </c>
      <c r="AG105" s="433" t="str">
        <f>if(macroroll,"Both turning effects are rendered nonfunctional for "&amp;randbetween(1,4)&amp;" minutes",AG105)</f>
        <v>Both turning effects are rendered nonfunctional for 1 minutes</v>
      </c>
      <c r="AH105" s="430" t="s">
        <v>767</v>
      </c>
      <c r="AI105" s="430" t="s">
        <v>767</v>
      </c>
      <c r="AJ105" s="430" t="s">
        <v>767</v>
      </c>
      <c r="AK105" s="430" t="s">
        <v>815</v>
      </c>
      <c r="AL105" s="430" t="s">
        <v>816</v>
      </c>
    </row>
    <row r="106">
      <c r="A106" s="447">
        <v>17.0</v>
      </c>
      <c r="B106" s="203"/>
      <c r="C106" s="447">
        <v>6.0</v>
      </c>
      <c r="D106" s="203"/>
      <c r="E106" s="447">
        <v>8.0</v>
      </c>
      <c r="F106" s="203"/>
      <c r="G106" s="447">
        <v>8.0</v>
      </c>
      <c r="H106" s="203"/>
      <c r="K106" s="62" t="s">
        <v>757</v>
      </c>
      <c r="L106" s="453" t="s">
        <v>818</v>
      </c>
      <c r="AE106" s="430">
        <v>89.0</v>
      </c>
      <c r="AF106" s="430" t="s">
        <v>450</v>
      </c>
      <c r="AG106" s="433" t="str">
        <f>if(macroroll,"Both turning effects are rendered nonfunctional for "&amp;randbetween(1,4)&amp;" minutes",AG106)</f>
        <v>Both turning effects are rendered nonfunctional for 2 minutes</v>
      </c>
      <c r="AH106" s="430" t="s">
        <v>767</v>
      </c>
      <c r="AI106" s="430" t="s">
        <v>767</v>
      </c>
      <c r="AJ106" s="430" t="s">
        <v>815</v>
      </c>
      <c r="AK106" s="430" t="s">
        <v>816</v>
      </c>
      <c r="AL106" s="430" t="s">
        <v>816</v>
      </c>
    </row>
    <row r="107">
      <c r="A107" s="447">
        <v>18.0</v>
      </c>
      <c r="B107" s="203"/>
      <c r="C107" s="447">
        <v>6.0</v>
      </c>
      <c r="D107" s="203"/>
      <c r="E107" s="447">
        <v>8.0</v>
      </c>
      <c r="F107" s="203"/>
      <c r="G107" s="447">
        <v>8.0</v>
      </c>
      <c r="H107" s="203"/>
      <c r="K107" s="62">
        <v>1.0</v>
      </c>
      <c r="L107" s="454" t="s">
        <v>819</v>
      </c>
      <c r="M107" s="454"/>
      <c r="N107" s="454"/>
      <c r="O107" s="454"/>
      <c r="P107" s="454"/>
      <c r="AE107" s="430">
        <v>90.0</v>
      </c>
      <c r="AF107" s="430" t="s">
        <v>820</v>
      </c>
      <c r="AG107" s="433" t="str">
        <f>if(macroroll,"Both turning effects are rendered nonfunctional for "&amp;randbetween(1,4)&amp;" minutes",AG107)</f>
        <v>Both turning effects are rendered nonfunctional for 2 minutes</v>
      </c>
      <c r="AH107" s="430" t="s">
        <v>767</v>
      </c>
      <c r="AI107" s="430" t="s">
        <v>767</v>
      </c>
      <c r="AJ107" s="430" t="s">
        <v>815</v>
      </c>
      <c r="AK107" s="430" t="s">
        <v>816</v>
      </c>
      <c r="AL107" s="430" t="s">
        <v>816</v>
      </c>
    </row>
    <row r="108">
      <c r="A108" s="447">
        <v>19.0</v>
      </c>
      <c r="B108" s="203"/>
      <c r="C108" s="447">
        <v>6.0</v>
      </c>
      <c r="D108" s="203"/>
      <c r="E108" s="447">
        <v>8.0</v>
      </c>
      <c r="F108" s="203"/>
      <c r="G108" s="447">
        <v>8.0</v>
      </c>
      <c r="H108" s="203"/>
      <c r="K108" s="62">
        <v>2.0</v>
      </c>
      <c r="L108" s="454" t="s">
        <v>821</v>
      </c>
      <c r="M108" s="454"/>
      <c r="N108" s="454"/>
      <c r="O108" s="454"/>
      <c r="P108" s="454"/>
      <c r="AE108" s="430">
        <v>91.0</v>
      </c>
      <c r="AF108" s="430" t="s">
        <v>820</v>
      </c>
      <c r="AG108" s="433" t="str">
        <f>if(macroroll,"Both turning effects are rendered nonfunctional for "&amp;randbetween(1,4)&amp;" minutes",AG108)</f>
        <v>Both turning effects are rendered nonfunctional for 3 minutes</v>
      </c>
      <c r="AH108" s="430" t="s">
        <v>767</v>
      </c>
      <c r="AI108" s="430" t="s">
        <v>767</v>
      </c>
      <c r="AJ108" s="430" t="s">
        <v>815</v>
      </c>
      <c r="AK108" s="430" t="s">
        <v>816</v>
      </c>
      <c r="AL108" s="430" t="s">
        <v>816</v>
      </c>
    </row>
    <row r="109">
      <c r="A109" s="447">
        <v>20.0</v>
      </c>
      <c r="B109" s="203"/>
      <c r="C109" s="447">
        <v>8.0</v>
      </c>
      <c r="D109" s="203"/>
      <c r="E109" s="447">
        <v>10.0</v>
      </c>
      <c r="F109" s="203"/>
      <c r="G109" s="447">
        <v>8.0</v>
      </c>
      <c r="H109" s="203"/>
      <c r="K109" s="62">
        <v>3.0</v>
      </c>
      <c r="L109" s="454" t="s">
        <v>822</v>
      </c>
      <c r="M109" s="454"/>
      <c r="N109" s="454"/>
      <c r="O109" s="454"/>
      <c r="P109" s="454"/>
      <c r="AE109" s="430">
        <v>92.0</v>
      </c>
      <c r="AF109" s="430" t="s">
        <v>820</v>
      </c>
      <c r="AG109" s="433" t="str">
        <f>if(macroroll,"Both turning effects are rendered nonfunctional for "&amp;randbetween(1,4)&amp;" minutes",AG109)</f>
        <v>Both turning effects are rendered nonfunctional for 2 minutes</v>
      </c>
      <c r="AH109" s="430" t="s">
        <v>767</v>
      </c>
      <c r="AI109" s="430" t="s">
        <v>767</v>
      </c>
      <c r="AJ109" s="430" t="s">
        <v>815</v>
      </c>
      <c r="AK109" s="430" t="s">
        <v>816</v>
      </c>
      <c r="AL109" s="430" t="s">
        <v>816</v>
      </c>
    </row>
    <row r="110">
      <c r="K110" s="62">
        <v>4.0</v>
      </c>
      <c r="L110" s="454" t="s">
        <v>823</v>
      </c>
      <c r="M110" s="454"/>
      <c r="N110" s="454"/>
      <c r="O110" s="454"/>
      <c r="P110" s="454"/>
      <c r="AE110" s="430">
        <v>93.0</v>
      </c>
      <c r="AF110" s="430" t="s">
        <v>820</v>
      </c>
      <c r="AG110" s="433" t="str">
        <f>if(macroroll,"Both turning effects are rendered nonfunctional for "&amp;randbetween(1,4)&amp;" minutes",AG110)</f>
        <v>Both turning effects are rendered nonfunctional for 2 minutes</v>
      </c>
      <c r="AH110" s="430" t="s">
        <v>767</v>
      </c>
      <c r="AI110" s="430" t="s">
        <v>767</v>
      </c>
      <c r="AJ110" s="430" t="s">
        <v>815</v>
      </c>
      <c r="AK110" s="430" t="s">
        <v>816</v>
      </c>
      <c r="AL110" s="430" t="s">
        <v>824</v>
      </c>
    </row>
    <row r="111">
      <c r="A111" s="447" t="s">
        <v>825</v>
      </c>
      <c r="B111" s="202"/>
      <c r="C111" s="203"/>
      <c r="E111" s="446" t="s">
        <v>826</v>
      </c>
      <c r="F111" s="202"/>
      <c r="G111" s="202"/>
      <c r="H111" s="203"/>
      <c r="K111" s="62">
        <v>5.0</v>
      </c>
      <c r="L111" s="454" t="s">
        <v>827</v>
      </c>
      <c r="M111" s="454"/>
      <c r="N111" s="454"/>
      <c r="O111" s="454"/>
      <c r="P111" s="454"/>
      <c r="AE111" s="430">
        <v>94.0</v>
      </c>
      <c r="AF111" s="430" t="s">
        <v>828</v>
      </c>
      <c r="AG111" s="433" t="str">
        <f>if(macroroll,"Both turning effects are rendered nonfunctional for "&amp;randbetween(1,4)&amp;" minutes",AG111)</f>
        <v>Both turning effects are rendered nonfunctional for 3 minutes</v>
      </c>
      <c r="AH111" s="430" t="s">
        <v>767</v>
      </c>
      <c r="AI111" s="430" t="s">
        <v>767</v>
      </c>
      <c r="AJ111" s="430" t="s">
        <v>815</v>
      </c>
      <c r="AK111" s="430" t="s">
        <v>816</v>
      </c>
      <c r="AL111" s="430" t="s">
        <v>824</v>
      </c>
    </row>
    <row r="112">
      <c r="A112" s="437" t="s">
        <v>267</v>
      </c>
      <c r="B112" s="447" t="s">
        <v>374</v>
      </c>
      <c r="C112" s="203"/>
      <c r="E112" s="437" t="s">
        <v>267</v>
      </c>
      <c r="F112" s="437" t="s">
        <v>829</v>
      </c>
      <c r="G112" s="447" t="s">
        <v>830</v>
      </c>
      <c r="H112" s="203"/>
      <c r="K112" s="62">
        <v>6.0</v>
      </c>
      <c r="L112" s="454" t="s">
        <v>831</v>
      </c>
      <c r="M112" s="454"/>
      <c r="N112" s="454"/>
      <c r="O112" s="454"/>
      <c r="P112" s="454"/>
      <c r="AE112" s="430">
        <v>95.0</v>
      </c>
      <c r="AF112" s="430" t="s">
        <v>832</v>
      </c>
      <c r="AG112" s="433" t="str">
        <f>if(macroroll,"Both turning effects are rendered nonfunctional for "&amp;randbetween(1,4)&amp;" minutes",AG112)</f>
        <v>Both turning effects are rendered nonfunctional for 3 minutes</v>
      </c>
      <c r="AH112" s="430" t="s">
        <v>767</v>
      </c>
      <c r="AI112" s="430" t="s">
        <v>815</v>
      </c>
      <c r="AJ112" s="430" t="s">
        <v>816</v>
      </c>
      <c r="AK112" s="430" t="s">
        <v>816</v>
      </c>
      <c r="AL112" s="430" t="s">
        <v>824</v>
      </c>
    </row>
    <row r="113">
      <c r="A113" s="437">
        <v>1.0</v>
      </c>
      <c r="B113" s="447">
        <v>0.0</v>
      </c>
      <c r="C113" s="203"/>
      <c r="E113" s="437">
        <v>1.0</v>
      </c>
      <c r="F113" s="437">
        <v>0.0</v>
      </c>
      <c r="G113" s="447">
        <v>0.0</v>
      </c>
      <c r="H113" s="203"/>
      <c r="K113" s="62">
        <v>7.0</v>
      </c>
      <c r="L113" s="454" t="s">
        <v>833</v>
      </c>
      <c r="M113" s="454"/>
      <c r="N113" s="454"/>
      <c r="O113" s="454"/>
      <c r="P113" s="454"/>
      <c r="AE113" s="430">
        <v>96.0</v>
      </c>
      <c r="AF113" s="430" t="s">
        <v>832</v>
      </c>
      <c r="AG113" s="433" t="str">
        <f>if(macroroll,"Both turning effects are rendered nonfunctional for "&amp;randbetween(1,4)&amp;" minutes",AG113)</f>
        <v>Both turning effects are rendered nonfunctional for 4 minutes</v>
      </c>
      <c r="AH113" s="430" t="s">
        <v>767</v>
      </c>
      <c r="AI113" s="430" t="s">
        <v>815</v>
      </c>
      <c r="AJ113" s="430" t="s">
        <v>816</v>
      </c>
      <c r="AK113" s="430" t="s">
        <v>816</v>
      </c>
      <c r="AL113" s="430" t="s">
        <v>824</v>
      </c>
    </row>
    <row r="114">
      <c r="A114" s="437">
        <v>2.0</v>
      </c>
      <c r="B114" s="447">
        <v>0.0</v>
      </c>
      <c r="C114" s="203"/>
      <c r="E114" s="437">
        <v>2.0</v>
      </c>
      <c r="F114" s="437">
        <v>0.0</v>
      </c>
      <c r="G114" s="447">
        <v>0.0</v>
      </c>
      <c r="H114" s="203"/>
      <c r="K114" s="62">
        <v>8.0</v>
      </c>
      <c r="L114" s="455" t="str">
        <f t="array" ref="L114">if(macroroll,dget(K106:L113,L106,{"Number";randbetween(1,8)})&amp;", "&amp;dget(K106:L113,L106,{"Number";randbetween(1,8)}),L114)</f>
        <v>Orange, Blue</v>
      </c>
      <c r="AE114" s="430">
        <v>97.0</v>
      </c>
      <c r="AF114" s="430" t="s">
        <v>832</v>
      </c>
      <c r="AG114" s="433" t="str">
        <f>if(macroroll,"Both turning effects are rendered nonfunctional for "&amp;randbetween(1,4)&amp;" minutes",AG114)</f>
        <v>Both turning effects are rendered nonfunctional for 4 minutes</v>
      </c>
      <c r="AH114" s="430" t="s">
        <v>767</v>
      </c>
      <c r="AI114" s="430" t="s">
        <v>815</v>
      </c>
      <c r="AJ114" s="430" t="s">
        <v>816</v>
      </c>
      <c r="AK114" s="430" t="s">
        <v>824</v>
      </c>
      <c r="AL114" s="430" t="s">
        <v>824</v>
      </c>
    </row>
    <row r="115">
      <c r="A115" s="437">
        <v>3.0</v>
      </c>
      <c r="B115" s="447">
        <v>10.0</v>
      </c>
      <c r="C115" s="203"/>
      <c r="E115" s="437">
        <v>3.0</v>
      </c>
      <c r="F115" s="437">
        <v>0.0</v>
      </c>
      <c r="G115" s="447">
        <v>0.0</v>
      </c>
      <c r="H115" s="203"/>
      <c r="K115" s="456"/>
      <c r="L115" s="453"/>
      <c r="M115" s="194"/>
      <c r="AE115" s="430">
        <v>98.0</v>
      </c>
      <c r="AF115" s="430" t="s">
        <v>832</v>
      </c>
      <c r="AG115" s="430" t="s">
        <v>834</v>
      </c>
      <c r="AH115" s="430" t="s">
        <v>815</v>
      </c>
      <c r="AI115" s="430" t="s">
        <v>816</v>
      </c>
      <c r="AJ115" s="430" t="s">
        <v>816</v>
      </c>
      <c r="AK115" s="430" t="s">
        <v>824</v>
      </c>
      <c r="AL115" s="430" t="s">
        <v>824</v>
      </c>
    </row>
    <row r="116">
      <c r="A116" s="437">
        <v>4.0</v>
      </c>
      <c r="B116" s="447">
        <v>10.0</v>
      </c>
      <c r="C116" s="203"/>
      <c r="E116" s="437">
        <v>4.0</v>
      </c>
      <c r="F116" s="437">
        <v>0.0</v>
      </c>
      <c r="G116" s="447">
        <v>0.0</v>
      </c>
      <c r="H116" s="203"/>
      <c r="AE116" s="430">
        <v>99.0</v>
      </c>
      <c r="AF116" s="430" t="s">
        <v>835</v>
      </c>
      <c r="AG116" s="430" t="s">
        <v>834</v>
      </c>
      <c r="AH116" s="430" t="s">
        <v>815</v>
      </c>
      <c r="AI116" s="430" t="s">
        <v>816</v>
      </c>
      <c r="AJ116" s="430" t="s">
        <v>824</v>
      </c>
      <c r="AK116" s="430" t="s">
        <v>824</v>
      </c>
      <c r="AL116" s="430" t="s">
        <v>824</v>
      </c>
    </row>
    <row r="117">
      <c r="A117" s="437">
        <v>5.0</v>
      </c>
      <c r="B117" s="447">
        <v>10.0</v>
      </c>
      <c r="C117" s="203"/>
      <c r="E117" s="437">
        <v>5.0</v>
      </c>
      <c r="F117" s="437">
        <v>1.0</v>
      </c>
      <c r="G117" s="447">
        <v>0.0</v>
      </c>
      <c r="H117" s="203"/>
      <c r="AE117" s="430">
        <v>100.0</v>
      </c>
      <c r="AF117" s="430" t="s">
        <v>836</v>
      </c>
      <c r="AG117" s="430" t="s">
        <v>834</v>
      </c>
      <c r="AH117" s="430" t="s">
        <v>816</v>
      </c>
      <c r="AI117" s="430" t="s">
        <v>824</v>
      </c>
      <c r="AJ117" s="430" t="s">
        <v>824</v>
      </c>
      <c r="AK117" s="430" t="s">
        <v>824</v>
      </c>
      <c r="AL117" s="430" t="s">
        <v>824</v>
      </c>
    </row>
    <row r="118">
      <c r="A118" s="437">
        <v>6.0</v>
      </c>
      <c r="B118" s="447">
        <v>20.0</v>
      </c>
      <c r="C118" s="203"/>
      <c r="E118" s="437">
        <v>6.0</v>
      </c>
      <c r="F118" s="437">
        <v>2.0</v>
      </c>
      <c r="G118" s="447">
        <v>0.0</v>
      </c>
      <c r="H118" s="203"/>
    </row>
    <row r="119">
      <c r="A119" s="437">
        <v>7.0</v>
      </c>
      <c r="B119" s="447">
        <v>20.0</v>
      </c>
      <c r="C119" s="203"/>
      <c r="E119" s="437">
        <v>7.0</v>
      </c>
      <c r="F119" s="437">
        <v>3.0</v>
      </c>
      <c r="G119" s="447">
        <v>0.0</v>
      </c>
      <c r="H119" s="203"/>
    </row>
    <row r="120">
      <c r="A120" s="437">
        <v>8.0</v>
      </c>
      <c r="B120" s="447">
        <v>20.0</v>
      </c>
      <c r="C120" s="203"/>
      <c r="E120" s="437">
        <v>8.0</v>
      </c>
      <c r="F120" s="437">
        <v>3.0</v>
      </c>
      <c r="G120" s="447">
        <v>0.0</v>
      </c>
      <c r="H120" s="203"/>
    </row>
    <row r="121">
      <c r="A121" s="437">
        <v>9.0</v>
      </c>
      <c r="B121" s="447">
        <v>30.0</v>
      </c>
      <c r="C121" s="203"/>
      <c r="E121" s="437">
        <v>9.0</v>
      </c>
      <c r="F121" s="437">
        <v>3.0</v>
      </c>
      <c r="G121" s="447">
        <v>0.0</v>
      </c>
      <c r="H121" s="203"/>
    </row>
    <row r="122">
      <c r="A122" s="437">
        <v>10.0</v>
      </c>
      <c r="B122" s="447">
        <v>30.0</v>
      </c>
      <c r="C122" s="203"/>
      <c r="E122" s="437">
        <v>10.0</v>
      </c>
      <c r="F122" s="437">
        <v>4.0</v>
      </c>
      <c r="G122" s="447">
        <v>0.0</v>
      </c>
      <c r="H122" s="203"/>
    </row>
    <row r="123">
      <c r="A123" s="437">
        <v>11.0</v>
      </c>
      <c r="B123" s="447">
        <v>30.0</v>
      </c>
      <c r="C123" s="203"/>
      <c r="E123" s="437">
        <v>11.0</v>
      </c>
      <c r="F123" s="437">
        <v>4.0</v>
      </c>
      <c r="G123" s="447">
        <v>0.0</v>
      </c>
      <c r="H123" s="203"/>
    </row>
    <row r="124">
      <c r="A124" s="437">
        <v>12.0</v>
      </c>
      <c r="B124" s="447">
        <v>40.0</v>
      </c>
      <c r="C124" s="203"/>
      <c r="E124" s="437">
        <v>12.0</v>
      </c>
      <c r="F124" s="437">
        <v>4.0</v>
      </c>
      <c r="G124" s="447">
        <v>0.0</v>
      </c>
      <c r="H124" s="203"/>
    </row>
    <row r="125">
      <c r="A125" s="437">
        <v>13.0</v>
      </c>
      <c r="B125" s="447">
        <v>40.0</v>
      </c>
      <c r="C125" s="203"/>
      <c r="E125" s="437">
        <v>13.0</v>
      </c>
      <c r="F125" s="437">
        <v>4.0</v>
      </c>
      <c r="G125" s="447">
        <v>0.0</v>
      </c>
      <c r="H125" s="203"/>
    </row>
    <row r="126">
      <c r="A126" s="437">
        <v>14.0</v>
      </c>
      <c r="B126" s="447">
        <v>40.0</v>
      </c>
      <c r="C126" s="203"/>
      <c r="E126" s="437">
        <v>14.0</v>
      </c>
      <c r="F126" s="437">
        <v>5.0</v>
      </c>
      <c r="G126" s="447">
        <v>0.0</v>
      </c>
      <c r="H126" s="203"/>
    </row>
    <row r="127">
      <c r="A127" s="437">
        <v>15.0</v>
      </c>
      <c r="B127" s="447">
        <v>50.0</v>
      </c>
      <c r="C127" s="203"/>
      <c r="E127" s="437">
        <v>15.0</v>
      </c>
      <c r="F127" s="437">
        <v>5.0</v>
      </c>
      <c r="G127" s="447">
        <v>0.0</v>
      </c>
      <c r="H127" s="203"/>
    </row>
    <row r="128">
      <c r="A128" s="437">
        <v>16.0</v>
      </c>
      <c r="B128" s="447">
        <v>50.0</v>
      </c>
      <c r="C128" s="203"/>
      <c r="E128" s="437">
        <v>16.0</v>
      </c>
      <c r="F128" s="437">
        <v>5.0</v>
      </c>
      <c r="G128" s="447">
        <v>1.0</v>
      </c>
      <c r="H128" s="203"/>
    </row>
    <row r="129">
      <c r="A129" s="437">
        <v>17.0</v>
      </c>
      <c r="B129" s="447">
        <v>50.0</v>
      </c>
      <c r="C129" s="203"/>
      <c r="E129" s="437">
        <v>17.0</v>
      </c>
      <c r="F129" s="437">
        <v>5.0</v>
      </c>
      <c r="G129" s="447">
        <v>1.0</v>
      </c>
      <c r="H129" s="203"/>
    </row>
    <row r="130">
      <c r="A130" s="437">
        <v>18.0</v>
      </c>
      <c r="B130" s="447">
        <v>60.0</v>
      </c>
      <c r="C130" s="203"/>
      <c r="E130" s="437">
        <v>18.0</v>
      </c>
      <c r="F130" s="437">
        <v>6.0</v>
      </c>
      <c r="G130" s="447">
        <v>2.0</v>
      </c>
      <c r="H130" s="203"/>
    </row>
    <row r="131">
      <c r="A131" s="437">
        <v>19.0</v>
      </c>
      <c r="B131" s="447">
        <v>60.0</v>
      </c>
      <c r="C131" s="203"/>
      <c r="E131" s="437">
        <v>19.0</v>
      </c>
      <c r="F131" s="437">
        <v>6.0</v>
      </c>
      <c r="G131" s="447">
        <v>2.0</v>
      </c>
      <c r="H131" s="203"/>
    </row>
    <row r="132">
      <c r="A132" s="437">
        <v>20.0</v>
      </c>
      <c r="B132" s="447">
        <v>60.0</v>
      </c>
      <c r="C132" s="203"/>
      <c r="E132" s="437">
        <v>20.0</v>
      </c>
      <c r="F132" s="437">
        <v>6.0</v>
      </c>
      <c r="G132" s="447">
        <v>3.0</v>
      </c>
      <c r="H132" s="203"/>
    </row>
    <row r="134">
      <c r="M134" s="430" t="s">
        <v>266</v>
      </c>
      <c r="N134" s="430" t="s">
        <v>412</v>
      </c>
      <c r="O134" s="430" t="s">
        <v>319</v>
      </c>
      <c r="P134" s="430" t="s">
        <v>320</v>
      </c>
      <c r="Q134" s="430" t="s">
        <v>321</v>
      </c>
    </row>
    <row r="135">
      <c r="M135" s="430" t="s">
        <v>837</v>
      </c>
      <c r="N135" s="430" t="s">
        <v>749</v>
      </c>
      <c r="O135" s="430" t="s">
        <v>753</v>
      </c>
      <c r="P135" s="430" t="s">
        <v>753</v>
      </c>
      <c r="Q135" s="430" t="s">
        <v>756</v>
      </c>
    </row>
    <row r="136">
      <c r="M136" s="430" t="s">
        <v>838</v>
      </c>
      <c r="N136" s="430" t="s">
        <v>751</v>
      </c>
      <c r="O136" s="430" t="s">
        <v>756</v>
      </c>
      <c r="P136" s="430" t="s">
        <v>753</v>
      </c>
      <c r="Q136" s="430" t="s">
        <v>753</v>
      </c>
    </row>
    <row r="137">
      <c r="M137" s="430" t="s">
        <v>839</v>
      </c>
      <c r="N137" s="430" t="s">
        <v>750</v>
      </c>
      <c r="O137" s="430" t="s">
        <v>753</v>
      </c>
      <c r="P137" s="430" t="s">
        <v>756</v>
      </c>
      <c r="Q137" s="430" t="s">
        <v>756</v>
      </c>
    </row>
    <row r="138">
      <c r="M138" s="430" t="s">
        <v>840</v>
      </c>
      <c r="N138" s="430" t="s">
        <v>750</v>
      </c>
      <c r="O138" s="430" t="s">
        <v>756</v>
      </c>
      <c r="P138" s="430" t="s">
        <v>753</v>
      </c>
      <c r="Q138" s="430" t="s">
        <v>756</v>
      </c>
    </row>
    <row r="139">
      <c r="M139" s="430" t="s">
        <v>841</v>
      </c>
      <c r="N139" s="430" t="s">
        <v>750</v>
      </c>
      <c r="O139" s="430" t="s">
        <v>756</v>
      </c>
      <c r="P139" s="430" t="s">
        <v>753</v>
      </c>
      <c r="Q139" s="430" t="s">
        <v>756</v>
      </c>
    </row>
    <row r="140">
      <c r="M140" s="430" t="s">
        <v>842</v>
      </c>
      <c r="N140" s="430" t="s">
        <v>751</v>
      </c>
      <c r="O140" s="430" t="s">
        <v>756</v>
      </c>
      <c r="P140" s="430" t="s">
        <v>753</v>
      </c>
      <c r="Q140" s="430" t="s">
        <v>753</v>
      </c>
    </row>
    <row r="141">
      <c r="M141" s="430" t="s">
        <v>393</v>
      </c>
      <c r="N141" s="430" t="s">
        <v>750</v>
      </c>
      <c r="O141" s="430" t="s">
        <v>756</v>
      </c>
      <c r="P141" s="430" t="s">
        <v>756</v>
      </c>
      <c r="Q141" s="430" t="s">
        <v>756</v>
      </c>
    </row>
    <row r="142">
      <c r="M142" s="430" t="s">
        <v>843</v>
      </c>
      <c r="N142" s="430" t="s">
        <v>751</v>
      </c>
      <c r="O142" s="430" t="s">
        <v>756</v>
      </c>
      <c r="P142" s="430" t="s">
        <v>753</v>
      </c>
      <c r="Q142" s="430" t="s">
        <v>753</v>
      </c>
    </row>
    <row r="143">
      <c r="M143" s="430" t="s">
        <v>844</v>
      </c>
      <c r="N143" s="430" t="s">
        <v>749</v>
      </c>
      <c r="O143" s="430" t="s">
        <v>753</v>
      </c>
      <c r="P143" s="430" t="s">
        <v>753</v>
      </c>
      <c r="Q143" s="430" t="s">
        <v>756</v>
      </c>
    </row>
    <row r="144">
      <c r="M144" s="430" t="s">
        <v>845</v>
      </c>
      <c r="N144" s="430" t="s">
        <v>750</v>
      </c>
      <c r="O144" s="430" t="s">
        <v>756</v>
      </c>
      <c r="P144" s="430" t="s">
        <v>753</v>
      </c>
      <c r="Q144" s="430" t="s">
        <v>753</v>
      </c>
    </row>
    <row r="145">
      <c r="M145" s="430" t="s">
        <v>846</v>
      </c>
      <c r="N145" s="430" t="s">
        <v>751</v>
      </c>
      <c r="O145" s="430" t="s">
        <v>756</v>
      </c>
      <c r="P145" s="430" t="s">
        <v>756</v>
      </c>
      <c r="Q145" s="430" t="s">
        <v>753</v>
      </c>
    </row>
    <row r="146">
      <c r="M146" s="430" t="s">
        <v>847</v>
      </c>
      <c r="N146" s="430" t="s">
        <v>750</v>
      </c>
      <c r="O146" s="430" t="s">
        <v>753</v>
      </c>
      <c r="P146" s="430" t="s">
        <v>756</v>
      </c>
      <c r="Q146" s="430" t="s">
        <v>753</v>
      </c>
    </row>
    <row r="147">
      <c r="M147" s="430" t="s">
        <v>848</v>
      </c>
      <c r="N147" s="430" t="s">
        <v>749</v>
      </c>
      <c r="O147" s="430" t="s">
        <v>753</v>
      </c>
      <c r="P147" s="430" t="s">
        <v>753</v>
      </c>
      <c r="Q147" s="430" t="s">
        <v>756</v>
      </c>
    </row>
    <row r="148">
      <c r="M148" s="430" t="s">
        <v>849</v>
      </c>
      <c r="N148" s="430" t="s">
        <v>750</v>
      </c>
      <c r="O148" s="430" t="s">
        <v>753</v>
      </c>
      <c r="P148" s="430" t="s">
        <v>756</v>
      </c>
      <c r="Q148" s="430" t="s">
        <v>756</v>
      </c>
    </row>
    <row r="149">
      <c r="M149" s="430" t="s">
        <v>850</v>
      </c>
      <c r="N149" s="430" t="s">
        <v>752</v>
      </c>
      <c r="O149" s="430" t="s">
        <v>755</v>
      </c>
      <c r="P149" s="430" t="s">
        <v>754</v>
      </c>
      <c r="Q149" s="430" t="s">
        <v>754</v>
      </c>
    </row>
    <row r="150">
      <c r="M150" s="430" t="s">
        <v>851</v>
      </c>
      <c r="N150" s="430" t="s">
        <v>750</v>
      </c>
      <c r="O150" s="430" t="s">
        <v>753</v>
      </c>
      <c r="P150" s="430" t="s">
        <v>753</v>
      </c>
      <c r="Q150" s="430" t="s">
        <v>756</v>
      </c>
    </row>
    <row r="151">
      <c r="M151" s="430" t="s">
        <v>852</v>
      </c>
      <c r="N151" s="430" t="s">
        <v>749</v>
      </c>
      <c r="O151" s="430" t="s">
        <v>753</v>
      </c>
      <c r="P151" s="430" t="s">
        <v>753</v>
      </c>
      <c r="Q151" s="430" t="s">
        <v>756</v>
      </c>
    </row>
    <row r="152">
      <c r="M152" s="430" t="str">
        <f>'Class Abilities'!B3</f>
        <v>Custom 1</v>
      </c>
      <c r="N152" s="433" t="str">
        <f>'Class Abilities'!D3</f>
        <v/>
      </c>
      <c r="O152" s="433" t="str">
        <f>'Class Abilities'!F3</f>
        <v/>
      </c>
      <c r="P152" s="433" t="str">
        <f>'Class Abilities'!H3</f>
        <v/>
      </c>
      <c r="Q152" s="433" t="str">
        <f>'Class Abilities'!J3</f>
        <v/>
      </c>
    </row>
    <row r="153">
      <c r="M153" s="430" t="str">
        <f>'Class Abilities'!B4</f>
        <v>Custom 2</v>
      </c>
      <c r="N153" s="433" t="str">
        <f>'Class Abilities'!D4</f>
        <v/>
      </c>
      <c r="O153" s="433" t="str">
        <f>'Class Abilities'!F4</f>
        <v/>
      </c>
      <c r="P153" s="433" t="str">
        <f>'Class Abilities'!H4</f>
        <v/>
      </c>
      <c r="Q153" s="433" t="str">
        <f>'Class Abilities'!J4</f>
        <v/>
      </c>
    </row>
    <row r="154">
      <c r="M154" s="430" t="str">
        <f>'Class Abilities'!B5</f>
        <v>Custom 3</v>
      </c>
      <c r="N154" s="433" t="str">
        <f>'Class Abilities'!D5</f>
        <v/>
      </c>
      <c r="O154" s="433" t="str">
        <f>'Class Abilities'!F5</f>
        <v/>
      </c>
      <c r="P154" s="433" t="str">
        <f>'Class Abilities'!H5</f>
        <v/>
      </c>
      <c r="Q154" s="433" t="str">
        <f>'Class Abilities'!J5</f>
        <v/>
      </c>
    </row>
    <row r="155">
      <c r="M155" s="430" t="s">
        <v>283</v>
      </c>
    </row>
    <row r="156">
      <c r="M156" s="430" t="s">
        <v>286</v>
      </c>
    </row>
    <row r="157">
      <c r="M157" s="430" t="s">
        <v>289</v>
      </c>
    </row>
    <row r="159">
      <c r="E159" s="457"/>
    </row>
    <row r="160">
      <c r="E160" s="457"/>
    </row>
    <row r="161">
      <c r="E161" s="457"/>
    </row>
    <row r="162">
      <c r="E162" s="457"/>
    </row>
    <row r="163">
      <c r="E163" s="458"/>
    </row>
    <row r="164">
      <c r="E164" s="457"/>
    </row>
    <row r="165">
      <c r="E165" s="457"/>
    </row>
    <row r="166">
      <c r="E166" s="457"/>
    </row>
    <row r="167">
      <c r="E167" s="457"/>
    </row>
    <row r="168">
      <c r="E168" s="457"/>
    </row>
    <row r="169">
      <c r="E169" s="457"/>
    </row>
    <row r="170">
      <c r="E170" s="457"/>
    </row>
    <row r="171">
      <c r="E171" s="457"/>
    </row>
    <row r="172">
      <c r="E172" s="457"/>
    </row>
    <row r="173">
      <c r="E173" s="457"/>
    </row>
  </sheetData>
  <mergeCells count="215">
    <mergeCell ref="E85:F85"/>
    <mergeCell ref="G85:H85"/>
    <mergeCell ref="A86:B86"/>
    <mergeCell ref="C86:D86"/>
    <mergeCell ref="E86:F86"/>
    <mergeCell ref="G86:H86"/>
    <mergeCell ref="A88:H88"/>
    <mergeCell ref="A89:B89"/>
    <mergeCell ref="E89:F89"/>
    <mergeCell ref="G89:H89"/>
    <mergeCell ref="A90:B90"/>
    <mergeCell ref="C90:D90"/>
    <mergeCell ref="E90:F90"/>
    <mergeCell ref="G90:H90"/>
    <mergeCell ref="A99:B99"/>
    <mergeCell ref="C99:D99"/>
    <mergeCell ref="E99:F99"/>
    <mergeCell ref="G99:H99"/>
    <mergeCell ref="C100:D100"/>
    <mergeCell ref="E100:F100"/>
    <mergeCell ref="G100:H100"/>
    <mergeCell ref="A100:B100"/>
    <mergeCell ref="A101:B101"/>
    <mergeCell ref="C101:D101"/>
    <mergeCell ref="E101:F101"/>
    <mergeCell ref="G101:H101"/>
    <mergeCell ref="A102:B102"/>
    <mergeCell ref="C102:D102"/>
    <mergeCell ref="C104:D104"/>
    <mergeCell ref="E104:F104"/>
    <mergeCell ref="E102:F102"/>
    <mergeCell ref="G102:H102"/>
    <mergeCell ref="A103:B103"/>
    <mergeCell ref="C103:D103"/>
    <mergeCell ref="E103:F103"/>
    <mergeCell ref="G103:H103"/>
    <mergeCell ref="G104:H104"/>
    <mergeCell ref="E106:F106"/>
    <mergeCell ref="G106:H106"/>
    <mergeCell ref="A104:B104"/>
    <mergeCell ref="A105:B105"/>
    <mergeCell ref="C105:D105"/>
    <mergeCell ref="E105:F105"/>
    <mergeCell ref="G105:H105"/>
    <mergeCell ref="A106:B106"/>
    <mergeCell ref="C106:D106"/>
    <mergeCell ref="A65:H65"/>
    <mergeCell ref="A66:B66"/>
    <mergeCell ref="E66:F66"/>
    <mergeCell ref="G66:H66"/>
    <mergeCell ref="C67:D67"/>
    <mergeCell ref="E67:F67"/>
    <mergeCell ref="G67:H67"/>
    <mergeCell ref="E69:F69"/>
    <mergeCell ref="G69:H69"/>
    <mergeCell ref="A67:B67"/>
    <mergeCell ref="A68:B68"/>
    <mergeCell ref="C68:D68"/>
    <mergeCell ref="E68:F68"/>
    <mergeCell ref="G68:H68"/>
    <mergeCell ref="A69:B69"/>
    <mergeCell ref="C69:D69"/>
    <mergeCell ref="A70:B70"/>
    <mergeCell ref="C70:D70"/>
    <mergeCell ref="E70:F70"/>
    <mergeCell ref="G70:H70"/>
    <mergeCell ref="C71:D71"/>
    <mergeCell ref="E71:F71"/>
    <mergeCell ref="G71:H71"/>
    <mergeCell ref="E73:F73"/>
    <mergeCell ref="G73:H73"/>
    <mergeCell ref="A71:B71"/>
    <mergeCell ref="A72:B72"/>
    <mergeCell ref="C72:D72"/>
    <mergeCell ref="E72:F72"/>
    <mergeCell ref="G72:H72"/>
    <mergeCell ref="A73:B73"/>
    <mergeCell ref="C73:D73"/>
    <mergeCell ref="A107:B107"/>
    <mergeCell ref="C107:D107"/>
    <mergeCell ref="E107:F107"/>
    <mergeCell ref="G107:H107"/>
    <mergeCell ref="C108:D108"/>
    <mergeCell ref="E108:F108"/>
    <mergeCell ref="G108:H108"/>
    <mergeCell ref="G131:H131"/>
    <mergeCell ref="G132:H132"/>
    <mergeCell ref="G124:H124"/>
    <mergeCell ref="G125:H125"/>
    <mergeCell ref="G126:H126"/>
    <mergeCell ref="G127:H127"/>
    <mergeCell ref="G128:H128"/>
    <mergeCell ref="G129:H129"/>
    <mergeCell ref="G130:H130"/>
    <mergeCell ref="E111:H111"/>
    <mergeCell ref="G112:H112"/>
    <mergeCell ref="A108:B108"/>
    <mergeCell ref="A109:B109"/>
    <mergeCell ref="C109:D109"/>
    <mergeCell ref="E109:F109"/>
    <mergeCell ref="G109:H109"/>
    <mergeCell ref="A111:C111"/>
    <mergeCell ref="B112:C112"/>
    <mergeCell ref="B113:C113"/>
    <mergeCell ref="G113:H113"/>
    <mergeCell ref="B114:C114"/>
    <mergeCell ref="G114:H114"/>
    <mergeCell ref="B115:C115"/>
    <mergeCell ref="G115:H115"/>
    <mergeCell ref="G116:H116"/>
    <mergeCell ref="B116:C116"/>
    <mergeCell ref="B117:C117"/>
    <mergeCell ref="B118:C118"/>
    <mergeCell ref="B119:C119"/>
    <mergeCell ref="B120:C120"/>
    <mergeCell ref="B121:C121"/>
    <mergeCell ref="B122:C122"/>
    <mergeCell ref="G117:H117"/>
    <mergeCell ref="G118:H118"/>
    <mergeCell ref="G119:H119"/>
    <mergeCell ref="G120:H120"/>
    <mergeCell ref="G121:H121"/>
    <mergeCell ref="G122:H122"/>
    <mergeCell ref="G123:H123"/>
    <mergeCell ref="B130:C130"/>
    <mergeCell ref="B131:C131"/>
    <mergeCell ref="B132:C132"/>
    <mergeCell ref="B123:C123"/>
    <mergeCell ref="B124:C124"/>
    <mergeCell ref="B125:C125"/>
    <mergeCell ref="B126:C126"/>
    <mergeCell ref="B127:C127"/>
    <mergeCell ref="B128:C128"/>
    <mergeCell ref="B129:C129"/>
    <mergeCell ref="A74:B74"/>
    <mergeCell ref="C74:D74"/>
    <mergeCell ref="E74:F74"/>
    <mergeCell ref="G74:H74"/>
    <mergeCell ref="C75:D75"/>
    <mergeCell ref="E75:F75"/>
    <mergeCell ref="G75:H75"/>
    <mergeCell ref="A75:B75"/>
    <mergeCell ref="A76:B76"/>
    <mergeCell ref="C76:D76"/>
    <mergeCell ref="E76:F76"/>
    <mergeCell ref="G76:H76"/>
    <mergeCell ref="A77:B77"/>
    <mergeCell ref="C77:D77"/>
    <mergeCell ref="C79:D79"/>
    <mergeCell ref="E79:F79"/>
    <mergeCell ref="E77:F77"/>
    <mergeCell ref="G77:H77"/>
    <mergeCell ref="A78:B78"/>
    <mergeCell ref="C78:D78"/>
    <mergeCell ref="E78:F78"/>
    <mergeCell ref="G78:H78"/>
    <mergeCell ref="G79:H79"/>
    <mergeCell ref="E81:F81"/>
    <mergeCell ref="G81:H81"/>
    <mergeCell ref="A79:B79"/>
    <mergeCell ref="A80:B80"/>
    <mergeCell ref="C80:D80"/>
    <mergeCell ref="E80:F80"/>
    <mergeCell ref="G80:H80"/>
    <mergeCell ref="A81:B81"/>
    <mergeCell ref="C81:D81"/>
    <mergeCell ref="A82:B82"/>
    <mergeCell ref="C82:D82"/>
    <mergeCell ref="E82:F82"/>
    <mergeCell ref="G82:H82"/>
    <mergeCell ref="C83:D83"/>
    <mergeCell ref="E83:F83"/>
    <mergeCell ref="G83:H83"/>
    <mergeCell ref="A83:B83"/>
    <mergeCell ref="A84:B84"/>
    <mergeCell ref="C84:D84"/>
    <mergeCell ref="E84:F84"/>
    <mergeCell ref="G84:H84"/>
    <mergeCell ref="A85:B85"/>
    <mergeCell ref="C85:D85"/>
    <mergeCell ref="L88:M88"/>
    <mergeCell ref="A91:B91"/>
    <mergeCell ref="C91:D91"/>
    <mergeCell ref="E91:F91"/>
    <mergeCell ref="G91:H91"/>
    <mergeCell ref="C92:D92"/>
    <mergeCell ref="E92:F92"/>
    <mergeCell ref="G92:H92"/>
    <mergeCell ref="A92:B92"/>
    <mergeCell ref="A93:B93"/>
    <mergeCell ref="C93:D93"/>
    <mergeCell ref="E93:F93"/>
    <mergeCell ref="G93:H93"/>
    <mergeCell ref="A94:B94"/>
    <mergeCell ref="C94:D94"/>
    <mergeCell ref="C96:D96"/>
    <mergeCell ref="E96:F96"/>
    <mergeCell ref="E94:F94"/>
    <mergeCell ref="G94:H94"/>
    <mergeCell ref="A95:B95"/>
    <mergeCell ref="C95:D95"/>
    <mergeCell ref="E95:F95"/>
    <mergeCell ref="G95:H95"/>
    <mergeCell ref="G96:H96"/>
    <mergeCell ref="E98:F98"/>
    <mergeCell ref="G98:H98"/>
    <mergeCell ref="K105:L105"/>
    <mergeCell ref="O105:P105"/>
    <mergeCell ref="A96:B96"/>
    <mergeCell ref="A97:B97"/>
    <mergeCell ref="C97:D97"/>
    <mergeCell ref="E97:F97"/>
    <mergeCell ref="G97:H97"/>
    <mergeCell ref="A98:B98"/>
    <mergeCell ref="C98:D98"/>
  </mergeCells>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37.57"/>
    <col customWidth="1" min="2" max="2" width="14.43"/>
    <col customWidth="1" min="3" max="3" width="18.71"/>
    <col customWidth="1" min="4" max="6" width="14.43"/>
  </cols>
  <sheetData>
    <row r="1">
      <c r="A1" s="459"/>
      <c r="B1" s="459"/>
      <c r="C1" s="459"/>
      <c r="D1" s="459"/>
      <c r="E1" s="459"/>
      <c r="F1" s="459"/>
      <c r="G1" s="459"/>
      <c r="H1" s="459"/>
      <c r="I1" s="459"/>
      <c r="J1" s="459"/>
      <c r="K1" s="459"/>
      <c r="L1" s="459"/>
      <c r="M1" s="459"/>
      <c r="N1" s="459"/>
      <c r="O1" s="459"/>
      <c r="P1" s="459"/>
      <c r="Q1" s="459"/>
      <c r="R1" s="459"/>
      <c r="S1" s="459"/>
    </row>
    <row r="2">
      <c r="A2" s="459"/>
      <c r="B2" s="459"/>
      <c r="C2" s="256" t="s">
        <v>266</v>
      </c>
      <c r="D2" s="256" t="s">
        <v>451</v>
      </c>
      <c r="E2" s="256" t="s">
        <v>838</v>
      </c>
      <c r="F2" s="256" t="s">
        <v>839</v>
      </c>
      <c r="G2" s="256" t="s">
        <v>840</v>
      </c>
      <c r="H2" s="256" t="s">
        <v>841</v>
      </c>
      <c r="I2" s="256" t="s">
        <v>842</v>
      </c>
      <c r="J2" s="256" t="s">
        <v>393</v>
      </c>
      <c r="K2" s="256" t="s">
        <v>843</v>
      </c>
      <c r="L2" s="256" t="s">
        <v>846</v>
      </c>
      <c r="M2" s="256" t="s">
        <v>847</v>
      </c>
      <c r="N2" s="256" t="s">
        <v>853</v>
      </c>
      <c r="O2" s="256" t="s">
        <v>852</v>
      </c>
      <c r="P2" s="460" t="s">
        <v>837</v>
      </c>
      <c r="Q2" s="460" t="s">
        <v>844</v>
      </c>
      <c r="R2" s="460" t="s">
        <v>854</v>
      </c>
      <c r="S2" s="460" t="s">
        <v>849</v>
      </c>
      <c r="T2" s="460" t="s">
        <v>851</v>
      </c>
      <c r="U2" s="430" t="str">
        <f>'Class Abilities'!B3</f>
        <v>Custom 1</v>
      </c>
      <c r="V2" s="430" t="str">
        <f>'Class Abilities'!B4</f>
        <v>Custom 2</v>
      </c>
      <c r="W2" s="430" t="str">
        <f>'Class Abilities'!B5</f>
        <v>Custom 3</v>
      </c>
    </row>
    <row r="3">
      <c r="A3" s="459"/>
      <c r="B3" s="459"/>
      <c r="C3" s="256" t="s">
        <v>855</v>
      </c>
      <c r="D3" s="256">
        <v>0.0</v>
      </c>
      <c r="E3" s="256">
        <v>4.0</v>
      </c>
      <c r="F3" s="256">
        <v>6.0</v>
      </c>
      <c r="G3" s="256">
        <v>2.0</v>
      </c>
      <c r="H3" s="256">
        <v>4.0</v>
      </c>
      <c r="I3" s="256">
        <v>2.0</v>
      </c>
      <c r="J3" s="256">
        <v>4.0</v>
      </c>
      <c r="K3" s="256">
        <v>2.0</v>
      </c>
      <c r="L3" s="256">
        <v>6.0</v>
      </c>
      <c r="M3" s="256">
        <v>8.0</v>
      </c>
      <c r="N3" s="256">
        <v>2.0</v>
      </c>
      <c r="O3" s="256">
        <v>2.0</v>
      </c>
      <c r="P3" s="460">
        <v>2.0</v>
      </c>
      <c r="Q3" s="460">
        <v>2.0</v>
      </c>
      <c r="R3" s="460">
        <v>2.0</v>
      </c>
      <c r="S3" s="460">
        <v>4.0</v>
      </c>
      <c r="T3" s="460">
        <v>4.0</v>
      </c>
      <c r="U3" s="433" t="str">
        <f>'Class Abilities'!L3</f>
        <v/>
      </c>
      <c r="V3" s="433" t="str">
        <f>'Class Abilities'!L4</f>
        <v/>
      </c>
      <c r="W3" s="433" t="str">
        <f>'Class Abilities'!L5</f>
        <v/>
      </c>
    </row>
    <row r="4">
      <c r="A4" s="459"/>
      <c r="B4" s="459"/>
      <c r="C4" s="459"/>
      <c r="D4" s="459"/>
      <c r="E4" s="459"/>
      <c r="F4" s="459"/>
      <c r="G4" s="459"/>
      <c r="H4" s="459"/>
      <c r="I4" s="459"/>
      <c r="J4" s="459"/>
      <c r="K4" s="459"/>
      <c r="L4" s="459"/>
      <c r="M4" s="459"/>
      <c r="N4" s="459"/>
      <c r="O4" s="459"/>
      <c r="P4" s="459"/>
      <c r="Q4" s="459"/>
      <c r="R4" s="459"/>
      <c r="S4" s="459"/>
    </row>
    <row r="5">
      <c r="A5" s="459"/>
      <c r="B5" s="459"/>
      <c r="C5" s="459"/>
      <c r="D5" s="459"/>
      <c r="E5" s="459"/>
      <c r="F5" s="459"/>
      <c r="G5" s="459"/>
      <c r="H5" s="459"/>
      <c r="I5" s="459"/>
      <c r="J5" s="459"/>
      <c r="K5" s="459"/>
      <c r="L5" s="459"/>
      <c r="M5" s="459"/>
      <c r="N5" s="459"/>
      <c r="O5" s="459"/>
      <c r="P5" s="459"/>
      <c r="Q5" s="459"/>
      <c r="R5" s="459"/>
      <c r="S5" s="459"/>
    </row>
    <row r="6">
      <c r="A6" s="459"/>
      <c r="B6" s="459"/>
      <c r="C6" s="459"/>
      <c r="D6" s="459"/>
      <c r="E6" s="459"/>
      <c r="F6" s="459"/>
      <c r="G6" s="459"/>
      <c r="H6" s="459"/>
      <c r="I6" s="459"/>
      <c r="J6" s="459"/>
      <c r="K6" s="459"/>
      <c r="L6" s="459"/>
      <c r="M6" s="459"/>
      <c r="N6" s="459"/>
      <c r="O6" s="459"/>
      <c r="P6" s="459"/>
      <c r="Q6" s="459"/>
      <c r="R6" s="459"/>
      <c r="S6" s="459"/>
    </row>
    <row r="7">
      <c r="A7" s="459"/>
      <c r="B7" s="459"/>
      <c r="C7" s="459"/>
      <c r="D7" s="459"/>
      <c r="E7" s="459"/>
      <c r="F7" s="459"/>
      <c r="G7" s="459"/>
      <c r="H7" s="459"/>
      <c r="I7" s="459"/>
      <c r="J7" s="459"/>
      <c r="K7" s="459"/>
      <c r="L7" s="459"/>
      <c r="M7" s="459"/>
      <c r="N7" s="459"/>
      <c r="O7" s="459"/>
      <c r="P7" s="459"/>
      <c r="Q7" s="459"/>
      <c r="R7" s="459"/>
      <c r="S7" s="459"/>
    </row>
    <row r="8">
      <c r="A8" s="459"/>
      <c r="B8" s="459"/>
      <c r="C8" s="459"/>
      <c r="D8" s="459"/>
      <c r="E8" s="459"/>
      <c r="F8" s="459"/>
      <c r="G8" s="459"/>
      <c r="H8" s="459"/>
      <c r="I8" s="459"/>
      <c r="J8" s="459"/>
      <c r="K8" s="459"/>
      <c r="L8" s="459"/>
      <c r="M8" s="459"/>
      <c r="N8" s="459"/>
      <c r="O8" s="459"/>
      <c r="P8" s="459"/>
      <c r="Q8" s="459"/>
      <c r="R8" s="459"/>
      <c r="S8" s="459"/>
    </row>
    <row r="9">
      <c r="A9" s="459"/>
      <c r="B9" s="459"/>
      <c r="C9" s="459"/>
      <c r="D9" s="459"/>
      <c r="E9" s="459"/>
      <c r="F9" s="459"/>
      <c r="G9" s="459"/>
      <c r="H9" s="459"/>
      <c r="I9" s="459"/>
      <c r="J9" s="459"/>
      <c r="K9" s="459"/>
      <c r="L9" s="459"/>
      <c r="M9" s="459"/>
      <c r="N9" s="459"/>
      <c r="O9" s="459"/>
      <c r="P9" s="459"/>
      <c r="Q9" s="459"/>
      <c r="R9" s="459"/>
      <c r="S9" s="459"/>
    </row>
    <row r="10">
      <c r="A10" s="459"/>
      <c r="B10" s="459"/>
      <c r="C10" s="459"/>
      <c r="D10" s="459"/>
      <c r="E10" s="459"/>
      <c r="F10" s="459"/>
      <c r="G10" s="459"/>
      <c r="H10" s="459"/>
      <c r="I10" s="459"/>
      <c r="J10" s="459"/>
      <c r="K10" s="459"/>
      <c r="L10" s="459"/>
      <c r="M10" s="459"/>
      <c r="N10" s="459"/>
      <c r="O10" s="459"/>
      <c r="P10" s="459"/>
      <c r="Q10" s="459"/>
      <c r="R10" s="459"/>
      <c r="S10" s="459"/>
    </row>
    <row r="11">
      <c r="A11" s="459"/>
      <c r="B11" s="459"/>
      <c r="C11" s="459"/>
      <c r="D11" s="459"/>
      <c r="E11" s="459"/>
      <c r="F11" s="459"/>
      <c r="G11" s="459"/>
      <c r="H11" s="459"/>
      <c r="I11" s="459"/>
      <c r="J11" s="459"/>
      <c r="K11" s="459"/>
      <c r="L11" s="459"/>
      <c r="M11" s="459"/>
      <c r="N11" s="459"/>
      <c r="O11" s="459"/>
      <c r="P11" s="459"/>
      <c r="Q11" s="459"/>
      <c r="R11" s="459"/>
      <c r="S11" s="459"/>
    </row>
    <row r="12">
      <c r="A12" s="459"/>
      <c r="B12" s="459"/>
      <c r="C12" s="459"/>
      <c r="D12" s="459"/>
      <c r="E12" s="459"/>
      <c r="F12" s="459"/>
      <c r="G12" s="459"/>
      <c r="H12" s="459"/>
      <c r="I12" s="459"/>
      <c r="J12" s="459"/>
      <c r="K12" s="459"/>
      <c r="L12" s="459"/>
      <c r="M12" s="459"/>
      <c r="N12" s="459"/>
      <c r="O12" s="459"/>
      <c r="P12" s="459"/>
      <c r="Q12" s="459"/>
      <c r="R12" s="459"/>
      <c r="S12" s="459"/>
    </row>
    <row r="13">
      <c r="A13" s="459"/>
      <c r="B13" s="459"/>
      <c r="C13" s="459"/>
      <c r="D13" s="459"/>
      <c r="E13" s="459"/>
      <c r="F13" s="459"/>
      <c r="G13" s="459"/>
      <c r="H13" s="459"/>
      <c r="I13" s="459"/>
      <c r="J13" s="459"/>
      <c r="K13" s="459"/>
      <c r="L13" s="459"/>
      <c r="M13" s="459"/>
      <c r="N13" s="459"/>
      <c r="O13" s="459"/>
      <c r="P13" s="459"/>
      <c r="Q13" s="459"/>
      <c r="R13" s="459"/>
      <c r="S13" s="459"/>
    </row>
    <row r="14">
      <c r="A14" s="459"/>
      <c r="B14" s="459"/>
      <c r="C14" s="459"/>
      <c r="D14" s="459"/>
      <c r="E14" s="459"/>
      <c r="F14" s="459"/>
      <c r="G14" s="459"/>
      <c r="H14" s="459"/>
      <c r="I14" s="459"/>
      <c r="J14" s="459"/>
      <c r="K14" s="459"/>
      <c r="L14" s="459"/>
      <c r="M14" s="459"/>
      <c r="N14" s="459"/>
      <c r="O14" s="459"/>
      <c r="P14" s="459"/>
      <c r="Q14" s="459"/>
      <c r="R14" s="459"/>
      <c r="S14" s="459"/>
    </row>
    <row r="15">
      <c r="A15" s="461" t="s">
        <v>856</v>
      </c>
      <c r="B15" s="461" t="s">
        <v>857</v>
      </c>
      <c r="C15" s="461" t="s">
        <v>858</v>
      </c>
      <c r="D15" s="461" t="s">
        <v>859</v>
      </c>
      <c r="E15" s="461" t="s">
        <v>451</v>
      </c>
      <c r="F15" s="461" t="s">
        <v>860</v>
      </c>
      <c r="G15" s="461" t="s">
        <v>861</v>
      </c>
      <c r="H15" s="461" t="s">
        <v>862</v>
      </c>
      <c r="I15" s="461" t="s">
        <v>863</v>
      </c>
      <c r="J15" s="461" t="s">
        <v>864</v>
      </c>
      <c r="K15" s="461" t="s">
        <v>865</v>
      </c>
      <c r="L15" s="461" t="s">
        <v>866</v>
      </c>
      <c r="M15" s="461" t="s">
        <v>867</v>
      </c>
      <c r="N15" s="461" t="s">
        <v>868</v>
      </c>
      <c r="O15" s="461" t="s">
        <v>869</v>
      </c>
      <c r="P15" s="461" t="s">
        <v>870</v>
      </c>
      <c r="Q15" s="1" t="s">
        <v>837</v>
      </c>
      <c r="R15" s="1" t="s">
        <v>844</v>
      </c>
      <c r="S15" s="1" t="s">
        <v>854</v>
      </c>
      <c r="T15" s="1" t="s">
        <v>849</v>
      </c>
      <c r="U15" s="1" t="s">
        <v>851</v>
      </c>
      <c r="V15" s="462" t="str">
        <f t="shared" ref="V15:X15" si="1">U2</f>
        <v>Custom 1</v>
      </c>
      <c r="W15" s="462" t="str">
        <f t="shared" si="1"/>
        <v>Custom 2</v>
      </c>
      <c r="X15" s="463" t="str">
        <f t="shared" si="1"/>
        <v>Custom 3</v>
      </c>
    </row>
    <row r="16">
      <c r="A16" s="464" t="s">
        <v>471</v>
      </c>
      <c r="B16" s="464" t="s">
        <v>293</v>
      </c>
      <c r="C16" s="464" t="s">
        <v>871</v>
      </c>
      <c r="D16" s="464" t="s">
        <v>326</v>
      </c>
      <c r="E16" s="464" t="b">
        <v>0</v>
      </c>
      <c r="F16" s="464" t="b">
        <v>0</v>
      </c>
      <c r="G16" s="464" t="b">
        <v>1</v>
      </c>
      <c r="H16" s="464" t="b">
        <v>0</v>
      </c>
      <c r="I16" s="464" t="b">
        <v>0</v>
      </c>
      <c r="J16" s="464" t="b">
        <v>0</v>
      </c>
      <c r="K16" s="464" t="b">
        <v>0</v>
      </c>
      <c r="L16" s="464" t="b">
        <v>0</v>
      </c>
      <c r="M16" s="464" t="b">
        <v>0</v>
      </c>
      <c r="N16" s="464" t="b">
        <v>1</v>
      </c>
      <c r="O16" s="464" t="b">
        <v>0</v>
      </c>
      <c r="P16" s="464" t="b">
        <v>0</v>
      </c>
      <c r="Q16" s="465" t="b">
        <v>0</v>
      </c>
      <c r="R16" s="465" t="b">
        <v>0</v>
      </c>
      <c r="S16" s="465" t="b">
        <v>0</v>
      </c>
      <c r="T16" s="465" t="b">
        <v>0</v>
      </c>
      <c r="U16" s="465" t="b">
        <v>0</v>
      </c>
      <c r="V16" s="464" t="b">
        <f>IFERROR(__xludf.DUMMYFUNCTION("if(regexmatch('Class Abilities'!$E$6,A16),True,False)"),FALSE)</f>
        <v>0</v>
      </c>
      <c r="W16" s="464" t="b">
        <f>IFERROR(__xludf.DUMMYFUNCTION("if(regexmatch('Class Abilities'!$E$7,A16),True,False)"),FALSE)</f>
        <v>0</v>
      </c>
      <c r="X16" s="466" t="b">
        <f>IFERROR(__xludf.DUMMYFUNCTION("if(regexmatch('Class Abilities'!$E$8,A16),True,False)"),FALSE)</f>
        <v>0</v>
      </c>
    </row>
    <row r="17">
      <c r="A17" s="462" t="s">
        <v>475</v>
      </c>
      <c r="B17" s="462" t="s">
        <v>296</v>
      </c>
      <c r="C17" s="462" t="s">
        <v>872</v>
      </c>
      <c r="D17" s="462" t="s">
        <v>326</v>
      </c>
      <c r="E17" s="464" t="b">
        <v>0</v>
      </c>
      <c r="F17" s="464" t="b">
        <v>0</v>
      </c>
      <c r="G17" s="464" t="b">
        <v>0</v>
      </c>
      <c r="H17" s="464" t="b">
        <v>0</v>
      </c>
      <c r="I17" s="464" t="b">
        <v>0</v>
      </c>
      <c r="J17" s="464" t="b">
        <v>0</v>
      </c>
      <c r="K17" s="464" t="b">
        <v>0</v>
      </c>
      <c r="L17" s="464" t="b">
        <v>0</v>
      </c>
      <c r="M17" s="464" t="b">
        <v>0</v>
      </c>
      <c r="N17" s="464" t="b">
        <v>0</v>
      </c>
      <c r="O17" s="464" t="b">
        <v>0</v>
      </c>
      <c r="P17" s="464" t="b">
        <v>0</v>
      </c>
      <c r="Q17" s="465" t="b">
        <v>0</v>
      </c>
      <c r="R17" s="465" t="b">
        <v>0</v>
      </c>
      <c r="S17" s="1" t="b">
        <v>1</v>
      </c>
      <c r="T17" s="1" t="b">
        <v>1</v>
      </c>
      <c r="U17" s="1" t="b">
        <v>1</v>
      </c>
      <c r="V17" s="464" t="b">
        <f>IFERROR(__xludf.DUMMYFUNCTION("if(regexmatch('Class Abilities'!$E$6,A17),True,False)"),FALSE)</f>
        <v>0</v>
      </c>
      <c r="W17" s="464" t="b">
        <f>IFERROR(__xludf.DUMMYFUNCTION("if(regexmatch('Class Abilities'!$E$7,A17),True,False)"),FALSE)</f>
        <v>0</v>
      </c>
      <c r="X17" s="466" t="b">
        <f>IFERROR(__xludf.DUMMYFUNCTION("if(regexmatch('Class Abilities'!$E$8,A17),True,False)"),FALSE)</f>
        <v>0</v>
      </c>
    </row>
    <row r="18">
      <c r="A18" s="464" t="s">
        <v>477</v>
      </c>
      <c r="B18" s="464" t="s">
        <v>287</v>
      </c>
      <c r="C18" s="464" t="s">
        <v>873</v>
      </c>
      <c r="D18" s="464" t="s">
        <v>326</v>
      </c>
      <c r="E18" s="464" t="b">
        <v>0</v>
      </c>
      <c r="F18" s="464" t="b">
        <v>0</v>
      </c>
      <c r="G18" s="464" t="b">
        <v>1</v>
      </c>
      <c r="H18" s="464" t="b">
        <v>0</v>
      </c>
      <c r="I18" s="464" t="b">
        <v>0</v>
      </c>
      <c r="J18" s="464" t="b">
        <v>0</v>
      </c>
      <c r="K18" s="464" t="b">
        <v>1</v>
      </c>
      <c r="L18" s="464" t="b">
        <v>0</v>
      </c>
      <c r="M18" s="464" t="b">
        <v>0</v>
      </c>
      <c r="N18" s="464" t="b">
        <v>1</v>
      </c>
      <c r="O18" s="464" t="b">
        <v>0</v>
      </c>
      <c r="P18" s="464" t="b">
        <v>0</v>
      </c>
      <c r="Q18" s="465" t="b">
        <v>0</v>
      </c>
      <c r="R18" s="465" t="b">
        <v>0</v>
      </c>
      <c r="S18" s="465" t="b">
        <v>0</v>
      </c>
      <c r="T18" s="465" t="b">
        <v>0</v>
      </c>
      <c r="U18" s="1" t="b">
        <v>1</v>
      </c>
      <c r="V18" s="464" t="b">
        <f>IFERROR(__xludf.DUMMYFUNCTION("if(regexmatch('Class Abilities'!$E$6,A18),True,False)"),FALSE)</f>
        <v>0</v>
      </c>
      <c r="W18" s="464" t="b">
        <f>IFERROR(__xludf.DUMMYFUNCTION("if(regexmatch('Class Abilities'!$E$7,A18),True,False)"),FALSE)</f>
        <v>0</v>
      </c>
      <c r="X18" s="466" t="b">
        <f>IFERROR(__xludf.DUMMYFUNCTION("if(regexmatch('Class Abilities'!$E$8,A18),True,False)"),FALSE)</f>
        <v>0</v>
      </c>
    </row>
    <row r="19">
      <c r="A19" s="464" t="s">
        <v>478</v>
      </c>
      <c r="B19" s="464" t="s">
        <v>299</v>
      </c>
      <c r="C19" s="464" t="s">
        <v>874</v>
      </c>
      <c r="D19" s="464" t="s">
        <v>326</v>
      </c>
      <c r="E19" s="464" t="b">
        <v>0</v>
      </c>
      <c r="F19" s="464" t="b">
        <v>0</v>
      </c>
      <c r="G19" s="464" t="b">
        <v>1</v>
      </c>
      <c r="H19" s="464" t="b">
        <v>0</v>
      </c>
      <c r="I19" s="464" t="b">
        <v>0</v>
      </c>
      <c r="J19" s="464" t="b">
        <v>0</v>
      </c>
      <c r="K19" s="464" t="b">
        <v>0</v>
      </c>
      <c r="L19" s="464" t="b">
        <v>0</v>
      </c>
      <c r="M19" s="464" t="b">
        <v>0</v>
      </c>
      <c r="N19" s="464" t="b">
        <v>1</v>
      </c>
      <c r="O19" s="464" t="b">
        <v>1</v>
      </c>
      <c r="P19" s="464" t="b">
        <v>0</v>
      </c>
      <c r="Q19" s="465" t="b">
        <v>0</v>
      </c>
      <c r="R19" s="465" t="b">
        <v>0</v>
      </c>
      <c r="S19" s="465" t="b">
        <v>0</v>
      </c>
      <c r="T19" s="465" t="b">
        <v>0</v>
      </c>
      <c r="U19" s="1" t="b">
        <v>1</v>
      </c>
      <c r="V19" s="464" t="b">
        <f>IFERROR(__xludf.DUMMYFUNCTION("if(regexmatch('Class Abilities'!$E$6,A19),True,False)"),FALSE)</f>
        <v>0</v>
      </c>
      <c r="W19" s="464" t="b">
        <f>IFERROR(__xludf.DUMMYFUNCTION("if(regexmatch('Class Abilities'!$E$7,A19),True,False)"),FALSE)</f>
        <v>0</v>
      </c>
      <c r="X19" s="466" t="b">
        <f>IFERROR(__xludf.DUMMYFUNCTION("if(regexmatch('Class Abilities'!$E$8,A19),True,False)"),FALSE)</f>
        <v>0</v>
      </c>
    </row>
    <row r="20">
      <c r="A20" s="464" t="s">
        <v>481</v>
      </c>
      <c r="B20" s="464" t="s">
        <v>284</v>
      </c>
      <c r="C20" s="464" t="s">
        <v>875</v>
      </c>
      <c r="D20" s="464" t="s">
        <v>326</v>
      </c>
      <c r="E20" s="464" t="b">
        <v>0</v>
      </c>
      <c r="F20" s="464" t="b">
        <v>1</v>
      </c>
      <c r="G20" s="464" t="b">
        <v>1</v>
      </c>
      <c r="H20" s="464" t="b">
        <v>0</v>
      </c>
      <c r="I20" s="464" t="b">
        <v>0</v>
      </c>
      <c r="J20" s="464" t="b">
        <v>1</v>
      </c>
      <c r="K20" s="464" t="b">
        <v>1</v>
      </c>
      <c r="L20" s="464" t="b">
        <v>0</v>
      </c>
      <c r="M20" s="464" t="b">
        <v>1</v>
      </c>
      <c r="N20" s="464" t="b">
        <v>1</v>
      </c>
      <c r="O20" s="464" t="b">
        <v>0</v>
      </c>
      <c r="P20" s="464" t="b">
        <v>0</v>
      </c>
      <c r="Q20" s="465" t="b">
        <v>0</v>
      </c>
      <c r="R20" s="465" t="b">
        <v>0</v>
      </c>
      <c r="S20" s="1" t="b">
        <v>1</v>
      </c>
      <c r="T20" s="1" t="b">
        <v>1</v>
      </c>
      <c r="U20" s="1" t="b">
        <v>1</v>
      </c>
      <c r="V20" s="464" t="b">
        <f>IFERROR(__xludf.DUMMYFUNCTION("if(regexmatch('Class Abilities'!$E$6,A20),True,False)"),FALSE)</f>
        <v>0</v>
      </c>
      <c r="W20" s="464" t="b">
        <f>IFERROR(__xludf.DUMMYFUNCTION("if(regexmatch('Class Abilities'!$E$7,A20),True,False)"),FALSE)</f>
        <v>0</v>
      </c>
      <c r="X20" s="466" t="b">
        <f>IFERROR(__xludf.DUMMYFUNCTION("if(regexmatch('Class Abilities'!$E$8,A20),True,False)"),FALSE)</f>
        <v>0</v>
      </c>
    </row>
    <row r="21">
      <c r="A21" s="464" t="s">
        <v>483</v>
      </c>
      <c r="B21" s="464" t="s">
        <v>290</v>
      </c>
      <c r="C21" s="464" t="s">
        <v>876</v>
      </c>
      <c r="D21" s="464" t="s">
        <v>326</v>
      </c>
      <c r="E21" s="464" t="b">
        <v>0</v>
      </c>
      <c r="F21" s="464" t="b">
        <v>0</v>
      </c>
      <c r="G21" s="464" t="b">
        <v>1</v>
      </c>
      <c r="H21" s="464" t="b">
        <v>1</v>
      </c>
      <c r="I21" s="464" t="b">
        <v>1</v>
      </c>
      <c r="J21" s="464" t="b">
        <v>0</v>
      </c>
      <c r="K21" s="464" t="b">
        <v>1</v>
      </c>
      <c r="L21" s="464" t="b">
        <v>1</v>
      </c>
      <c r="M21" s="464" t="b">
        <v>1</v>
      </c>
      <c r="N21" s="464" t="b">
        <v>0</v>
      </c>
      <c r="O21" s="464" t="b">
        <v>1</v>
      </c>
      <c r="P21" s="464" t="b">
        <v>1</v>
      </c>
      <c r="Q21" s="1" t="b">
        <v>1</v>
      </c>
      <c r="R21" s="1" t="b">
        <v>1</v>
      </c>
      <c r="S21" s="1" t="b">
        <v>1</v>
      </c>
      <c r="T21" s="1" t="b">
        <v>1</v>
      </c>
      <c r="U21" s="1" t="b">
        <v>1</v>
      </c>
      <c r="V21" s="464" t="b">
        <f>IFERROR(__xludf.DUMMYFUNCTION("if(regexmatch('Class Abilities'!$E$6,A21),True,False)"),FALSE)</f>
        <v>0</v>
      </c>
      <c r="W21" s="464" t="b">
        <f>IFERROR(__xludf.DUMMYFUNCTION("if(regexmatch('Class Abilities'!$E$7,A21),True,False)"),FALSE)</f>
        <v>0</v>
      </c>
      <c r="X21" s="466" t="b">
        <f>IFERROR(__xludf.DUMMYFUNCTION("if(regexmatch('Class Abilities'!$E$8,A21),True,False)"),FALSE)</f>
        <v>0</v>
      </c>
    </row>
    <row r="22">
      <c r="A22" s="464" t="str">
        <f>Skills!B22</f>
        <v>Craft [Enter Type]</v>
      </c>
      <c r="B22" s="464" t="s">
        <v>293</v>
      </c>
      <c r="C22" s="464" t="s">
        <v>871</v>
      </c>
      <c r="D22" s="464" t="s">
        <v>326</v>
      </c>
      <c r="E22" s="464" t="b">
        <v>0</v>
      </c>
      <c r="F22" s="464" t="b">
        <v>1</v>
      </c>
      <c r="G22" s="464" t="b">
        <v>1</v>
      </c>
      <c r="H22" s="464" t="b">
        <v>1</v>
      </c>
      <c r="I22" s="464" t="b">
        <v>1</v>
      </c>
      <c r="J22" s="464" t="b">
        <v>1</v>
      </c>
      <c r="K22" s="464" t="b">
        <v>1</v>
      </c>
      <c r="L22" s="464" t="b">
        <v>1</v>
      </c>
      <c r="M22" s="464" t="b">
        <v>1</v>
      </c>
      <c r="N22" s="464" t="b">
        <v>1</v>
      </c>
      <c r="O22" s="464" t="b">
        <v>1</v>
      </c>
      <c r="P22" s="464" t="b">
        <v>1</v>
      </c>
      <c r="Q22" s="1" t="b">
        <v>1</v>
      </c>
      <c r="R22" s="1" t="b">
        <v>1</v>
      </c>
      <c r="S22" s="1" t="b">
        <v>1</v>
      </c>
      <c r="T22" s="1" t="b">
        <v>1</v>
      </c>
      <c r="U22" s="1" t="b">
        <v>1</v>
      </c>
      <c r="V22" s="464" t="b">
        <f>IFERROR(__xludf.DUMMYFUNCTION("if(regexmatch('Class Abilities'!$E$6,A22),True,False)"),FALSE)</f>
        <v>0</v>
      </c>
      <c r="W22" s="464" t="b">
        <f>IFERROR(__xludf.DUMMYFUNCTION("if(regexmatch('Class Abilities'!$E$7,A22),True,False)"),FALSE)</f>
        <v>0</v>
      </c>
      <c r="X22" s="466" t="b">
        <f>IFERROR(__xludf.DUMMYFUNCTION("if(regexmatch('Class Abilities'!$E$8,A22),True,False)"),FALSE)</f>
        <v>0</v>
      </c>
    </row>
    <row r="23">
      <c r="A23" s="464" t="s">
        <v>487</v>
      </c>
      <c r="B23" s="464" t="s">
        <v>293</v>
      </c>
      <c r="C23" s="464" t="s">
        <v>871</v>
      </c>
      <c r="D23" s="464" t="s">
        <v>472</v>
      </c>
      <c r="E23" s="464" t="b">
        <v>0</v>
      </c>
      <c r="F23" s="464" t="b">
        <v>0</v>
      </c>
      <c r="G23" s="464" t="b">
        <v>1</v>
      </c>
      <c r="H23" s="464" t="b">
        <v>0</v>
      </c>
      <c r="I23" s="464" t="b">
        <v>0</v>
      </c>
      <c r="J23" s="464" t="b">
        <v>0</v>
      </c>
      <c r="K23" s="464" t="b">
        <v>0</v>
      </c>
      <c r="L23" s="464" t="b">
        <v>0</v>
      </c>
      <c r="M23" s="464" t="b">
        <v>0</v>
      </c>
      <c r="N23" s="464" t="b">
        <v>1</v>
      </c>
      <c r="O23" s="464" t="b">
        <v>0</v>
      </c>
      <c r="P23" s="464" t="b">
        <v>1</v>
      </c>
      <c r="Q23" s="465" t="b">
        <v>0</v>
      </c>
      <c r="R23" s="465" t="b">
        <v>0</v>
      </c>
      <c r="S23" s="465" t="b">
        <v>0</v>
      </c>
      <c r="T23" s="465" t="b">
        <v>0</v>
      </c>
      <c r="U23" s="465" t="b">
        <v>0</v>
      </c>
      <c r="V23" s="464" t="b">
        <f>IFERROR(__xludf.DUMMYFUNCTION("if(regexmatch('Class Abilities'!$E$6,A23),True,False)"),FALSE)</f>
        <v>0</v>
      </c>
      <c r="W23" s="464" t="b">
        <f>IFERROR(__xludf.DUMMYFUNCTION("if(regexmatch('Class Abilities'!$E$7,A23),True,False)"),FALSE)</f>
        <v>0</v>
      </c>
      <c r="X23" s="466" t="b">
        <f>IFERROR(__xludf.DUMMYFUNCTION("if(regexmatch('Class Abilities'!$E$8,A23),True,False)"),FALSE)</f>
        <v>0</v>
      </c>
    </row>
    <row r="24">
      <c r="A24" s="464" t="s">
        <v>490</v>
      </c>
      <c r="B24" s="464" t="s">
        <v>299</v>
      </c>
      <c r="C24" s="464" t="s">
        <v>874</v>
      </c>
      <c r="D24" s="464" t="s">
        <v>326</v>
      </c>
      <c r="E24" s="464" t="b">
        <v>0</v>
      </c>
      <c r="F24" s="464" t="b">
        <v>0</v>
      </c>
      <c r="G24" s="464" t="b">
        <v>1</v>
      </c>
      <c r="H24" s="464" t="b">
        <v>1</v>
      </c>
      <c r="I24" s="464" t="b">
        <v>1</v>
      </c>
      <c r="J24" s="464" t="b">
        <v>0</v>
      </c>
      <c r="K24" s="464" t="b">
        <v>1</v>
      </c>
      <c r="L24" s="464" t="b">
        <v>1</v>
      </c>
      <c r="M24" s="464" t="b">
        <v>0</v>
      </c>
      <c r="N24" s="464" t="b">
        <v>1</v>
      </c>
      <c r="O24" s="464" t="b">
        <v>0</v>
      </c>
      <c r="P24" s="464" t="b">
        <v>0</v>
      </c>
      <c r="Q24" s="465" t="b">
        <v>0</v>
      </c>
      <c r="R24" s="465" t="b">
        <v>0</v>
      </c>
      <c r="S24" s="465" t="b">
        <v>0</v>
      </c>
      <c r="T24" s="465" t="b">
        <v>0</v>
      </c>
      <c r="U24" s="465" t="b">
        <v>0</v>
      </c>
      <c r="V24" s="464" t="b">
        <f>IFERROR(__xludf.DUMMYFUNCTION("if(regexmatch('Class Abilities'!$E$6,A24),True,False)"),FALSE)</f>
        <v>0</v>
      </c>
      <c r="W24" s="464" t="b">
        <f>IFERROR(__xludf.DUMMYFUNCTION("if(regexmatch('Class Abilities'!$E$7,A24),True,False)"),FALSE)</f>
        <v>0</v>
      </c>
      <c r="X24" s="466" t="b">
        <f>IFERROR(__xludf.DUMMYFUNCTION("if(regexmatch('Class Abilities'!$E$8,A24),True,False)"),FALSE)</f>
        <v>0</v>
      </c>
    </row>
    <row r="25">
      <c r="A25" s="464" t="s">
        <v>492</v>
      </c>
      <c r="B25" s="464" t="s">
        <v>293</v>
      </c>
      <c r="C25" s="464" t="s">
        <v>871</v>
      </c>
      <c r="D25" s="464" t="s">
        <v>472</v>
      </c>
      <c r="E25" s="464" t="b">
        <v>0</v>
      </c>
      <c r="F25" s="464" t="b">
        <v>0</v>
      </c>
      <c r="G25" s="464" t="b">
        <v>0</v>
      </c>
      <c r="H25" s="464" t="b">
        <v>0</v>
      </c>
      <c r="I25" s="464" t="b">
        <v>0</v>
      </c>
      <c r="J25" s="464" t="b">
        <v>0</v>
      </c>
      <c r="K25" s="464" t="b">
        <v>0</v>
      </c>
      <c r="L25" s="464" t="b">
        <v>0</v>
      </c>
      <c r="M25" s="464" t="b">
        <v>0</v>
      </c>
      <c r="N25" s="464" t="b">
        <v>1</v>
      </c>
      <c r="O25" s="464" t="b">
        <v>0</v>
      </c>
      <c r="P25" s="464" t="b">
        <v>0</v>
      </c>
      <c r="Q25" s="465" t="b">
        <v>0</v>
      </c>
      <c r="R25" s="465" t="b">
        <v>0</v>
      </c>
      <c r="S25" s="465" t="b">
        <v>0</v>
      </c>
      <c r="T25" s="465" t="b">
        <v>0</v>
      </c>
      <c r="U25" s="465" t="b">
        <v>0</v>
      </c>
      <c r="V25" s="464" t="b">
        <f>IFERROR(__xludf.DUMMYFUNCTION("if(regexmatch('Class Abilities'!$E$6,A25),True,False)"),FALSE)</f>
        <v>0</v>
      </c>
      <c r="W25" s="464" t="b">
        <f>IFERROR(__xludf.DUMMYFUNCTION("if(regexmatch('Class Abilities'!$E$7,A25),True,False)"),FALSE)</f>
        <v>0</v>
      </c>
      <c r="X25" s="466" t="b">
        <f>IFERROR(__xludf.DUMMYFUNCTION("if(regexmatch('Class Abilities'!$E$8,A25),True,False)"),FALSE)</f>
        <v>0</v>
      </c>
    </row>
    <row r="26">
      <c r="A26" s="464" t="s">
        <v>495</v>
      </c>
      <c r="B26" s="464" t="s">
        <v>299</v>
      </c>
      <c r="C26" s="464" t="s">
        <v>874</v>
      </c>
      <c r="D26" s="464" t="s">
        <v>326</v>
      </c>
      <c r="E26" s="464" t="b">
        <v>0</v>
      </c>
      <c r="F26" s="464" t="b">
        <v>0</v>
      </c>
      <c r="G26" s="464" t="b">
        <v>1</v>
      </c>
      <c r="H26" s="464" t="b">
        <v>0</v>
      </c>
      <c r="I26" s="464" t="b">
        <v>0</v>
      </c>
      <c r="J26" s="464" t="b">
        <v>0</v>
      </c>
      <c r="K26" s="464" t="b">
        <v>0</v>
      </c>
      <c r="L26" s="464" t="b">
        <v>0</v>
      </c>
      <c r="M26" s="464" t="b">
        <v>0</v>
      </c>
      <c r="N26" s="464" t="b">
        <v>1</v>
      </c>
      <c r="O26" s="464" t="b">
        <v>0</v>
      </c>
      <c r="P26" s="464" t="b">
        <v>0</v>
      </c>
      <c r="Q26" s="465" t="b">
        <v>0</v>
      </c>
      <c r="R26" s="465" t="b">
        <v>0</v>
      </c>
      <c r="S26" s="465" t="b">
        <v>0</v>
      </c>
      <c r="T26" s="465" t="b">
        <v>0</v>
      </c>
      <c r="U26" s="465" t="b">
        <v>0</v>
      </c>
      <c r="V26" s="464" t="b">
        <f>IFERROR(__xludf.DUMMYFUNCTION("if(regexmatch('Class Abilities'!$E$6,A26),True,False)"),FALSE)</f>
        <v>0</v>
      </c>
      <c r="W26" s="464" t="b">
        <f>IFERROR(__xludf.DUMMYFUNCTION("if(regexmatch('Class Abilities'!$E$7,A26),True,False)"),FALSE)</f>
        <v>0</v>
      </c>
      <c r="X26" s="466" t="b">
        <f>IFERROR(__xludf.DUMMYFUNCTION("if(regexmatch('Class Abilities'!$E$8,A26),True,False)"),FALSE)</f>
        <v>0</v>
      </c>
    </row>
    <row r="27">
      <c r="A27" s="464" t="s">
        <v>493</v>
      </c>
      <c r="B27" s="464" t="s">
        <v>287</v>
      </c>
      <c r="C27" s="464" t="s">
        <v>873</v>
      </c>
      <c r="D27" s="464" t="s">
        <v>326</v>
      </c>
      <c r="E27" s="464" t="b">
        <v>0</v>
      </c>
      <c r="F27" s="464" t="b">
        <v>0</v>
      </c>
      <c r="G27" s="464" t="b">
        <v>1</v>
      </c>
      <c r="H27" s="464" t="b">
        <v>0</v>
      </c>
      <c r="I27" s="464" t="b">
        <v>0</v>
      </c>
      <c r="J27" s="464" t="b">
        <v>0</v>
      </c>
      <c r="K27" s="464" t="b">
        <v>1</v>
      </c>
      <c r="L27" s="464" t="b">
        <v>0</v>
      </c>
      <c r="M27" s="464" t="b">
        <v>0</v>
      </c>
      <c r="N27" s="464" t="b">
        <v>1</v>
      </c>
      <c r="O27" s="464" t="b">
        <v>0</v>
      </c>
      <c r="P27" s="464" t="b">
        <v>0</v>
      </c>
      <c r="Q27" s="465" t="b">
        <v>0</v>
      </c>
      <c r="R27" s="465" t="b">
        <v>0</v>
      </c>
      <c r="S27" s="465" t="b">
        <v>0</v>
      </c>
      <c r="T27" s="465" t="b">
        <v>0</v>
      </c>
      <c r="U27" s="1" t="b">
        <v>1</v>
      </c>
      <c r="V27" s="464" t="b">
        <f>IFERROR(__xludf.DUMMYFUNCTION("if(regexmatch('Class Abilities'!$E$6,A27),True,False)"),FALSE)</f>
        <v>0</v>
      </c>
      <c r="W27" s="464" t="b">
        <f>IFERROR(__xludf.DUMMYFUNCTION("if(regexmatch('Class Abilities'!$E$7,A27),True,False)"),FALSE)</f>
        <v>0</v>
      </c>
      <c r="X27" s="466" t="b">
        <f>IFERROR(__xludf.DUMMYFUNCTION("if(regexmatch('Class Abilities'!$E$8,A27),True,False)"),FALSE)</f>
        <v>0</v>
      </c>
    </row>
    <row r="28">
      <c r="A28" s="464" t="s">
        <v>499</v>
      </c>
      <c r="B28" s="464" t="s">
        <v>293</v>
      </c>
      <c r="C28" s="464" t="s">
        <v>871</v>
      </c>
      <c r="D28" s="464" t="s">
        <v>326</v>
      </c>
      <c r="E28" s="464" t="b">
        <v>0</v>
      </c>
      <c r="F28" s="464" t="b">
        <v>0</v>
      </c>
      <c r="G28" s="464" t="b">
        <v>0</v>
      </c>
      <c r="H28" s="464" t="b">
        <v>0</v>
      </c>
      <c r="I28" s="464" t="b">
        <v>0</v>
      </c>
      <c r="J28" s="464" t="b">
        <v>0</v>
      </c>
      <c r="K28" s="464" t="b">
        <v>0</v>
      </c>
      <c r="L28" s="464" t="b">
        <v>0</v>
      </c>
      <c r="M28" s="464" t="b">
        <v>0</v>
      </c>
      <c r="N28" s="464" t="b">
        <v>1</v>
      </c>
      <c r="O28" s="464" t="b">
        <v>0</v>
      </c>
      <c r="P28" s="464" t="b">
        <v>0</v>
      </c>
      <c r="Q28" s="465" t="b">
        <v>0</v>
      </c>
      <c r="R28" s="465" t="b">
        <v>0</v>
      </c>
      <c r="S28" s="465" t="b">
        <v>0</v>
      </c>
      <c r="T28" s="465" t="b">
        <v>0</v>
      </c>
      <c r="U28" s="465" t="b">
        <v>0</v>
      </c>
      <c r="V28" s="464" t="b">
        <f>IFERROR(__xludf.DUMMYFUNCTION("if(regexmatch('Class Abilities'!$E$6,A28),True,False)"),FALSE)</f>
        <v>0</v>
      </c>
      <c r="W28" s="464" t="b">
        <f>IFERROR(__xludf.DUMMYFUNCTION("if(regexmatch('Class Abilities'!$E$7,A28),True,False)"),FALSE)</f>
        <v>0</v>
      </c>
      <c r="X28" s="466" t="b">
        <f>IFERROR(__xludf.DUMMYFUNCTION("if(regexmatch('Class Abilities'!$E$8,A28),True,False)"),FALSE)</f>
        <v>0</v>
      </c>
    </row>
    <row r="29">
      <c r="A29" s="464" t="s">
        <v>502</v>
      </c>
      <c r="B29" s="464" t="s">
        <v>299</v>
      </c>
      <c r="C29" s="464" t="s">
        <v>874</v>
      </c>
      <c r="D29" s="464" t="s">
        <v>326</v>
      </c>
      <c r="E29" s="464" t="b">
        <v>0</v>
      </c>
      <c r="F29" s="464" t="b">
        <v>0</v>
      </c>
      <c r="G29" s="464" t="b">
        <v>1</v>
      </c>
      <c r="H29" s="464" t="b">
        <v>0</v>
      </c>
      <c r="I29" s="464" t="b">
        <v>0</v>
      </c>
      <c r="J29" s="464" t="b">
        <v>0</v>
      </c>
      <c r="K29" s="464" t="b">
        <v>0</v>
      </c>
      <c r="L29" s="464" t="b">
        <v>0</v>
      </c>
      <c r="M29" s="464" t="b">
        <v>0</v>
      </c>
      <c r="N29" s="464" t="b">
        <v>1</v>
      </c>
      <c r="O29" s="464" t="b">
        <v>0</v>
      </c>
      <c r="P29" s="464" t="b">
        <v>0</v>
      </c>
      <c r="Q29" s="465" t="b">
        <v>0</v>
      </c>
      <c r="R29" s="465" t="b">
        <v>0</v>
      </c>
      <c r="S29" s="465" t="b">
        <v>0</v>
      </c>
      <c r="T29" s="465" t="b">
        <v>0</v>
      </c>
      <c r="U29" s="465" t="b">
        <v>0</v>
      </c>
      <c r="V29" s="464" t="b">
        <f>IFERROR(__xludf.DUMMYFUNCTION("if(regexmatch('Class Abilities'!$E$6,A29),True,False)"),FALSE)</f>
        <v>0</v>
      </c>
      <c r="W29" s="464" t="b">
        <f>IFERROR(__xludf.DUMMYFUNCTION("if(regexmatch('Class Abilities'!$E$7,A29),True,False)"),FALSE)</f>
        <v>0</v>
      </c>
      <c r="X29" s="466" t="b">
        <f>IFERROR(__xludf.DUMMYFUNCTION("if(regexmatch('Class Abilities'!$E$8,A29),True,False)"),FALSE)</f>
        <v>0</v>
      </c>
    </row>
    <row r="30">
      <c r="A30" s="464" t="s">
        <v>496</v>
      </c>
      <c r="B30" s="464" t="s">
        <v>299</v>
      </c>
      <c r="C30" s="464" t="s">
        <v>874</v>
      </c>
      <c r="D30" s="464" t="s">
        <v>472</v>
      </c>
      <c r="E30" s="464" t="b">
        <v>0</v>
      </c>
      <c r="F30" s="464" t="b">
        <v>1</v>
      </c>
      <c r="G30" s="464" t="b">
        <v>0</v>
      </c>
      <c r="H30" s="464" t="b">
        <v>0</v>
      </c>
      <c r="I30" s="464" t="b">
        <v>1</v>
      </c>
      <c r="J30" s="464" t="b">
        <v>1</v>
      </c>
      <c r="K30" s="464" t="b">
        <v>0</v>
      </c>
      <c r="L30" s="464" t="b">
        <v>1</v>
      </c>
      <c r="M30" s="464" t="b">
        <v>1</v>
      </c>
      <c r="N30" s="464" t="b">
        <v>0</v>
      </c>
      <c r="O30" s="464" t="b">
        <v>0</v>
      </c>
      <c r="P30" s="464" t="b">
        <v>0</v>
      </c>
      <c r="Q30" s="1" t="b">
        <v>1</v>
      </c>
      <c r="R30" s="465" t="b">
        <v>0</v>
      </c>
      <c r="S30" s="465" t="b">
        <v>0</v>
      </c>
      <c r="T30" s="465" t="b">
        <v>0</v>
      </c>
      <c r="U30" s="465" t="b">
        <v>0</v>
      </c>
      <c r="V30" s="464" t="b">
        <f>IFERROR(__xludf.DUMMYFUNCTION("if(regexmatch('Class Abilities'!$E$6,A30),True,False)"),FALSE)</f>
        <v>0</v>
      </c>
      <c r="W30" s="464" t="b">
        <f>IFERROR(__xludf.DUMMYFUNCTION("if(regexmatch('Class Abilities'!$E$7,A30),True,False)"),FALSE)</f>
        <v>0</v>
      </c>
      <c r="X30" s="466" t="b">
        <f>IFERROR(__xludf.DUMMYFUNCTION("if(regexmatch('Class Abilities'!$E$8,A30),True,False)"),FALSE)</f>
        <v>0</v>
      </c>
    </row>
    <row r="31">
      <c r="A31" s="464" t="s">
        <v>507</v>
      </c>
      <c r="B31" s="464" t="s">
        <v>296</v>
      </c>
      <c r="C31" s="464" t="s">
        <v>872</v>
      </c>
      <c r="D31" s="464" t="s">
        <v>326</v>
      </c>
      <c r="E31" s="464" t="b">
        <v>0</v>
      </c>
      <c r="F31" s="464" t="b">
        <v>0</v>
      </c>
      <c r="G31" s="464" t="b">
        <v>0</v>
      </c>
      <c r="H31" s="464" t="b">
        <v>1</v>
      </c>
      <c r="I31" s="464" t="b">
        <v>1</v>
      </c>
      <c r="J31" s="464" t="b">
        <v>0</v>
      </c>
      <c r="K31" s="464" t="b">
        <v>0</v>
      </c>
      <c r="L31" s="464" t="b">
        <v>1</v>
      </c>
      <c r="M31" s="464" t="b">
        <v>1</v>
      </c>
      <c r="N31" s="464" t="b">
        <v>0</v>
      </c>
      <c r="O31" s="464" t="b">
        <v>0</v>
      </c>
      <c r="P31" s="464" t="b">
        <v>0</v>
      </c>
      <c r="Q31" s="1" t="b">
        <v>1</v>
      </c>
      <c r="R31" s="465" t="b">
        <v>0</v>
      </c>
      <c r="S31" s="465" t="b">
        <v>0</v>
      </c>
      <c r="T31" s="465" t="b">
        <v>0</v>
      </c>
      <c r="U31" s="1" t="b">
        <v>0</v>
      </c>
      <c r="V31" s="464" t="b">
        <f>IFERROR(__xludf.DUMMYFUNCTION("if(regexmatch('Class Abilities'!$E$6,A31),True,False)"),FALSE)</f>
        <v>0</v>
      </c>
      <c r="W31" s="464" t="b">
        <f>IFERROR(__xludf.DUMMYFUNCTION("if(regexmatch('Class Abilities'!$E$7,A31),True,False)"),FALSE)</f>
        <v>0</v>
      </c>
      <c r="X31" s="466" t="b">
        <f>IFERROR(__xludf.DUMMYFUNCTION("if(regexmatch('Class Abilities'!$E$8,A31),True,False)"),FALSE)</f>
        <v>0</v>
      </c>
    </row>
    <row r="32">
      <c r="A32" s="464" t="s">
        <v>510</v>
      </c>
      <c r="B32" s="464" t="s">
        <v>287</v>
      </c>
      <c r="C32" s="464" t="s">
        <v>873</v>
      </c>
      <c r="D32" s="464" t="s">
        <v>326</v>
      </c>
      <c r="E32" s="464" t="b">
        <v>0</v>
      </c>
      <c r="F32" s="464" t="b">
        <v>0</v>
      </c>
      <c r="G32" s="464" t="b">
        <v>1</v>
      </c>
      <c r="H32" s="464" t="b">
        <v>0</v>
      </c>
      <c r="I32" s="464" t="b">
        <v>0</v>
      </c>
      <c r="J32" s="464" t="b">
        <v>0</v>
      </c>
      <c r="K32" s="464" t="b">
        <v>1</v>
      </c>
      <c r="L32" s="464" t="b">
        <v>0</v>
      </c>
      <c r="M32" s="464" t="b">
        <v>1</v>
      </c>
      <c r="N32" s="464" t="b">
        <v>1</v>
      </c>
      <c r="O32" s="464" t="b">
        <v>0</v>
      </c>
      <c r="P32" s="464" t="b">
        <v>0</v>
      </c>
      <c r="Q32" s="465" t="b">
        <v>0</v>
      </c>
      <c r="R32" s="465" t="b">
        <v>0</v>
      </c>
      <c r="S32" s="465" t="b">
        <v>0</v>
      </c>
      <c r="T32" s="1" t="b">
        <v>1</v>
      </c>
      <c r="U32" s="465" t="b">
        <v>0</v>
      </c>
      <c r="V32" s="464" t="b">
        <f>IFERROR(__xludf.DUMMYFUNCTION("if(regexmatch('Class Abilities'!$E$6,A32),True,False)"),FALSE)</f>
        <v>0</v>
      </c>
      <c r="W32" s="464" t="b">
        <f>IFERROR(__xludf.DUMMYFUNCTION("if(regexmatch('Class Abilities'!$E$7,A32),True,False)"),FALSE)</f>
        <v>0</v>
      </c>
      <c r="X32" s="466" t="b">
        <f>IFERROR(__xludf.DUMMYFUNCTION("if(regexmatch('Class Abilities'!$E$8,A32),True,False)"),FALSE)</f>
        <v>0</v>
      </c>
    </row>
    <row r="33">
      <c r="A33" s="464" t="s">
        <v>513</v>
      </c>
      <c r="B33" s="464" t="s">
        <v>299</v>
      </c>
      <c r="C33" s="464" t="s">
        <v>874</v>
      </c>
      <c r="D33" s="464" t="s">
        <v>326</v>
      </c>
      <c r="E33" s="464" t="b">
        <v>0</v>
      </c>
      <c r="F33" s="464" t="b">
        <v>1</v>
      </c>
      <c r="G33" s="464" t="b">
        <v>0</v>
      </c>
      <c r="H33" s="464" t="b">
        <v>0</v>
      </c>
      <c r="I33" s="464" t="b">
        <v>0</v>
      </c>
      <c r="J33" s="464" t="b">
        <v>1</v>
      </c>
      <c r="K33" s="464" t="b">
        <v>0</v>
      </c>
      <c r="L33" s="464" t="b">
        <v>0</v>
      </c>
      <c r="M33" s="464" t="b">
        <v>0</v>
      </c>
      <c r="N33" s="464" t="b">
        <v>1</v>
      </c>
      <c r="O33" s="464" t="b">
        <v>0</v>
      </c>
      <c r="P33" s="464" t="b">
        <v>0</v>
      </c>
      <c r="Q33" s="465" t="b">
        <v>0</v>
      </c>
      <c r="R33" s="465" t="b">
        <v>0</v>
      </c>
      <c r="S33" s="465" t="b">
        <v>0</v>
      </c>
      <c r="T33" s="465" t="b">
        <v>0</v>
      </c>
      <c r="U33" s="1" t="b">
        <v>1</v>
      </c>
      <c r="V33" s="464" t="b">
        <f>IFERROR(__xludf.DUMMYFUNCTION("if(regexmatch('Class Abilities'!$E$6,A33),True,False)"),FALSE)</f>
        <v>0</v>
      </c>
      <c r="W33" s="464" t="b">
        <f>IFERROR(__xludf.DUMMYFUNCTION("if(regexmatch('Class Abilities'!$E$7,A33),True,False)"),FALSE)</f>
        <v>0</v>
      </c>
      <c r="X33" s="466" t="b">
        <f>IFERROR(__xludf.DUMMYFUNCTION("if(regexmatch('Class Abilities'!$E$8,A33),True,False)"),FALSE)</f>
        <v>0</v>
      </c>
    </row>
    <row r="34">
      <c r="A34" s="464" t="s">
        <v>500</v>
      </c>
      <c r="B34" s="464" t="s">
        <v>284</v>
      </c>
      <c r="C34" s="464" t="s">
        <v>875</v>
      </c>
      <c r="D34" s="464" t="s">
        <v>326</v>
      </c>
      <c r="E34" s="464" t="b">
        <v>0</v>
      </c>
      <c r="F34" s="464" t="b">
        <v>1</v>
      </c>
      <c r="G34" s="464" t="b">
        <v>1</v>
      </c>
      <c r="H34" s="464" t="b">
        <v>0</v>
      </c>
      <c r="I34" s="464" t="b">
        <v>0</v>
      </c>
      <c r="J34" s="464" t="b">
        <v>1</v>
      </c>
      <c r="K34" s="464" t="b">
        <v>1</v>
      </c>
      <c r="L34" s="464" t="b">
        <v>0</v>
      </c>
      <c r="M34" s="464" t="b">
        <v>1</v>
      </c>
      <c r="N34" s="464" t="b">
        <v>1</v>
      </c>
      <c r="O34" s="464" t="b">
        <v>0</v>
      </c>
      <c r="P34" s="464" t="b">
        <v>0</v>
      </c>
      <c r="Q34" s="465" t="b">
        <v>0</v>
      </c>
      <c r="R34" s="465" t="b">
        <v>0</v>
      </c>
      <c r="S34" s="1" t="b">
        <v>1</v>
      </c>
      <c r="T34" s="1" t="b">
        <v>1</v>
      </c>
      <c r="U34" s="1" t="b">
        <v>1</v>
      </c>
      <c r="V34" s="464" t="b">
        <f>IFERROR(__xludf.DUMMYFUNCTION("if(regexmatch('Class Abilities'!$E$6,A34),True,False)"),FALSE)</f>
        <v>0</v>
      </c>
      <c r="W34" s="464" t="b">
        <f>IFERROR(__xludf.DUMMYFUNCTION("if(regexmatch('Class Abilities'!$E$7,A34),True,False)"),FALSE)</f>
        <v>0</v>
      </c>
      <c r="X34" s="466" t="b">
        <f>IFERROR(__xludf.DUMMYFUNCTION("if(regexmatch('Class Abilities'!$E$8,A34),True,False)"),FALSE)</f>
        <v>0</v>
      </c>
    </row>
    <row r="35">
      <c r="A35" s="464" t="s">
        <v>503</v>
      </c>
      <c r="B35" s="464" t="s">
        <v>293</v>
      </c>
      <c r="C35" s="464" t="s">
        <v>871</v>
      </c>
      <c r="D35" s="464" t="s">
        <v>472</v>
      </c>
      <c r="E35" s="464" t="b">
        <v>0</v>
      </c>
      <c r="F35" s="464" t="b">
        <v>0</v>
      </c>
      <c r="G35" s="464" t="b">
        <v>1</v>
      </c>
      <c r="H35" s="464" t="b">
        <v>1</v>
      </c>
      <c r="I35" s="464" t="b">
        <v>0</v>
      </c>
      <c r="J35" s="464" t="b">
        <v>0</v>
      </c>
      <c r="K35" s="464" t="b">
        <v>1</v>
      </c>
      <c r="L35" s="464" t="b">
        <v>0</v>
      </c>
      <c r="M35" s="464" t="b">
        <v>0</v>
      </c>
      <c r="N35" s="464" t="b">
        <v>0</v>
      </c>
      <c r="O35" s="464" t="b">
        <v>1</v>
      </c>
      <c r="P35" s="464" t="b">
        <v>1</v>
      </c>
      <c r="Q35" s="1" t="b">
        <v>1</v>
      </c>
      <c r="R35" s="1" t="b">
        <v>1</v>
      </c>
      <c r="S35" s="465" t="b">
        <v>0</v>
      </c>
      <c r="T35" s="465" t="b">
        <v>0</v>
      </c>
      <c r="U35" s="465" t="b">
        <v>0</v>
      </c>
      <c r="V35" s="464" t="b">
        <f>IFERROR(__xludf.DUMMYFUNCTION("if(regexmatch('Class Abilities'!$E$6,A35),True,False)"),FALSE)</f>
        <v>0</v>
      </c>
      <c r="W35" s="464" t="b">
        <f>IFERROR(__xludf.DUMMYFUNCTION("if(regexmatch('Class Abilities'!$E$7,A35),True,False)"),FALSE)</f>
        <v>0</v>
      </c>
      <c r="X35" s="466" t="b">
        <f>IFERROR(__xludf.DUMMYFUNCTION("if(regexmatch('Class Abilities'!$E$8,A35),True,False)"),FALSE)</f>
        <v>0</v>
      </c>
    </row>
    <row r="36">
      <c r="A36" s="464" t="s">
        <v>505</v>
      </c>
      <c r="B36" s="464" t="s">
        <v>293</v>
      </c>
      <c r="C36" s="464" t="s">
        <v>871</v>
      </c>
      <c r="D36" s="464" t="s">
        <v>472</v>
      </c>
      <c r="E36" s="464" t="b">
        <v>0</v>
      </c>
      <c r="F36" s="464" t="b">
        <v>0</v>
      </c>
      <c r="G36" s="464" t="b">
        <v>1</v>
      </c>
      <c r="H36" s="464" t="b">
        <v>0</v>
      </c>
      <c r="I36" s="464" t="b">
        <v>0</v>
      </c>
      <c r="J36" s="464" t="b">
        <v>0</v>
      </c>
      <c r="K36" s="464" t="b">
        <v>0</v>
      </c>
      <c r="L36" s="464" t="b">
        <v>0</v>
      </c>
      <c r="M36" s="464" t="b">
        <v>0</v>
      </c>
      <c r="N36" s="464" t="b">
        <v>0</v>
      </c>
      <c r="O36" s="464" t="b">
        <v>0</v>
      </c>
      <c r="P36" s="464" t="b">
        <v>1</v>
      </c>
      <c r="Q36" s="1" t="b">
        <v>1</v>
      </c>
      <c r="R36" s="1" t="b">
        <v>1</v>
      </c>
      <c r="S36" s="465" t="b">
        <v>0</v>
      </c>
      <c r="T36" s="465" t="b">
        <v>0</v>
      </c>
      <c r="U36" s="465" t="b">
        <v>0</v>
      </c>
      <c r="V36" s="464" t="b">
        <f>IFERROR(__xludf.DUMMYFUNCTION("if(regexmatch('Class Abilities'!$E$6,A36),True,False)"),FALSE)</f>
        <v>0</v>
      </c>
      <c r="W36" s="464" t="b">
        <f>IFERROR(__xludf.DUMMYFUNCTION("if(regexmatch('Class Abilities'!$E$7,A36),True,False)"),FALSE)</f>
        <v>0</v>
      </c>
      <c r="X36" s="466" t="b">
        <f>IFERROR(__xludf.DUMMYFUNCTION("if(regexmatch('Class Abilities'!$E$8,A36),True,False)"),FALSE)</f>
        <v>0</v>
      </c>
    </row>
    <row r="37">
      <c r="A37" s="464" t="s">
        <v>508</v>
      </c>
      <c r="B37" s="464" t="s">
        <v>293</v>
      </c>
      <c r="C37" s="464" t="s">
        <v>871</v>
      </c>
      <c r="D37" s="464" t="s">
        <v>472</v>
      </c>
      <c r="E37" s="464" t="b">
        <v>0</v>
      </c>
      <c r="F37" s="464" t="b">
        <v>0</v>
      </c>
      <c r="G37" s="464" t="b">
        <v>1</v>
      </c>
      <c r="H37" s="464" t="b">
        <v>0</v>
      </c>
      <c r="I37" s="464" t="b">
        <v>0</v>
      </c>
      <c r="J37" s="464" t="b">
        <v>0</v>
      </c>
      <c r="K37" s="464" t="b">
        <v>0</v>
      </c>
      <c r="L37" s="464" t="b">
        <v>0</v>
      </c>
      <c r="M37" s="464" t="b">
        <v>1</v>
      </c>
      <c r="N37" s="464" t="b">
        <v>0</v>
      </c>
      <c r="O37" s="464" t="b">
        <v>0</v>
      </c>
      <c r="P37" s="464" t="b">
        <v>1</v>
      </c>
      <c r="Q37" s="1" t="b">
        <v>1</v>
      </c>
      <c r="R37" s="1" t="b">
        <v>1</v>
      </c>
      <c r="S37" s="465" t="b">
        <v>0</v>
      </c>
      <c r="T37" s="465" t="b">
        <v>0</v>
      </c>
      <c r="U37" s="465" t="b">
        <v>0</v>
      </c>
      <c r="V37" s="464" t="b">
        <f>IFERROR(__xludf.DUMMYFUNCTION("if(regexmatch('Class Abilities'!$E$6,A37),True,False)"),FALSE)</f>
        <v>0</v>
      </c>
      <c r="W37" s="464" t="b">
        <f>IFERROR(__xludf.DUMMYFUNCTION("if(regexmatch('Class Abilities'!$E$7,A37),True,False)"),FALSE)</f>
        <v>0</v>
      </c>
      <c r="X37" s="466" t="b">
        <f>IFERROR(__xludf.DUMMYFUNCTION("if(regexmatch('Class Abilities'!$E$8,A37),True,False)"),FALSE)</f>
        <v>0</v>
      </c>
    </row>
    <row r="38">
      <c r="A38" s="464" t="s">
        <v>511</v>
      </c>
      <c r="B38" s="464" t="s">
        <v>293</v>
      </c>
      <c r="C38" s="464" t="s">
        <v>871</v>
      </c>
      <c r="D38" s="464" t="s">
        <v>472</v>
      </c>
      <c r="E38" s="464" t="b">
        <v>0</v>
      </c>
      <c r="F38" s="464" t="b">
        <v>0</v>
      </c>
      <c r="G38" s="464" t="b">
        <v>1</v>
      </c>
      <c r="H38" s="464" t="b">
        <v>0</v>
      </c>
      <c r="I38" s="464" t="b">
        <v>0</v>
      </c>
      <c r="J38" s="464" t="b">
        <v>0</v>
      </c>
      <c r="K38" s="464" t="b">
        <v>0</v>
      </c>
      <c r="L38" s="464" t="b">
        <v>0</v>
      </c>
      <c r="M38" s="464" t="b">
        <v>1</v>
      </c>
      <c r="N38" s="464" t="b">
        <v>0</v>
      </c>
      <c r="O38" s="464" t="b">
        <v>0</v>
      </c>
      <c r="P38" s="464" t="b">
        <v>1</v>
      </c>
      <c r="Q38" s="1" t="b">
        <v>1</v>
      </c>
      <c r="R38" s="1" t="b">
        <v>1</v>
      </c>
      <c r="S38" s="465" t="b">
        <v>0</v>
      </c>
      <c r="T38" s="465" t="b">
        <v>0</v>
      </c>
      <c r="U38" s="465" t="b">
        <v>0</v>
      </c>
      <c r="V38" s="464" t="b">
        <f>IFERROR(__xludf.DUMMYFUNCTION("if(regexmatch('Class Abilities'!$E$6,A38),True,False)"),FALSE)</f>
        <v>0</v>
      </c>
      <c r="W38" s="464" t="b">
        <f>IFERROR(__xludf.DUMMYFUNCTION("if(regexmatch('Class Abilities'!$E$7,A38),True,False)"),FALSE)</f>
        <v>0</v>
      </c>
      <c r="X38" s="466" t="b">
        <f>IFERROR(__xludf.DUMMYFUNCTION("if(regexmatch('Class Abilities'!$E$8,A38),True,False)"),FALSE)</f>
        <v>0</v>
      </c>
    </row>
    <row r="39">
      <c r="A39" s="464" t="s">
        <v>514</v>
      </c>
      <c r="B39" s="464" t="s">
        <v>293</v>
      </c>
      <c r="C39" s="464" t="s">
        <v>871</v>
      </c>
      <c r="D39" s="464" t="s">
        <v>472</v>
      </c>
      <c r="E39" s="464" t="b">
        <v>0</v>
      </c>
      <c r="F39" s="464" t="b">
        <v>0</v>
      </c>
      <c r="G39" s="464" t="b">
        <v>1</v>
      </c>
      <c r="H39" s="464" t="b">
        <v>1</v>
      </c>
      <c r="I39" s="464" t="b">
        <v>0</v>
      </c>
      <c r="J39" s="464" t="b">
        <v>0</v>
      </c>
      <c r="K39" s="464" t="b">
        <v>0</v>
      </c>
      <c r="L39" s="464" t="b">
        <v>0</v>
      </c>
      <c r="M39" s="464" t="b">
        <v>0</v>
      </c>
      <c r="N39" s="464" t="b">
        <v>0</v>
      </c>
      <c r="O39" s="464" t="b">
        <v>0</v>
      </c>
      <c r="P39" s="464" t="b">
        <v>1</v>
      </c>
      <c r="Q39" s="1" t="b">
        <v>1</v>
      </c>
      <c r="R39" s="1" t="b">
        <v>1</v>
      </c>
      <c r="S39" s="465" t="b">
        <v>0</v>
      </c>
      <c r="T39" s="465" t="b">
        <v>0</v>
      </c>
      <c r="U39" s="465" t="b">
        <v>0</v>
      </c>
      <c r="V39" s="464" t="b">
        <f>IFERROR(__xludf.DUMMYFUNCTION("if(regexmatch('Class Abilities'!$E$6,A39),True,False)"),FALSE)</f>
        <v>0</v>
      </c>
      <c r="W39" s="464" t="b">
        <f>IFERROR(__xludf.DUMMYFUNCTION("if(regexmatch('Class Abilities'!$E$7,A39),True,False)"),FALSE)</f>
        <v>0</v>
      </c>
      <c r="X39" s="466" t="b">
        <f>IFERROR(__xludf.DUMMYFUNCTION("if(regexmatch('Class Abilities'!$E$8,A39),True,False)"),FALSE)</f>
        <v>0</v>
      </c>
    </row>
    <row r="40">
      <c r="A40" s="464" t="s">
        <v>516</v>
      </c>
      <c r="B40" s="464" t="s">
        <v>293</v>
      </c>
      <c r="C40" s="464" t="s">
        <v>871</v>
      </c>
      <c r="D40" s="464" t="s">
        <v>472</v>
      </c>
      <c r="E40" s="464" t="b">
        <v>0</v>
      </c>
      <c r="F40" s="464" t="b">
        <v>0</v>
      </c>
      <c r="G40" s="464" t="b">
        <v>1</v>
      </c>
      <c r="H40" s="464" t="b">
        <v>0</v>
      </c>
      <c r="I40" s="464" t="b">
        <v>0</v>
      </c>
      <c r="J40" s="464" t="b">
        <v>0</v>
      </c>
      <c r="K40" s="464" t="b">
        <v>0</v>
      </c>
      <c r="L40" s="464" t="b">
        <v>0</v>
      </c>
      <c r="M40" s="464" t="b">
        <v>0</v>
      </c>
      <c r="N40" s="464" t="b">
        <v>1</v>
      </c>
      <c r="O40" s="464" t="b">
        <v>0</v>
      </c>
      <c r="P40" s="464" t="b">
        <v>1</v>
      </c>
      <c r="Q40" s="1" t="b">
        <v>1</v>
      </c>
      <c r="R40" s="1" t="b">
        <v>1</v>
      </c>
      <c r="S40" s="465" t="b">
        <v>0</v>
      </c>
      <c r="T40" s="465" t="b">
        <v>0</v>
      </c>
      <c r="U40" s="465" t="b">
        <v>0</v>
      </c>
      <c r="V40" s="464" t="b">
        <f>IFERROR(__xludf.DUMMYFUNCTION("if(regexmatch('Class Abilities'!$E$6,A40),True,False)"),FALSE)</f>
        <v>0</v>
      </c>
      <c r="W40" s="464" t="b">
        <f>IFERROR(__xludf.DUMMYFUNCTION("if(regexmatch('Class Abilities'!$E$7,A40),True,False)"),FALSE)</f>
        <v>0</v>
      </c>
      <c r="X40" s="466" t="b">
        <f>IFERROR(__xludf.DUMMYFUNCTION("if(regexmatch('Class Abilities'!$E$8,A40),True,False)"),FALSE)</f>
        <v>0</v>
      </c>
    </row>
    <row r="41">
      <c r="A41" s="464" t="s">
        <v>518</v>
      </c>
      <c r="B41" s="464" t="s">
        <v>293</v>
      </c>
      <c r="C41" s="464" t="s">
        <v>871</v>
      </c>
      <c r="D41" s="464" t="s">
        <v>472</v>
      </c>
      <c r="E41" s="464" t="b">
        <v>0</v>
      </c>
      <c r="F41" s="464" t="b">
        <v>0</v>
      </c>
      <c r="G41" s="464" t="b">
        <v>1</v>
      </c>
      <c r="H41" s="464" t="b">
        <v>0</v>
      </c>
      <c r="I41" s="464" t="b">
        <v>1</v>
      </c>
      <c r="J41" s="464" t="b">
        <v>0</v>
      </c>
      <c r="K41" s="464" t="b">
        <v>0</v>
      </c>
      <c r="L41" s="464" t="b">
        <v>0</v>
      </c>
      <c r="M41" s="464" t="b">
        <v>1</v>
      </c>
      <c r="N41" s="464" t="b">
        <v>0</v>
      </c>
      <c r="O41" s="464" t="b">
        <v>0</v>
      </c>
      <c r="P41" s="464" t="b">
        <v>1</v>
      </c>
      <c r="Q41" s="1" t="b">
        <v>1</v>
      </c>
      <c r="R41" s="1" t="b">
        <v>1</v>
      </c>
      <c r="S41" s="465" t="b">
        <v>0</v>
      </c>
      <c r="T41" s="465" t="b">
        <v>0</v>
      </c>
      <c r="U41" s="465" t="b">
        <v>0</v>
      </c>
      <c r="V41" s="464" t="b">
        <f>IFERROR(__xludf.DUMMYFUNCTION("if(regexmatch('Class Abilities'!$E$6,A41),True,False)"),FALSE)</f>
        <v>0</v>
      </c>
      <c r="W41" s="464" t="b">
        <f>IFERROR(__xludf.DUMMYFUNCTION("if(regexmatch('Class Abilities'!$E$7,A41),True,False)"),FALSE)</f>
        <v>0</v>
      </c>
      <c r="X41" s="466" t="b">
        <f>IFERROR(__xludf.DUMMYFUNCTION("if(regexmatch('Class Abilities'!$E$8,A41),True,False)"),FALSE)</f>
        <v>0</v>
      </c>
    </row>
    <row r="42">
      <c r="A42" s="464" t="s">
        <v>531</v>
      </c>
      <c r="B42" s="464" t="s">
        <v>293</v>
      </c>
      <c r="C42" s="464" t="s">
        <v>871</v>
      </c>
      <c r="D42" s="464" t="s">
        <v>472</v>
      </c>
      <c r="E42" s="464" t="b">
        <v>0</v>
      </c>
      <c r="F42" s="464" t="b">
        <v>0</v>
      </c>
      <c r="G42" s="464" t="b">
        <v>1</v>
      </c>
      <c r="H42" s="464" t="b">
        <v>0</v>
      </c>
      <c r="I42" s="464" t="b">
        <v>0</v>
      </c>
      <c r="J42" s="464" t="b">
        <v>0</v>
      </c>
      <c r="K42" s="464" t="b">
        <v>0</v>
      </c>
      <c r="L42" s="464" t="b">
        <v>1</v>
      </c>
      <c r="M42" s="464" t="b">
        <v>0</v>
      </c>
      <c r="N42" s="464" t="b">
        <v>0</v>
      </c>
      <c r="O42" s="464" t="b">
        <v>0</v>
      </c>
      <c r="P42" s="464" t="b">
        <v>1</v>
      </c>
      <c r="Q42" s="1" t="b">
        <v>1</v>
      </c>
      <c r="R42" s="1" t="b">
        <v>1</v>
      </c>
      <c r="S42" s="465" t="b">
        <v>0</v>
      </c>
      <c r="T42" s="465" t="b">
        <v>0</v>
      </c>
      <c r="U42" s="465" t="b">
        <v>0</v>
      </c>
      <c r="V42" s="464" t="b">
        <f>IFERROR(__xludf.DUMMYFUNCTION("if(regexmatch('Class Abilities'!$E$6,A42),True,False)"),FALSE)</f>
        <v>0</v>
      </c>
      <c r="W42" s="464" t="b">
        <f>IFERROR(__xludf.DUMMYFUNCTION("if(regexmatch('Class Abilities'!$E$7,A42),True,False)"),FALSE)</f>
        <v>0</v>
      </c>
      <c r="X42" s="466" t="b">
        <f>IFERROR(__xludf.DUMMYFUNCTION("if(regexmatch('Class Abilities'!$E$8,A42),True,False)"),FALSE)</f>
        <v>0</v>
      </c>
    </row>
    <row r="43">
      <c r="A43" s="462" t="s">
        <v>521</v>
      </c>
      <c r="B43" s="462" t="s">
        <v>293</v>
      </c>
      <c r="C43" s="462" t="s">
        <v>871</v>
      </c>
      <c r="D43" s="462" t="s">
        <v>472</v>
      </c>
      <c r="E43" s="464" t="b">
        <v>0</v>
      </c>
      <c r="F43" s="464" t="b">
        <v>0</v>
      </c>
      <c r="G43" s="462" t="b">
        <v>1</v>
      </c>
      <c r="H43" s="464" t="b">
        <v>0</v>
      </c>
      <c r="I43" s="464" t="b">
        <v>0</v>
      </c>
      <c r="J43" s="464" t="b">
        <v>0</v>
      </c>
      <c r="K43" s="464" t="b">
        <v>0</v>
      </c>
      <c r="L43" s="464" t="b">
        <v>0</v>
      </c>
      <c r="M43" s="464" t="b">
        <v>0</v>
      </c>
      <c r="N43" s="464" t="b">
        <v>0</v>
      </c>
      <c r="O43" s="464" t="b">
        <v>0</v>
      </c>
      <c r="P43" s="462" t="b">
        <v>1</v>
      </c>
      <c r="Q43" s="1" t="b">
        <v>1</v>
      </c>
      <c r="R43" s="1" t="b">
        <v>1</v>
      </c>
      <c r="S43" s="1" t="b">
        <v>1</v>
      </c>
      <c r="T43" s="1" t="b">
        <v>1</v>
      </c>
      <c r="U43" s="1" t="b">
        <v>1</v>
      </c>
      <c r="V43" s="464" t="b">
        <f>IFERROR(__xludf.DUMMYFUNCTION("if(regexmatch('Class Abilities'!$E$6,A43),True,False)"),FALSE)</f>
        <v>0</v>
      </c>
      <c r="W43" s="464" t="b">
        <f>IFERROR(__xludf.DUMMYFUNCTION("if(regexmatch('Class Abilities'!$E$7,A43),True,False)"),FALSE)</f>
        <v>0</v>
      </c>
      <c r="X43" s="466" t="b">
        <f>IFERROR(__xludf.DUMMYFUNCTION("if(regexmatch('Class Abilities'!$E$8,A43),True,False)"),FALSE)</f>
        <v>0</v>
      </c>
    </row>
    <row r="44">
      <c r="A44" s="464" t="s">
        <v>523</v>
      </c>
      <c r="B44" s="464" t="s">
        <v>293</v>
      </c>
      <c r="C44" s="464" t="s">
        <v>871</v>
      </c>
      <c r="D44" s="464" t="s">
        <v>472</v>
      </c>
      <c r="E44" s="464" t="b">
        <v>0</v>
      </c>
      <c r="F44" s="464" t="b">
        <v>0</v>
      </c>
      <c r="G44" s="464" t="b">
        <v>1</v>
      </c>
      <c r="H44" s="464" t="b">
        <v>1</v>
      </c>
      <c r="I44" s="464" t="b">
        <v>0</v>
      </c>
      <c r="J44" s="464" t="b">
        <v>0</v>
      </c>
      <c r="K44" s="464" t="b">
        <v>1</v>
      </c>
      <c r="L44" s="464" t="b">
        <v>1</v>
      </c>
      <c r="M44" s="464" t="b">
        <v>0</v>
      </c>
      <c r="N44" s="464" t="b">
        <v>0</v>
      </c>
      <c r="O44" s="464" t="b">
        <v>0</v>
      </c>
      <c r="P44" s="464" t="b">
        <v>1</v>
      </c>
      <c r="Q44" s="1" t="b">
        <v>1</v>
      </c>
      <c r="R44" s="1" t="b">
        <v>1</v>
      </c>
      <c r="S44" s="465" t="b">
        <v>0</v>
      </c>
      <c r="T44" s="465" t="b">
        <v>0</v>
      </c>
      <c r="U44" s="465" t="b">
        <v>0</v>
      </c>
      <c r="V44" s="464" t="b">
        <f>IFERROR(__xludf.DUMMYFUNCTION("if(regexmatch('Class Abilities'!$E$6,A44),True,False)"),FALSE)</f>
        <v>0</v>
      </c>
      <c r="W44" s="464" t="b">
        <f>IFERROR(__xludf.DUMMYFUNCTION("if(regexmatch('Class Abilities'!$E$7,A44),True,False)"),FALSE)</f>
        <v>0</v>
      </c>
      <c r="X44" s="466" t="b">
        <f>IFERROR(__xludf.DUMMYFUNCTION("if(regexmatch('Class Abilities'!$E$8,A44),True,False)"),FALSE)</f>
        <v>0</v>
      </c>
    </row>
    <row r="45">
      <c r="A45" s="464" t="s">
        <v>525</v>
      </c>
      <c r="B45" s="464" t="s">
        <v>293</v>
      </c>
      <c r="C45" s="464" t="s">
        <v>871</v>
      </c>
      <c r="D45" s="464" t="s">
        <v>472</v>
      </c>
      <c r="E45" s="464" t="b">
        <v>0</v>
      </c>
      <c r="F45" s="464" t="b">
        <v>0</v>
      </c>
      <c r="G45" s="464" t="b">
        <v>1</v>
      </c>
      <c r="H45" s="464" t="b">
        <v>1</v>
      </c>
      <c r="I45" s="464" t="b">
        <v>0</v>
      </c>
      <c r="J45" s="464" t="b">
        <v>0</v>
      </c>
      <c r="K45" s="464" t="b">
        <v>0</v>
      </c>
      <c r="L45" s="464" t="b">
        <v>0</v>
      </c>
      <c r="M45" s="464" t="b">
        <v>0</v>
      </c>
      <c r="N45" s="464" t="b">
        <v>0</v>
      </c>
      <c r="O45" s="464" t="b">
        <v>0</v>
      </c>
      <c r="P45" s="464" t="b">
        <v>1</v>
      </c>
      <c r="Q45" s="1" t="b">
        <v>1</v>
      </c>
      <c r="R45" s="1" t="b">
        <v>1</v>
      </c>
      <c r="S45" s="465" t="b">
        <v>0</v>
      </c>
      <c r="T45" s="465" t="b">
        <v>0</v>
      </c>
      <c r="U45" s="465" t="b">
        <v>0</v>
      </c>
      <c r="V45" s="464" t="b">
        <f>IFERROR(__xludf.DUMMYFUNCTION("if(regexmatch('Class Abilities'!$E$6,A45),True,False)"),FALSE)</f>
        <v>0</v>
      </c>
      <c r="W45" s="464" t="b">
        <f>IFERROR(__xludf.DUMMYFUNCTION("if(regexmatch('Class Abilities'!$E$7,A45),True,False)"),FALSE)</f>
        <v>0</v>
      </c>
      <c r="X45" s="466" t="b">
        <f>IFERROR(__xludf.DUMMYFUNCTION("if(regexmatch('Class Abilities'!$E$8,A45),True,False)"),FALSE)</f>
        <v>0</v>
      </c>
    </row>
    <row r="46">
      <c r="A46" s="464" t="s">
        <v>538</v>
      </c>
      <c r="B46" s="464" t="s">
        <v>296</v>
      </c>
      <c r="C46" s="464" t="s">
        <v>872</v>
      </c>
      <c r="D46" s="464" t="s">
        <v>326</v>
      </c>
      <c r="E46" s="464" t="b">
        <v>0</v>
      </c>
      <c r="F46" s="464" t="b">
        <v>1</v>
      </c>
      <c r="G46" s="464" t="b">
        <v>1</v>
      </c>
      <c r="H46" s="464" t="b">
        <v>0</v>
      </c>
      <c r="I46" s="464" t="b">
        <v>1</v>
      </c>
      <c r="J46" s="464" t="b">
        <v>0</v>
      </c>
      <c r="K46" s="464" t="b">
        <v>1</v>
      </c>
      <c r="L46" s="464" t="b">
        <v>0</v>
      </c>
      <c r="M46" s="464" t="b">
        <v>1</v>
      </c>
      <c r="N46" s="464" t="b">
        <v>1</v>
      </c>
      <c r="O46" s="464" t="b">
        <v>0</v>
      </c>
      <c r="P46" s="464" t="b">
        <v>0</v>
      </c>
      <c r="Q46" s="465" t="b">
        <v>0</v>
      </c>
      <c r="R46" s="465" t="b">
        <v>0</v>
      </c>
      <c r="S46" s="465" t="b">
        <v>0</v>
      </c>
      <c r="T46" s="1" t="b">
        <v>1</v>
      </c>
      <c r="U46" s="1" t="b">
        <v>1</v>
      </c>
      <c r="V46" s="464" t="b">
        <f>IFERROR(__xludf.DUMMYFUNCTION("if(regexmatch('Class Abilities'!$E$6,A46),True,False)"),FALSE)</f>
        <v>0</v>
      </c>
      <c r="W46" s="464" t="b">
        <f>IFERROR(__xludf.DUMMYFUNCTION("if(regexmatch('Class Abilities'!$E$7,A46),True,False)"),FALSE)</f>
        <v>0</v>
      </c>
      <c r="X46" s="466" t="b">
        <f>IFERROR(__xludf.DUMMYFUNCTION("if(regexmatch('Class Abilities'!$E$8,A46),True,False)"),FALSE)</f>
        <v>0</v>
      </c>
    </row>
    <row r="47">
      <c r="A47" s="464" t="s">
        <v>540</v>
      </c>
      <c r="B47" s="464" t="s">
        <v>287</v>
      </c>
      <c r="C47" s="464" t="s">
        <v>873</v>
      </c>
      <c r="D47" s="464" t="s">
        <v>326</v>
      </c>
      <c r="E47" s="464" t="b">
        <v>0</v>
      </c>
      <c r="F47" s="464" t="b">
        <v>0</v>
      </c>
      <c r="G47" s="464" t="b">
        <v>1</v>
      </c>
      <c r="H47" s="464" t="b">
        <v>0</v>
      </c>
      <c r="I47" s="464" t="b">
        <v>0</v>
      </c>
      <c r="J47" s="464" t="b">
        <v>0</v>
      </c>
      <c r="K47" s="464" t="b">
        <v>1</v>
      </c>
      <c r="L47" s="464" t="b">
        <v>0</v>
      </c>
      <c r="M47" s="464" t="b">
        <v>1</v>
      </c>
      <c r="N47" s="464" t="b">
        <v>1</v>
      </c>
      <c r="O47" s="464" t="b">
        <v>0</v>
      </c>
      <c r="P47" s="464" t="b">
        <v>0</v>
      </c>
      <c r="Q47" s="465" t="b">
        <v>0</v>
      </c>
      <c r="R47" s="465" t="b">
        <v>0</v>
      </c>
      <c r="S47" s="465" t="b">
        <v>0</v>
      </c>
      <c r="T47" s="1" t="b">
        <v>1</v>
      </c>
      <c r="U47" s="465" t="b">
        <v>0</v>
      </c>
      <c r="V47" s="464" t="b">
        <f>IFERROR(__xludf.DUMMYFUNCTION("if(regexmatch('Class Abilities'!$E$6,A47),True,False)"),FALSE)</f>
        <v>0</v>
      </c>
      <c r="W47" s="464" t="b">
        <f>IFERROR(__xludf.DUMMYFUNCTION("if(regexmatch('Class Abilities'!$E$7,A47),True,False)"),FALSE)</f>
        <v>0</v>
      </c>
      <c r="X47" s="466" t="b">
        <f>IFERROR(__xludf.DUMMYFUNCTION("if(regexmatch('Class Abilities'!$E$8,A47),True,False)"),FALSE)</f>
        <v>0</v>
      </c>
    </row>
    <row r="48">
      <c r="A48" s="464" t="s">
        <v>543</v>
      </c>
      <c r="B48" s="464" t="s">
        <v>287</v>
      </c>
      <c r="C48" s="464" t="s">
        <v>873</v>
      </c>
      <c r="D48" s="464" t="s">
        <v>472</v>
      </c>
      <c r="E48" s="464" t="b">
        <v>0</v>
      </c>
      <c r="F48" s="464" t="b">
        <v>0</v>
      </c>
      <c r="G48" s="464" t="b">
        <v>0</v>
      </c>
      <c r="H48" s="464" t="b">
        <v>0</v>
      </c>
      <c r="I48" s="464" t="b">
        <v>0</v>
      </c>
      <c r="J48" s="464" t="b">
        <v>0</v>
      </c>
      <c r="K48" s="464" t="b">
        <v>0</v>
      </c>
      <c r="L48" s="464" t="b">
        <v>0</v>
      </c>
      <c r="M48" s="464" t="b">
        <v>0</v>
      </c>
      <c r="N48" s="464" t="b">
        <v>1</v>
      </c>
      <c r="O48" s="464" t="b">
        <v>0</v>
      </c>
      <c r="P48" s="464" t="b">
        <v>0</v>
      </c>
      <c r="Q48" s="465" t="b">
        <v>0</v>
      </c>
      <c r="R48" s="465" t="b">
        <v>0</v>
      </c>
      <c r="S48" s="465" t="b">
        <v>0</v>
      </c>
      <c r="T48" s="465" t="b">
        <v>0</v>
      </c>
      <c r="U48" s="465" t="b">
        <v>0</v>
      </c>
      <c r="V48" s="464" t="b">
        <f>IFERROR(__xludf.DUMMYFUNCTION("if(regexmatch('Class Abilities'!$E$6,A48),True,False)"),FALSE)</f>
        <v>0</v>
      </c>
      <c r="W48" s="464" t="b">
        <f>IFERROR(__xludf.DUMMYFUNCTION("if(regexmatch('Class Abilities'!$E$7,A48),True,False)"),FALSE)</f>
        <v>0</v>
      </c>
      <c r="X48" s="466" t="b">
        <f>IFERROR(__xludf.DUMMYFUNCTION("if(regexmatch('Class Abilities'!$E$8,A48),True,False)"),FALSE)</f>
        <v>0</v>
      </c>
    </row>
    <row r="49">
      <c r="A49" s="464" t="s">
        <v>546</v>
      </c>
      <c r="B49" s="464" t="s">
        <v>299</v>
      </c>
      <c r="C49" s="464" t="s">
        <v>874</v>
      </c>
      <c r="D49" s="464" t="s">
        <v>326</v>
      </c>
      <c r="E49" s="464" t="b">
        <v>0</v>
      </c>
      <c r="F49" s="464" t="b">
        <v>0</v>
      </c>
      <c r="G49" s="464" t="b">
        <v>1</v>
      </c>
      <c r="H49" s="464" t="b">
        <v>0</v>
      </c>
      <c r="I49" s="464" t="b">
        <v>0</v>
      </c>
      <c r="J49" s="464" t="b">
        <v>0</v>
      </c>
      <c r="K49" s="464" t="b">
        <v>1</v>
      </c>
      <c r="L49" s="464" t="b">
        <v>0</v>
      </c>
      <c r="M49" s="464" t="b">
        <v>0</v>
      </c>
      <c r="N49" s="464" t="b">
        <v>1</v>
      </c>
      <c r="O49" s="464" t="b">
        <v>0</v>
      </c>
      <c r="P49" s="464" t="b">
        <v>0</v>
      </c>
      <c r="Q49" s="465" t="b">
        <v>0</v>
      </c>
      <c r="R49" s="465" t="b">
        <v>0</v>
      </c>
      <c r="S49" s="465" t="b">
        <v>0</v>
      </c>
      <c r="T49" s="465" t="b">
        <v>0</v>
      </c>
      <c r="U49" s="465" t="b">
        <v>0</v>
      </c>
      <c r="V49" s="464" t="b">
        <f>IFERROR(__xludf.DUMMYFUNCTION("if(regexmatch('Class Abilities'!$E$6,A49),True,False)"),FALSE)</f>
        <v>0</v>
      </c>
      <c r="W49" s="464" t="b">
        <f>IFERROR(__xludf.DUMMYFUNCTION("if(regexmatch('Class Abilities'!$E$7,A49),True,False)"),FALSE)</f>
        <v>0</v>
      </c>
      <c r="X49" s="466" t="b">
        <f>IFERROR(__xludf.DUMMYFUNCTION("if(regexmatch('Class Abilities'!$E$8,A49),True,False)"),FALSE)</f>
        <v>0</v>
      </c>
    </row>
    <row r="50">
      <c r="A50" s="464" t="s">
        <v>549</v>
      </c>
      <c r="B50" s="464" t="s">
        <v>296</v>
      </c>
      <c r="C50" s="464" t="s">
        <v>872</v>
      </c>
      <c r="D50" s="464" t="s">
        <v>472</v>
      </c>
      <c r="E50" s="464" t="b">
        <v>0</v>
      </c>
      <c r="F50" s="464" t="b">
        <v>0</v>
      </c>
      <c r="G50" s="464" t="b">
        <v>1</v>
      </c>
      <c r="H50" s="464" t="b">
        <v>1</v>
      </c>
      <c r="I50" s="464" t="b">
        <v>1</v>
      </c>
      <c r="J50" s="464" t="b">
        <v>0</v>
      </c>
      <c r="K50" s="464" t="b">
        <v>0</v>
      </c>
      <c r="L50" s="464" t="b">
        <v>1</v>
      </c>
      <c r="M50" s="464" t="b">
        <v>1</v>
      </c>
      <c r="N50" s="464" t="b">
        <v>1</v>
      </c>
      <c r="O50" s="464" t="b">
        <v>1</v>
      </c>
      <c r="P50" s="464" t="b">
        <v>1</v>
      </c>
      <c r="Q50" s="1" t="b">
        <v>1</v>
      </c>
      <c r="R50" s="1" t="b">
        <v>1</v>
      </c>
      <c r="S50" s="1" t="b">
        <v>1</v>
      </c>
      <c r="T50" s="1" t="b">
        <v>1</v>
      </c>
      <c r="U50" s="1" t="b">
        <v>1</v>
      </c>
      <c r="V50" s="464" t="b">
        <f>IFERROR(__xludf.DUMMYFUNCTION("if(regexmatch('Class Abilities'!$E$6,A50),True,False)"),FALSE)</f>
        <v>0</v>
      </c>
      <c r="W50" s="464" t="b">
        <f>IFERROR(__xludf.DUMMYFUNCTION("if(regexmatch('Class Abilities'!$E$7,A50),True,False)"),FALSE)</f>
        <v>0</v>
      </c>
      <c r="X50" s="466" t="b">
        <f>IFERROR(__xludf.DUMMYFUNCTION("if(regexmatch('Class Abilities'!$E$8,A50),True,False)"),FALSE)</f>
        <v>0</v>
      </c>
    </row>
    <row r="51">
      <c r="A51" s="462" t="s">
        <v>527</v>
      </c>
      <c r="B51" s="462" t="s">
        <v>293</v>
      </c>
      <c r="C51" s="462" t="s">
        <v>871</v>
      </c>
      <c r="D51" s="462" t="s">
        <v>472</v>
      </c>
      <c r="E51" s="464" t="b">
        <v>0</v>
      </c>
      <c r="F51" s="464" t="b">
        <v>0</v>
      </c>
      <c r="G51" s="464" t="b">
        <v>0</v>
      </c>
      <c r="H51" s="464" t="b">
        <v>0</v>
      </c>
      <c r="I51" s="464" t="b">
        <v>0</v>
      </c>
      <c r="J51" s="464" t="b">
        <v>0</v>
      </c>
      <c r="K51" s="464" t="b">
        <v>0</v>
      </c>
      <c r="L51" s="464" t="b">
        <v>0</v>
      </c>
      <c r="M51" s="464" t="b">
        <v>0</v>
      </c>
      <c r="N51" s="464" t="b">
        <v>0</v>
      </c>
      <c r="O51" s="464" t="b">
        <v>0</v>
      </c>
      <c r="P51" s="464" t="b">
        <v>0</v>
      </c>
      <c r="Q51" s="465" t="b">
        <v>0</v>
      </c>
      <c r="R51" s="1" t="b">
        <v>1</v>
      </c>
      <c r="S51" s="465" t="b">
        <v>0</v>
      </c>
      <c r="T51" s="465" t="b">
        <v>0</v>
      </c>
      <c r="U51" s="1" t="b">
        <v>1</v>
      </c>
      <c r="V51" s="464" t="b">
        <f>IFERROR(__xludf.DUMMYFUNCTION("if(regexmatch('Class Abilities'!$E$6,A51),True,False)"),FALSE)</f>
        <v>0</v>
      </c>
      <c r="W51" s="464" t="b">
        <f>IFERROR(__xludf.DUMMYFUNCTION("if(regexmatch('Class Abilities'!$E$7,A51),True,False)"),FALSE)</f>
        <v>0</v>
      </c>
      <c r="X51" s="466" t="b">
        <f>IFERROR(__xludf.DUMMYFUNCTION("if(regexmatch('Class Abilities'!$E$8,A51),True,False)"),FALSE)</f>
        <v>0</v>
      </c>
    </row>
    <row r="52">
      <c r="A52" s="464" t="s">
        <v>551</v>
      </c>
      <c r="B52" s="464" t="s">
        <v>287</v>
      </c>
      <c r="C52" s="464" t="s">
        <v>873</v>
      </c>
      <c r="D52" s="464" t="s">
        <v>326</v>
      </c>
      <c r="E52" s="464" t="b">
        <v>0</v>
      </c>
      <c r="F52" s="464" t="b">
        <v>1</v>
      </c>
      <c r="G52" s="464" t="b">
        <v>0</v>
      </c>
      <c r="H52" s="464" t="b">
        <v>0</v>
      </c>
      <c r="I52" s="464" t="b">
        <v>1</v>
      </c>
      <c r="J52" s="464" t="b">
        <v>1</v>
      </c>
      <c r="K52" s="464" t="b">
        <v>0</v>
      </c>
      <c r="L52" s="464" t="b">
        <v>1</v>
      </c>
      <c r="M52" s="464" t="b">
        <v>1</v>
      </c>
      <c r="N52" s="464" t="b">
        <v>0</v>
      </c>
      <c r="O52" s="464" t="b">
        <v>0</v>
      </c>
      <c r="P52" s="464" t="b">
        <v>0</v>
      </c>
      <c r="Q52" s="465" t="b">
        <v>0</v>
      </c>
      <c r="R52" s="465" t="b">
        <v>0</v>
      </c>
      <c r="S52" s="1" t="b">
        <v>1</v>
      </c>
      <c r="T52" s="465" t="b">
        <v>0</v>
      </c>
      <c r="U52" s="465" t="b">
        <v>0</v>
      </c>
      <c r="V52" s="464" t="b">
        <f>IFERROR(__xludf.DUMMYFUNCTION("if(regexmatch('Class Abilities'!$E$6,A52),True,False)"),FALSE)</f>
        <v>0</v>
      </c>
      <c r="W52" s="464" t="b">
        <f>IFERROR(__xludf.DUMMYFUNCTION("if(regexmatch('Class Abilities'!$E$7,A52),True,False)"),FALSE)</f>
        <v>0</v>
      </c>
      <c r="X52" s="466" t="b">
        <f>IFERROR(__xludf.DUMMYFUNCTION("if(regexmatch('Class Abilities'!$E$8,A52),True,False)"),FALSE)</f>
        <v>0</v>
      </c>
    </row>
    <row r="53">
      <c r="A53" s="464" t="s">
        <v>529</v>
      </c>
      <c r="B53" s="464" t="s">
        <v>293</v>
      </c>
      <c r="C53" s="464" t="s">
        <v>871</v>
      </c>
      <c r="D53" s="464" t="s">
        <v>326</v>
      </c>
      <c r="E53" s="464" t="b">
        <v>0</v>
      </c>
      <c r="F53" s="464" t="b">
        <v>0</v>
      </c>
      <c r="G53" s="464" t="b">
        <v>0</v>
      </c>
      <c r="H53" s="464" t="b">
        <v>0</v>
      </c>
      <c r="I53" s="464" t="b">
        <v>0</v>
      </c>
      <c r="J53" s="464" t="b">
        <v>0</v>
      </c>
      <c r="K53" s="464" t="b">
        <v>0</v>
      </c>
      <c r="L53" s="464" t="b">
        <v>0</v>
      </c>
      <c r="M53" s="464" t="b">
        <v>1</v>
      </c>
      <c r="N53" s="464" t="b">
        <v>1</v>
      </c>
      <c r="O53" s="464" t="b">
        <v>0</v>
      </c>
      <c r="P53" s="464" t="b">
        <v>0</v>
      </c>
      <c r="Q53" s="465" t="b">
        <v>0</v>
      </c>
      <c r="R53" s="465" t="b">
        <v>0</v>
      </c>
      <c r="S53" s="1" t="b">
        <v>1</v>
      </c>
      <c r="T53" s="465" t="b">
        <v>0</v>
      </c>
      <c r="U53" s="465" t="b">
        <v>0</v>
      </c>
      <c r="V53" s="464" t="b">
        <f>IFERROR(__xludf.DUMMYFUNCTION("if(regexmatch('Class Abilities'!$E$6,A53),True,False)"),FALSE)</f>
        <v>0</v>
      </c>
      <c r="W53" s="464" t="b">
        <f>IFERROR(__xludf.DUMMYFUNCTION("if(regexmatch('Class Abilities'!$E$7,A53),True,False)"),FALSE)</f>
        <v>0</v>
      </c>
      <c r="X53" s="466" t="b">
        <f>IFERROR(__xludf.DUMMYFUNCTION("if(regexmatch('Class Abilities'!$E$8,A53),True,False)"),FALSE)</f>
        <v>0</v>
      </c>
    </row>
    <row r="54">
      <c r="A54" s="464" t="s">
        <v>532</v>
      </c>
      <c r="B54" s="464" t="s">
        <v>296</v>
      </c>
      <c r="C54" s="464" t="s">
        <v>872</v>
      </c>
      <c r="D54" s="464" t="s">
        <v>326</v>
      </c>
      <c r="E54" s="464" t="b">
        <v>0</v>
      </c>
      <c r="F54" s="464" t="b">
        <v>0</v>
      </c>
      <c r="G54" s="464" t="b">
        <v>1</v>
      </c>
      <c r="H54" s="464" t="b">
        <v>0</v>
      </c>
      <c r="I54" s="464" t="b">
        <v>0</v>
      </c>
      <c r="J54" s="464" t="b">
        <v>0</v>
      </c>
      <c r="K54" s="464" t="b">
        <v>1</v>
      </c>
      <c r="L54" s="464" t="b">
        <v>1</v>
      </c>
      <c r="M54" s="464" t="b">
        <v>0</v>
      </c>
      <c r="N54" s="464" t="b">
        <v>1</v>
      </c>
      <c r="O54" s="464" t="b">
        <v>0</v>
      </c>
      <c r="P54" s="464" t="b">
        <v>0</v>
      </c>
      <c r="Q54" s="465" t="b">
        <v>0</v>
      </c>
      <c r="R54" s="465" t="b">
        <v>0</v>
      </c>
      <c r="S54" s="465" t="b">
        <v>0</v>
      </c>
      <c r="T54" s="465" t="b">
        <v>0</v>
      </c>
      <c r="U54" s="1" t="b">
        <v>1</v>
      </c>
      <c r="V54" s="464" t="b">
        <f>IFERROR(__xludf.DUMMYFUNCTION("if(regexmatch('Class Abilities'!$E$6,A54),True,False)"),FALSE)</f>
        <v>0</v>
      </c>
      <c r="W54" s="464" t="b">
        <f>IFERROR(__xludf.DUMMYFUNCTION("if(regexmatch('Class Abilities'!$E$7,A54),True,False)"),FALSE)</f>
        <v>0</v>
      </c>
      <c r="X54" s="466" t="b">
        <f>IFERROR(__xludf.DUMMYFUNCTION("if(regexmatch('Class Abilities'!$E$8,A54),True,False)"),FALSE)</f>
        <v>0</v>
      </c>
    </row>
    <row r="55">
      <c r="A55" s="464" t="s">
        <v>554</v>
      </c>
      <c r="B55" s="464" t="s">
        <v>287</v>
      </c>
      <c r="C55" s="464" t="s">
        <v>873</v>
      </c>
      <c r="D55" s="464" t="s">
        <v>472</v>
      </c>
      <c r="E55" s="464" t="b">
        <v>0</v>
      </c>
      <c r="F55" s="464" t="b">
        <v>0</v>
      </c>
      <c r="G55" s="464" t="b">
        <v>1</v>
      </c>
      <c r="H55" s="464" t="b">
        <v>0</v>
      </c>
      <c r="I55" s="464" t="b">
        <v>0</v>
      </c>
      <c r="J55" s="464" t="b">
        <v>0</v>
      </c>
      <c r="K55" s="464" t="b">
        <v>0</v>
      </c>
      <c r="L55" s="464" t="b">
        <v>0</v>
      </c>
      <c r="M55" s="464" t="b">
        <v>0</v>
      </c>
      <c r="N55" s="464" t="b">
        <v>1</v>
      </c>
      <c r="O55" s="464" t="b">
        <v>0</v>
      </c>
      <c r="P55" s="464" t="b">
        <v>0</v>
      </c>
      <c r="Q55" s="465" t="b">
        <v>0</v>
      </c>
      <c r="R55" s="465" t="b">
        <v>0</v>
      </c>
      <c r="S55" s="465" t="b">
        <v>0</v>
      </c>
      <c r="T55" s="465" t="b">
        <v>0</v>
      </c>
      <c r="U55" s="465" t="b">
        <v>0</v>
      </c>
      <c r="V55" s="464" t="b">
        <f>IFERROR(__xludf.DUMMYFUNCTION("if(regexmatch('Class Abilities'!$E$6,A55),True,False)"),FALSE)</f>
        <v>0</v>
      </c>
      <c r="W55" s="464" t="b">
        <f>IFERROR(__xludf.DUMMYFUNCTION("if(regexmatch('Class Abilities'!$E$7,A55),True,False)"),FALSE)</f>
        <v>0</v>
      </c>
      <c r="X55" s="466" t="b">
        <f>IFERROR(__xludf.DUMMYFUNCTION("if(regexmatch('Class Abilities'!$E$8,A55),True,False)"),FALSE)</f>
        <v>0</v>
      </c>
    </row>
    <row r="56">
      <c r="A56" s="464" t="s">
        <v>557</v>
      </c>
      <c r="B56" s="464" t="s">
        <v>451</v>
      </c>
      <c r="C56" s="464" t="s">
        <v>877</v>
      </c>
      <c r="D56" s="464" t="s">
        <v>472</v>
      </c>
      <c r="E56" s="464" t="b">
        <v>0</v>
      </c>
      <c r="F56" s="464" t="b">
        <v>0</v>
      </c>
      <c r="G56" s="464" t="b">
        <v>1</v>
      </c>
      <c r="H56" s="464" t="b">
        <v>0</v>
      </c>
      <c r="I56" s="464" t="b">
        <v>0</v>
      </c>
      <c r="J56" s="464" t="b">
        <v>0</v>
      </c>
      <c r="K56" s="464" t="b">
        <v>0</v>
      </c>
      <c r="L56" s="464" t="b">
        <v>0</v>
      </c>
      <c r="M56" s="464" t="b">
        <v>0</v>
      </c>
      <c r="N56" s="464" t="b">
        <v>0</v>
      </c>
      <c r="O56" s="464" t="b">
        <v>0</v>
      </c>
      <c r="P56" s="464" t="b">
        <v>0</v>
      </c>
      <c r="Q56" s="465" t="b">
        <v>0</v>
      </c>
      <c r="R56" s="465" t="b">
        <v>0</v>
      </c>
      <c r="S56" s="465" t="b">
        <v>0</v>
      </c>
      <c r="T56" s="465" t="b">
        <v>0</v>
      </c>
      <c r="U56" s="465" t="b">
        <v>0</v>
      </c>
      <c r="V56" s="464" t="b">
        <f>IFERROR(__xludf.DUMMYFUNCTION("if(regexmatch('Class Abilities'!$E$6,A56),True,False)"),FALSE)</f>
        <v>0</v>
      </c>
      <c r="W56" s="464" t="b">
        <f>IFERROR(__xludf.DUMMYFUNCTION("if(regexmatch('Class Abilities'!$E$7,A56),True,False)"),FALSE)</f>
        <v>0</v>
      </c>
      <c r="X56" s="466" t="b">
        <f>IFERROR(__xludf.DUMMYFUNCTION("if(regexmatch('Class Abilities'!$E$8,A56),True,False)"),FALSE)</f>
        <v>0</v>
      </c>
    </row>
    <row r="57">
      <c r="A57" s="464" t="s">
        <v>533</v>
      </c>
      <c r="B57" s="464" t="s">
        <v>293</v>
      </c>
      <c r="C57" s="464" t="s">
        <v>871</v>
      </c>
      <c r="D57" s="464" t="s">
        <v>472</v>
      </c>
      <c r="E57" s="464" t="b">
        <v>0</v>
      </c>
      <c r="F57" s="464" t="b">
        <v>0</v>
      </c>
      <c r="G57" s="464" t="b">
        <v>1</v>
      </c>
      <c r="H57" s="464" t="b">
        <v>1</v>
      </c>
      <c r="I57" s="464" t="b">
        <v>1</v>
      </c>
      <c r="J57" s="464" t="b">
        <v>0</v>
      </c>
      <c r="K57" s="464" t="b">
        <v>0</v>
      </c>
      <c r="L57" s="464" t="b">
        <v>0</v>
      </c>
      <c r="M57" s="464" t="b">
        <v>0</v>
      </c>
      <c r="N57" s="464" t="b">
        <v>0</v>
      </c>
      <c r="O57" s="464" t="b">
        <v>1</v>
      </c>
      <c r="P57" s="464" t="b">
        <v>1</v>
      </c>
      <c r="Q57" s="1" t="b">
        <v>1</v>
      </c>
      <c r="R57" s="465" t="b">
        <v>0</v>
      </c>
      <c r="S57" s="465" t="b">
        <v>0</v>
      </c>
      <c r="T57" s="465" t="b">
        <v>0</v>
      </c>
      <c r="U57" s="465" t="b">
        <v>0</v>
      </c>
      <c r="V57" s="464" t="b">
        <f>IFERROR(__xludf.DUMMYFUNCTION("if(regexmatch('Class Abilities'!$E$6,A57),True,False)"),FALSE)</f>
        <v>0</v>
      </c>
      <c r="W57" s="464" t="b">
        <f>IFERROR(__xludf.DUMMYFUNCTION("if(regexmatch('Class Abilities'!$E$7,A57),True,False)"),FALSE)</f>
        <v>0</v>
      </c>
      <c r="X57" s="466" t="b">
        <f>IFERROR(__xludf.DUMMYFUNCTION("if(regexmatch('Class Abilities'!$E$8,A57),True,False)"),FALSE)</f>
        <v>0</v>
      </c>
    </row>
    <row r="58">
      <c r="A58" s="464" t="s">
        <v>558</v>
      </c>
      <c r="B58" s="464" t="s">
        <v>296</v>
      </c>
      <c r="C58" s="464" t="s">
        <v>872</v>
      </c>
      <c r="D58" s="464" t="s">
        <v>326</v>
      </c>
      <c r="E58" s="464" t="b">
        <v>0</v>
      </c>
      <c r="F58" s="464" t="b">
        <v>0</v>
      </c>
      <c r="G58" s="464" t="b">
        <v>0</v>
      </c>
      <c r="H58" s="464" t="b">
        <v>0</v>
      </c>
      <c r="I58" s="464" t="b">
        <v>0</v>
      </c>
      <c r="J58" s="464" t="b">
        <v>0</v>
      </c>
      <c r="K58" s="464" t="b">
        <v>1</v>
      </c>
      <c r="L58" s="464" t="b">
        <v>0</v>
      </c>
      <c r="M58" s="464" t="b">
        <v>1</v>
      </c>
      <c r="N58" s="464" t="b">
        <v>1</v>
      </c>
      <c r="O58" s="464" t="b">
        <v>0</v>
      </c>
      <c r="P58" s="464" t="b">
        <v>0</v>
      </c>
      <c r="Q58" s="465" t="b">
        <v>0</v>
      </c>
      <c r="R58" s="465" t="b">
        <v>0</v>
      </c>
      <c r="S58" s="465" t="b">
        <v>0</v>
      </c>
      <c r="T58" s="1" t="b">
        <v>1</v>
      </c>
      <c r="U58" s="1" t="b">
        <v>1</v>
      </c>
      <c r="V58" s="464" t="b">
        <f>IFERROR(__xludf.DUMMYFUNCTION("if(regexmatch('Class Abilities'!$E$6,A58),True,False)"),FALSE)</f>
        <v>0</v>
      </c>
      <c r="W58" s="464" t="b">
        <f>IFERROR(__xludf.DUMMYFUNCTION("if(regexmatch('Class Abilities'!$E$7,A58),True,False)"),FALSE)</f>
        <v>0</v>
      </c>
      <c r="X58" s="466" t="b">
        <f>IFERROR(__xludf.DUMMYFUNCTION("if(regexmatch('Class Abilities'!$E$8,A58),True,False)"),FALSE)</f>
        <v>0</v>
      </c>
    </row>
    <row r="59">
      <c r="A59" s="464" t="s">
        <v>534</v>
      </c>
      <c r="B59" s="464" t="s">
        <v>296</v>
      </c>
      <c r="C59" s="464" t="s">
        <v>872</v>
      </c>
      <c r="D59" s="464" t="s">
        <v>326</v>
      </c>
      <c r="E59" s="464" t="b">
        <v>0</v>
      </c>
      <c r="F59" s="464" t="b">
        <v>1</v>
      </c>
      <c r="G59" s="464" t="b">
        <v>0</v>
      </c>
      <c r="H59" s="464" t="b">
        <v>0</v>
      </c>
      <c r="I59" s="464" t="b">
        <v>1</v>
      </c>
      <c r="J59" s="464" t="b">
        <v>0</v>
      </c>
      <c r="K59" s="464" t="b">
        <v>0</v>
      </c>
      <c r="L59" s="464" t="b">
        <v>0</v>
      </c>
      <c r="M59" s="464" t="b">
        <v>1</v>
      </c>
      <c r="N59" s="464" t="b">
        <v>0</v>
      </c>
      <c r="O59" s="464" t="b">
        <v>0</v>
      </c>
      <c r="P59" s="464" t="b">
        <v>0</v>
      </c>
      <c r="Q59" s="1" t="b">
        <v>1</v>
      </c>
      <c r="R59" s="465" t="b">
        <v>0</v>
      </c>
      <c r="S59" s="465" t="b">
        <v>0</v>
      </c>
      <c r="T59" s="465" t="b">
        <v>0</v>
      </c>
      <c r="U59" s="465" t="b">
        <v>0</v>
      </c>
      <c r="V59" s="464" t="b">
        <f>IFERROR(__xludf.DUMMYFUNCTION("if(regexmatch('Class Abilities'!$E$6,A59),True,False)"),FALSE)</f>
        <v>0</v>
      </c>
      <c r="W59" s="464" t="b">
        <f>IFERROR(__xludf.DUMMYFUNCTION("if(regexmatch('Class Abilities'!$E$7,A59),True,False)"),FALSE)</f>
        <v>0</v>
      </c>
      <c r="X59" s="466" t="b">
        <f>IFERROR(__xludf.DUMMYFUNCTION("if(regexmatch('Class Abilities'!$E$8,A59),True,False)"),FALSE)</f>
        <v>0</v>
      </c>
    </row>
    <row r="60">
      <c r="A60" s="464" t="s">
        <v>563</v>
      </c>
      <c r="B60" s="464" t="s">
        <v>284</v>
      </c>
      <c r="C60" s="464" t="s">
        <v>875</v>
      </c>
      <c r="D60" s="464" t="s">
        <v>326</v>
      </c>
      <c r="E60" s="464" t="b">
        <v>0</v>
      </c>
      <c r="F60" s="464" t="b">
        <v>1</v>
      </c>
      <c r="G60" s="464" t="b">
        <v>1</v>
      </c>
      <c r="H60" s="464" t="b">
        <v>0</v>
      </c>
      <c r="I60" s="464" t="b">
        <v>1</v>
      </c>
      <c r="J60" s="464" t="b">
        <v>1</v>
      </c>
      <c r="K60" s="464" t="b">
        <v>1</v>
      </c>
      <c r="L60" s="464" t="b">
        <v>0</v>
      </c>
      <c r="M60" s="464" t="b">
        <v>1</v>
      </c>
      <c r="N60" s="464" t="b">
        <v>1</v>
      </c>
      <c r="O60" s="464" t="b">
        <v>0</v>
      </c>
      <c r="P60" s="464" t="b">
        <v>0</v>
      </c>
      <c r="Q60" s="465" t="b">
        <v>0</v>
      </c>
      <c r="R60" s="465" t="b">
        <v>0</v>
      </c>
      <c r="S60" s="1" t="b">
        <v>1</v>
      </c>
      <c r="T60" s="465" t="b">
        <v>0</v>
      </c>
      <c r="U60" s="1" t="b">
        <v>1</v>
      </c>
      <c r="V60" s="464" t="b">
        <f>IFERROR(__xludf.DUMMYFUNCTION("if(regexmatch('Class Abilities'!$E$6,A60),True,False)"),FALSE)</f>
        <v>0</v>
      </c>
      <c r="W60" s="464" t="b">
        <f>IFERROR(__xludf.DUMMYFUNCTION("if(regexmatch('Class Abilities'!$E$7,A60),True,False)"),FALSE)</f>
        <v>0</v>
      </c>
      <c r="X60" s="466" t="b">
        <f>IFERROR(__xludf.DUMMYFUNCTION("if(regexmatch('Class Abilities'!$E$8,A60),True,False)"),FALSE)</f>
        <v>0</v>
      </c>
    </row>
    <row r="61">
      <c r="A61" s="464" t="s">
        <v>536</v>
      </c>
      <c r="B61" s="464" t="s">
        <v>287</v>
      </c>
      <c r="C61" s="464" t="s">
        <v>873</v>
      </c>
      <c r="D61" s="464" t="s">
        <v>472</v>
      </c>
      <c r="E61" s="464" t="b">
        <v>0</v>
      </c>
      <c r="F61" s="464" t="b">
        <v>0</v>
      </c>
      <c r="G61" s="464" t="b">
        <v>1</v>
      </c>
      <c r="H61" s="464" t="b">
        <v>0</v>
      </c>
      <c r="I61" s="464" t="b">
        <v>0</v>
      </c>
      <c r="J61" s="464" t="b">
        <v>0</v>
      </c>
      <c r="K61" s="464" t="b">
        <v>1</v>
      </c>
      <c r="L61" s="464" t="b">
        <v>0</v>
      </c>
      <c r="M61" s="464" t="b">
        <v>0</v>
      </c>
      <c r="N61" s="464" t="b">
        <v>1</v>
      </c>
      <c r="O61" s="464" t="b">
        <v>0</v>
      </c>
      <c r="P61" s="464" t="b">
        <v>0</v>
      </c>
      <c r="Q61" s="465" t="b">
        <v>0</v>
      </c>
      <c r="R61" s="465" t="b">
        <v>0</v>
      </c>
      <c r="S61" s="465" t="b">
        <v>0</v>
      </c>
      <c r="T61" s="1" t="b">
        <v>1</v>
      </c>
      <c r="U61" s="1" t="b">
        <v>1</v>
      </c>
      <c r="V61" s="464" t="b">
        <f>IFERROR(__xludf.DUMMYFUNCTION("if(regexmatch('Class Abilities'!$E$6,A61),True,False)"),FALSE)</f>
        <v>0</v>
      </c>
      <c r="W61" s="464" t="b">
        <f>IFERROR(__xludf.DUMMYFUNCTION("if(regexmatch('Class Abilities'!$E$7,A61),True,False)"),FALSE)</f>
        <v>0</v>
      </c>
      <c r="X61" s="466" t="b">
        <f>IFERROR(__xludf.DUMMYFUNCTION("if(regexmatch('Class Abilities'!$E$8,A61),True,False)"),FALSE)</f>
        <v>0</v>
      </c>
    </row>
    <row r="62">
      <c r="A62" s="464" t="s">
        <v>541</v>
      </c>
      <c r="B62" s="464" t="s">
        <v>299</v>
      </c>
      <c r="C62" s="464" t="s">
        <v>874</v>
      </c>
      <c r="D62" s="464" t="s">
        <v>472</v>
      </c>
      <c r="E62" s="464" t="b">
        <v>0</v>
      </c>
      <c r="F62" s="464" t="b">
        <v>0</v>
      </c>
      <c r="G62" s="464" t="b">
        <v>1</v>
      </c>
      <c r="H62" s="464" t="b">
        <v>0</v>
      </c>
      <c r="I62" s="464" t="b">
        <v>0</v>
      </c>
      <c r="J62" s="464" t="b">
        <v>0</v>
      </c>
      <c r="K62" s="464" t="b">
        <v>0</v>
      </c>
      <c r="L62" s="464" t="b">
        <v>0</v>
      </c>
      <c r="M62" s="464" t="b">
        <v>0</v>
      </c>
      <c r="N62" s="464" t="b">
        <v>1</v>
      </c>
      <c r="O62" s="464" t="b">
        <v>0</v>
      </c>
      <c r="P62" s="464" t="b">
        <v>0</v>
      </c>
      <c r="Q62" s="465" t="b">
        <v>0</v>
      </c>
      <c r="R62" s="465" t="b">
        <v>0</v>
      </c>
      <c r="S62" s="465" t="b">
        <v>0</v>
      </c>
      <c r="T62" s="465" t="b">
        <v>0</v>
      </c>
      <c r="U62" s="465" t="b">
        <v>0</v>
      </c>
      <c r="V62" s="464" t="b">
        <f>IFERROR(__xludf.DUMMYFUNCTION("if(regexmatch('Class Abilities'!$E$6,A62),True,False)"),FALSE)</f>
        <v>0</v>
      </c>
      <c r="W62" s="464" t="b">
        <f>IFERROR(__xludf.DUMMYFUNCTION("if(regexmatch('Class Abilities'!$E$7,A62),True,False)"),FALSE)</f>
        <v>0</v>
      </c>
      <c r="X62" s="466" t="b">
        <f>IFERROR(__xludf.DUMMYFUNCTION("if(regexmatch('Class Abilities'!$E$8,A62),True,False)"),FALSE)</f>
        <v>0</v>
      </c>
    </row>
    <row r="63">
      <c r="A63" s="462" t="s">
        <v>544</v>
      </c>
      <c r="B63" s="462" t="s">
        <v>299</v>
      </c>
      <c r="C63" s="462" t="s">
        <v>874</v>
      </c>
      <c r="D63" s="462" t="s">
        <v>472</v>
      </c>
      <c r="E63" s="464" t="b">
        <v>0</v>
      </c>
      <c r="F63" s="464" t="b">
        <v>0</v>
      </c>
      <c r="G63" s="464" t="b">
        <v>0</v>
      </c>
      <c r="H63" s="464" t="b">
        <v>0</v>
      </c>
      <c r="I63" s="464" t="b">
        <v>0</v>
      </c>
      <c r="J63" s="464" t="b">
        <v>0</v>
      </c>
      <c r="K63" s="464" t="b">
        <v>0</v>
      </c>
      <c r="L63" s="464" t="b">
        <v>0</v>
      </c>
      <c r="M63" s="464" t="b">
        <v>0</v>
      </c>
      <c r="N63" s="464" t="b">
        <v>0</v>
      </c>
      <c r="O63" s="464" t="b">
        <v>0</v>
      </c>
      <c r="P63" s="464" t="b">
        <v>0</v>
      </c>
      <c r="Q63" s="465" t="b">
        <v>0</v>
      </c>
      <c r="R63" s="465" t="b">
        <v>0</v>
      </c>
      <c r="S63" s="465" t="b">
        <v>0</v>
      </c>
      <c r="T63" s="465" t="b">
        <v>0</v>
      </c>
      <c r="U63" s="465" t="b">
        <v>0</v>
      </c>
      <c r="V63" s="464" t="b">
        <f>IFERROR(__xludf.DUMMYFUNCTION("if(regexmatch('Class Abilities'!$E$6,A63),True,False)"),FALSE)</f>
        <v>0</v>
      </c>
      <c r="W63" s="464" t="b">
        <f>IFERROR(__xludf.DUMMYFUNCTION("if(regexmatch('Class Abilities'!$E$7,A63),True,False)"),FALSE)</f>
        <v>0</v>
      </c>
      <c r="X63" s="466" t="b">
        <f>IFERROR(__xludf.DUMMYFUNCTION("if(regexmatch('Class Abilities'!$E$8,A63),True,False)"),FALSE)</f>
        <v>0</v>
      </c>
    </row>
    <row r="64">
      <c r="A64" s="464" t="s">
        <v>547</v>
      </c>
      <c r="B64" s="464" t="s">
        <v>287</v>
      </c>
      <c r="C64" s="464" t="s">
        <v>873</v>
      </c>
      <c r="D64" s="464" t="s">
        <v>326</v>
      </c>
      <c r="E64" s="464" t="b">
        <v>0</v>
      </c>
      <c r="F64" s="464" t="b">
        <v>0</v>
      </c>
      <c r="G64" s="464" t="b">
        <v>0</v>
      </c>
      <c r="H64" s="464" t="b">
        <v>0</v>
      </c>
      <c r="I64" s="464" t="b">
        <v>0</v>
      </c>
      <c r="J64" s="464" t="b">
        <v>0</v>
      </c>
      <c r="K64" s="464" t="b">
        <v>0</v>
      </c>
      <c r="L64" s="464" t="b">
        <v>0</v>
      </c>
      <c r="M64" s="464" t="b">
        <v>1</v>
      </c>
      <c r="N64" s="464" t="b">
        <v>1</v>
      </c>
      <c r="O64" s="464" t="b">
        <v>0</v>
      </c>
      <c r="P64" s="464" t="b">
        <v>0</v>
      </c>
      <c r="Q64" s="465" t="b">
        <v>0</v>
      </c>
      <c r="R64" s="465" t="b">
        <v>0</v>
      </c>
      <c r="S64" s="465" t="b">
        <v>0</v>
      </c>
      <c r="T64" s="465" t="b">
        <v>0</v>
      </c>
      <c r="U64" s="465" t="b">
        <v>0</v>
      </c>
      <c r="V64" s="464" t="b">
        <f>IFERROR(__xludf.DUMMYFUNCTION("if(regexmatch('Class Abilities'!$E$6,A64),True,False)"),FALSE)</f>
        <v>0</v>
      </c>
      <c r="W64" s="464" t="b">
        <f>IFERROR(__xludf.DUMMYFUNCTION("if(regexmatch('Class Abilities'!$E$7,A64),True,False)"),FALSE)</f>
        <v>0</v>
      </c>
      <c r="X64" s="466" t="b">
        <f>IFERROR(__xludf.DUMMYFUNCTION("if(regexmatch('Class Abilities'!$E$8,A64),True,False)"),FALSE)</f>
        <v>0</v>
      </c>
    </row>
    <row r="65">
      <c r="A65" s="464" t="s">
        <v>570</v>
      </c>
      <c r="B65" s="464" t="s">
        <v>451</v>
      </c>
      <c r="C65" s="464" t="s">
        <v>877</v>
      </c>
      <c r="D65" s="464" t="s">
        <v>326</v>
      </c>
      <c r="E65" s="464" t="b">
        <v>0</v>
      </c>
      <c r="F65" s="464" t="b">
        <v>1</v>
      </c>
      <c r="G65" s="464" t="b">
        <v>0</v>
      </c>
      <c r="H65" s="464" t="b">
        <v>0</v>
      </c>
      <c r="I65" s="464" t="b">
        <v>0</v>
      </c>
      <c r="J65" s="464" t="b">
        <v>0</v>
      </c>
      <c r="K65" s="464" t="b">
        <v>0</v>
      </c>
      <c r="L65" s="464" t="b">
        <v>0</v>
      </c>
      <c r="M65" s="464" t="b">
        <v>0</v>
      </c>
      <c r="N65" s="464" t="b">
        <v>0</v>
      </c>
      <c r="O65" s="464" t="b">
        <v>0</v>
      </c>
      <c r="P65" s="464" t="b">
        <v>0</v>
      </c>
      <c r="Q65" s="465" t="b">
        <v>0</v>
      </c>
      <c r="R65" s="465" t="b">
        <v>0</v>
      </c>
      <c r="S65" s="465" t="b">
        <v>0</v>
      </c>
      <c r="T65" s="465" t="b">
        <v>0</v>
      </c>
      <c r="U65" s="465" t="b">
        <v>0</v>
      </c>
      <c r="V65" s="464" t="b">
        <f>IFERROR(__xludf.DUMMYFUNCTION("if(regexmatch('Class Abilities'!$E$6,A65),True,False)"),FALSE)</f>
        <v>0</v>
      </c>
      <c r="W65" s="464" t="b">
        <f>IFERROR(__xludf.DUMMYFUNCTION("if(regexmatch('Class Abilities'!$E$7,A65),True,False)"),FALSE)</f>
        <v>0</v>
      </c>
      <c r="X65" s="466" t="b">
        <f>IFERROR(__xludf.DUMMYFUNCTION("if(regexmatch('Class Abilities'!$E$8,A65),True,False)"),FALSE)</f>
        <v>0</v>
      </c>
    </row>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14"/>
    <col customWidth="1" min="2" max="3" width="14.43"/>
    <col customWidth="1" min="4" max="4" width="28.0"/>
    <col customWidth="1" min="5" max="5" width="15.86"/>
    <col customWidth="1" min="6" max="6" width="26.29"/>
    <col customWidth="1" min="8" max="9" width="14.43"/>
    <col customWidth="1" min="13" max="13" width="16.43"/>
    <col customWidth="1" min="14" max="14" width="14.86"/>
  </cols>
  <sheetData>
    <row r="1"/>
    <row r="2">
      <c r="B2" s="467" t="s">
        <v>878</v>
      </c>
      <c r="C2" s="3"/>
      <c r="D2" s="3"/>
      <c r="E2" s="3"/>
      <c r="F2" s="3"/>
      <c r="G2" s="3"/>
      <c r="H2" s="3"/>
      <c r="I2" s="3"/>
      <c r="J2" s="3"/>
      <c r="K2" s="3"/>
      <c r="L2" s="3"/>
      <c r="M2" s="3"/>
      <c r="N2" s="4"/>
    </row>
    <row r="3">
      <c r="B3" s="468" t="s">
        <v>266</v>
      </c>
      <c r="C3" s="11"/>
      <c r="D3" s="469" t="s">
        <v>879</v>
      </c>
      <c r="E3" s="10"/>
      <c r="F3" s="11"/>
      <c r="G3" s="469" t="s">
        <v>421</v>
      </c>
      <c r="H3" s="10"/>
      <c r="I3" s="10"/>
      <c r="J3" s="10"/>
      <c r="K3" s="10"/>
      <c r="L3" s="10"/>
      <c r="M3" s="10"/>
      <c r="N3" s="11"/>
    </row>
    <row r="4">
      <c r="B4" s="398" t="s">
        <v>838</v>
      </c>
      <c r="C4" s="154"/>
      <c r="D4" s="470" t="s">
        <v>880</v>
      </c>
      <c r="E4" s="3"/>
      <c r="F4" s="4"/>
      <c r="G4" s="208" t="s">
        <v>881</v>
      </c>
      <c r="H4" s="3"/>
      <c r="I4" s="3"/>
      <c r="J4" s="3"/>
      <c r="K4" s="3"/>
      <c r="L4" s="3"/>
      <c r="M4" s="3"/>
      <c r="N4" s="4"/>
    </row>
    <row r="5">
      <c r="B5" s="350"/>
      <c r="C5" s="302"/>
      <c r="D5" s="471" t="s">
        <v>882</v>
      </c>
      <c r="E5" s="10"/>
      <c r="F5" s="11"/>
      <c r="G5" s="211" t="s">
        <v>883</v>
      </c>
      <c r="H5" s="10"/>
      <c r="I5" s="10"/>
      <c r="J5" s="10"/>
      <c r="K5" s="10"/>
      <c r="L5" s="10"/>
      <c r="M5" s="10"/>
      <c r="N5" s="11"/>
    </row>
    <row r="6">
      <c r="B6" s="472"/>
      <c r="C6" s="473"/>
      <c r="D6" s="470" t="s">
        <v>884</v>
      </c>
      <c r="E6" s="3"/>
      <c r="F6" s="4"/>
      <c r="G6" s="208" t="s">
        <v>885</v>
      </c>
      <c r="H6" s="3"/>
      <c r="I6" s="3"/>
      <c r="J6" s="3"/>
      <c r="K6" s="3"/>
      <c r="L6" s="3"/>
      <c r="M6" s="3"/>
      <c r="N6" s="4"/>
    </row>
    <row r="7">
      <c r="B7" s="350"/>
      <c r="C7" s="302"/>
      <c r="D7" s="474" t="s">
        <v>886</v>
      </c>
      <c r="E7" s="475"/>
      <c r="F7" s="476" t="str">
        <f>"/ "&amp;3+Main!$Z$6</f>
        <v>/ 3</v>
      </c>
      <c r="G7" s="211" t="s">
        <v>887</v>
      </c>
      <c r="H7" s="10"/>
      <c r="I7" s="10"/>
      <c r="J7" s="10"/>
      <c r="K7" s="10"/>
      <c r="L7" s="10"/>
      <c r="M7" s="10"/>
      <c r="N7" s="11"/>
    </row>
    <row r="8">
      <c r="B8" s="472"/>
      <c r="C8" s="473"/>
      <c r="D8" s="477" t="s">
        <v>888</v>
      </c>
      <c r="E8" s="478"/>
      <c r="F8" s="479" t="str">
        <f t="array" ref="F8">"/ "&amp;1+floor(iferror(dget(Main!$B$3:$C$6,Main!$C$3,{"Class";"Barbarian"}),0)/4,1)</f>
        <v>/ 1</v>
      </c>
      <c r="G8" s="208"/>
      <c r="H8" s="3"/>
      <c r="I8" s="3"/>
      <c r="J8" s="3"/>
      <c r="K8" s="3"/>
      <c r="L8" s="3"/>
      <c r="M8" s="3"/>
      <c r="N8" s="4"/>
    </row>
    <row r="9">
      <c r="B9" s="350"/>
      <c r="C9" s="302"/>
      <c r="D9" s="471" t="s">
        <v>889</v>
      </c>
      <c r="E9" s="10"/>
      <c r="F9" s="11"/>
      <c r="G9" s="211" t="s">
        <v>890</v>
      </c>
      <c r="H9" s="10"/>
      <c r="I9" s="10"/>
      <c r="J9" s="10"/>
      <c r="K9" s="10"/>
      <c r="L9" s="10"/>
      <c r="M9" s="10"/>
      <c r="N9" s="11"/>
    </row>
    <row r="10">
      <c r="B10" s="472"/>
      <c r="C10" s="473"/>
      <c r="D10" s="480" t="s">
        <v>367</v>
      </c>
      <c r="E10" s="3"/>
      <c r="F10" s="4"/>
      <c r="G10" s="208" t="s">
        <v>891</v>
      </c>
      <c r="H10" s="3"/>
      <c r="I10" s="3"/>
      <c r="J10" s="3"/>
      <c r="K10" s="3"/>
      <c r="L10" s="3"/>
      <c r="M10" s="3"/>
      <c r="N10" s="4"/>
    </row>
    <row r="11">
      <c r="B11" s="350"/>
      <c r="C11" s="302"/>
      <c r="D11" s="471" t="s">
        <v>892</v>
      </c>
      <c r="E11" s="10"/>
      <c r="F11" s="11"/>
      <c r="G11" s="211" t="s">
        <v>893</v>
      </c>
      <c r="H11" s="10"/>
      <c r="I11" s="10"/>
      <c r="J11" s="10"/>
      <c r="K11" s="10"/>
      <c r="L11" s="10"/>
      <c r="M11" s="10"/>
      <c r="N11" s="11"/>
    </row>
    <row r="12">
      <c r="B12" s="472"/>
      <c r="C12" s="473"/>
      <c r="D12" s="480" t="s">
        <v>894</v>
      </c>
      <c r="E12" s="4"/>
      <c r="F12" s="481" t="str">
        <f t="array" ref="F12">floor(1+max((iferror(dget(Main!$B$3:$C$6,Main!$C$3,{"Class";"Barbarian"}),0)-7),-1)/3,1)&amp;"/-"</f>
        <v>0/-</v>
      </c>
      <c r="G12" s="208" t="s">
        <v>895</v>
      </c>
      <c r="H12" s="3"/>
      <c r="I12" s="3"/>
      <c r="J12" s="3"/>
      <c r="K12" s="3"/>
      <c r="L12" s="3"/>
      <c r="M12" s="3"/>
      <c r="N12" s="4"/>
    </row>
    <row r="13">
      <c r="B13" s="350"/>
      <c r="C13" s="302"/>
      <c r="D13" s="471" t="s">
        <v>896</v>
      </c>
      <c r="E13" s="10"/>
      <c r="F13" s="11"/>
      <c r="G13" s="211" t="s">
        <v>897</v>
      </c>
      <c r="H13" s="10"/>
      <c r="I13" s="10"/>
      <c r="J13" s="10"/>
      <c r="K13" s="10"/>
      <c r="L13" s="10"/>
      <c r="M13" s="10"/>
      <c r="N13" s="11"/>
    </row>
    <row r="14">
      <c r="B14" s="472"/>
      <c r="C14" s="473"/>
      <c r="D14" s="470" t="s">
        <v>370</v>
      </c>
      <c r="E14" s="3"/>
      <c r="F14" s="4"/>
      <c r="G14" s="208" t="s">
        <v>898</v>
      </c>
      <c r="H14" s="3"/>
      <c r="I14" s="3"/>
      <c r="J14" s="3"/>
      <c r="K14" s="3"/>
      <c r="L14" s="3"/>
      <c r="M14" s="3"/>
      <c r="N14" s="4"/>
    </row>
    <row r="15">
      <c r="B15" s="350"/>
      <c r="C15" s="302"/>
      <c r="D15" s="471" t="s">
        <v>899</v>
      </c>
      <c r="E15" s="10"/>
      <c r="F15" s="11"/>
      <c r="G15" s="211" t="s">
        <v>900</v>
      </c>
      <c r="H15" s="10"/>
      <c r="I15" s="10"/>
      <c r="J15" s="10"/>
      <c r="K15" s="10"/>
      <c r="L15" s="10"/>
      <c r="M15" s="10"/>
      <c r="N15" s="11"/>
    </row>
    <row r="16">
      <c r="B16" s="482"/>
      <c r="C16" s="483"/>
      <c r="D16" s="484" t="s">
        <v>901</v>
      </c>
      <c r="E16" s="168"/>
      <c r="F16" s="169"/>
      <c r="G16" s="485" t="s">
        <v>902</v>
      </c>
      <c r="H16" s="349"/>
      <c r="I16" s="349"/>
      <c r="J16" s="349"/>
      <c r="K16" s="349"/>
      <c r="L16" s="349"/>
      <c r="M16" s="349"/>
      <c r="N16" s="154"/>
    </row>
    <row r="17">
      <c r="B17" s="486" t="s">
        <v>839</v>
      </c>
      <c r="C17" s="302"/>
      <c r="D17" s="487" t="s">
        <v>880</v>
      </c>
      <c r="E17" s="10"/>
      <c r="F17" s="11"/>
      <c r="G17" s="488" t="s">
        <v>903</v>
      </c>
      <c r="H17" s="489"/>
      <c r="I17" s="489"/>
      <c r="J17" s="489"/>
      <c r="K17" s="489"/>
      <c r="L17" s="489"/>
      <c r="M17" s="489"/>
      <c r="N17" s="490"/>
    </row>
    <row r="18">
      <c r="B18" s="472"/>
      <c r="C18" s="473"/>
      <c r="D18" s="470" t="s">
        <v>904</v>
      </c>
      <c r="E18" s="3"/>
      <c r="F18" s="4"/>
      <c r="G18" s="491" t="s">
        <v>905</v>
      </c>
      <c r="H18" s="221"/>
      <c r="I18" s="221"/>
      <c r="J18" s="221"/>
      <c r="K18" s="221"/>
      <c r="L18" s="221"/>
      <c r="M18" s="221"/>
      <c r="N18" s="222"/>
    </row>
    <row r="19">
      <c r="B19" s="350"/>
      <c r="C19" s="302"/>
      <c r="D19" s="492" t="s">
        <v>906</v>
      </c>
      <c r="E19" s="173"/>
      <c r="F19" s="493" t="str">
        <f t="array" ref="F19">"+"&amp;iferror(dget(Main!$B$3:$C$6,Main!$C$3,{"Class";"Bard"}),0)+Main!$Z$7+if(Skills!$I$38&gt;=5,2,0)</f>
        <v>+0</v>
      </c>
      <c r="G19" s="211" t="s">
        <v>907</v>
      </c>
      <c r="H19" s="10"/>
      <c r="I19" s="10"/>
      <c r="J19" s="10"/>
      <c r="K19" s="10"/>
      <c r="L19" s="10"/>
      <c r="M19" s="10"/>
      <c r="N19" s="11"/>
    </row>
    <row r="20">
      <c r="B20" s="472"/>
      <c r="C20" s="473"/>
      <c r="D20" s="470" t="s">
        <v>908</v>
      </c>
      <c r="E20" s="3"/>
      <c r="F20" s="4"/>
      <c r="G20" s="491" t="s">
        <v>909</v>
      </c>
      <c r="H20" s="221"/>
      <c r="I20" s="221"/>
      <c r="J20" s="221"/>
      <c r="K20" s="221"/>
      <c r="L20" s="221"/>
      <c r="M20" s="221"/>
      <c r="N20" s="222"/>
    </row>
    <row r="21">
      <c r="B21" s="350"/>
      <c r="C21" s="302"/>
      <c r="D21" s="494" t="s">
        <v>910</v>
      </c>
      <c r="E21" s="495" t="str">
        <f>"Perform Check: 1d20+"&amp;Skills!$K$47</f>
        <v>Perform Check: 1d20+0</v>
      </c>
      <c r="F21" s="11"/>
      <c r="G21" s="211" t="s">
        <v>911</v>
      </c>
      <c r="H21" s="10"/>
      <c r="I21" s="10"/>
      <c r="J21" s="10"/>
      <c r="K21" s="10"/>
      <c r="L21" s="10"/>
      <c r="M21" s="10"/>
      <c r="N21" s="11"/>
    </row>
    <row r="22">
      <c r="B22" s="472"/>
      <c r="C22" s="473"/>
      <c r="D22" s="477" t="s">
        <v>912</v>
      </c>
      <c r="E22" s="496" t="str">
        <f>"Perform Check: 1d20+"&amp;Skills!$K$47</f>
        <v>Perform Check: 1d20+0</v>
      </c>
      <c r="F22" s="221"/>
      <c r="G22" s="208" t="s">
        <v>913</v>
      </c>
      <c r="H22" s="3"/>
      <c r="I22" s="3"/>
      <c r="J22" s="3"/>
      <c r="K22" s="3"/>
      <c r="L22" s="3"/>
      <c r="M22" s="3"/>
      <c r="N22" s="4"/>
    </row>
    <row r="23">
      <c r="B23" s="350"/>
      <c r="C23" s="302"/>
      <c r="D23" s="471" t="s">
        <v>422</v>
      </c>
      <c r="E23" s="10"/>
      <c r="F23" s="11"/>
      <c r="G23" s="211" t="s">
        <v>914</v>
      </c>
      <c r="H23" s="10"/>
      <c r="I23" s="10"/>
      <c r="J23" s="10"/>
      <c r="K23" s="10"/>
      <c r="L23" s="10"/>
      <c r="M23" s="10"/>
      <c r="N23" s="11"/>
    </row>
    <row r="24">
      <c r="B24" s="472"/>
      <c r="C24" s="473"/>
      <c r="D24" s="480" t="s">
        <v>915</v>
      </c>
      <c r="E24" s="3"/>
      <c r="F24" s="4"/>
      <c r="G24" s="208" t="s">
        <v>916</v>
      </c>
      <c r="H24" s="3"/>
      <c r="I24" s="3"/>
      <c r="J24" s="3"/>
      <c r="K24" s="3"/>
      <c r="L24" s="3"/>
      <c r="M24" s="3"/>
      <c r="N24" s="4"/>
    </row>
    <row r="25">
      <c r="B25" s="350"/>
      <c r="C25" s="302"/>
      <c r="D25" s="497" t="s">
        <v>917</v>
      </c>
      <c r="E25" s="498" t="str">
        <f t="array" ref="E25">"DC: "&amp;10+floor(iferror(dget(Main!$B$3:$C$6,Main!$C$3,{"Class";"Bard"}),0)/2,1)+Main!$Z$9</f>
        <v>DC: 10</v>
      </c>
      <c r="F25" s="11"/>
      <c r="G25" s="211" t="s">
        <v>918</v>
      </c>
      <c r="H25" s="10"/>
      <c r="I25" s="10"/>
      <c r="J25" s="10"/>
      <c r="K25" s="10"/>
      <c r="L25" s="10"/>
      <c r="M25" s="10"/>
      <c r="N25" s="11"/>
    </row>
    <row r="26">
      <c r="B26" s="472"/>
      <c r="C26" s="473"/>
      <c r="D26" s="477" t="s">
        <v>20</v>
      </c>
      <c r="E26" s="499" t="s">
        <v>919</v>
      </c>
      <c r="F26" s="479" t="str">
        <f t="array" ref="F26">" "&amp;floor(1+max((iferror(dget(Main!$B$3:$C$6,Main!$C$3,{"Class";"Bard"}),0)-9),-1)/3,1)</f>
        <v> 0</v>
      </c>
      <c r="G26" s="208" t="s">
        <v>920</v>
      </c>
      <c r="H26" s="3"/>
      <c r="I26" s="3"/>
      <c r="J26" s="3"/>
      <c r="K26" s="3"/>
      <c r="L26" s="3"/>
      <c r="M26" s="3"/>
      <c r="N26" s="4"/>
    </row>
    <row r="27">
      <c r="B27" s="350"/>
      <c r="C27" s="302"/>
      <c r="D27" s="497" t="s">
        <v>921</v>
      </c>
      <c r="E27" s="10"/>
      <c r="F27" s="11"/>
      <c r="G27" s="211" t="s">
        <v>922</v>
      </c>
      <c r="H27" s="10"/>
      <c r="I27" s="10"/>
      <c r="J27" s="10"/>
      <c r="K27" s="10"/>
      <c r="L27" s="10"/>
      <c r="M27" s="10"/>
      <c r="N27" s="11"/>
    </row>
    <row r="28">
      <c r="B28" s="472"/>
      <c r="C28" s="473"/>
      <c r="D28" s="480" t="s">
        <v>424</v>
      </c>
      <c r="E28" s="478" t="s">
        <v>919</v>
      </c>
      <c r="F28" s="479" t="str">
        <f t="array" ref="F28">" "&amp;floor(1+max((iferror(dget(Main!$B$3:$C$6,Main!$C$3,{"Class";"Bard"}),0)-15),-1)/3,1)</f>
        <v> 0</v>
      </c>
      <c r="G28" s="208" t="s">
        <v>923</v>
      </c>
      <c r="H28" s="3"/>
      <c r="I28" s="3"/>
      <c r="J28" s="3"/>
      <c r="K28" s="3"/>
      <c r="L28" s="3"/>
      <c r="M28" s="3"/>
      <c r="N28" s="4"/>
    </row>
    <row r="29">
      <c r="B29" s="500"/>
      <c r="C29" s="501"/>
      <c r="D29" s="502" t="s">
        <v>924</v>
      </c>
      <c r="E29" s="503"/>
      <c r="F29" s="504"/>
      <c r="G29" s="505" t="s">
        <v>925</v>
      </c>
      <c r="H29" s="503"/>
      <c r="I29" s="503"/>
      <c r="J29" s="503"/>
      <c r="K29" s="503"/>
      <c r="L29" s="503"/>
      <c r="M29" s="503"/>
      <c r="N29" s="504"/>
    </row>
    <row r="30">
      <c r="B30" s="506" t="s">
        <v>840</v>
      </c>
      <c r="C30" s="473"/>
      <c r="D30" s="507" t="s">
        <v>880</v>
      </c>
      <c r="E30" s="3"/>
      <c r="F30" s="4"/>
      <c r="G30" s="508" t="s">
        <v>926</v>
      </c>
      <c r="H30" s="509"/>
      <c r="I30" s="509"/>
      <c r="J30" s="509"/>
      <c r="K30" s="509"/>
      <c r="L30" s="509"/>
      <c r="M30" s="509"/>
      <c r="N30" s="510"/>
    </row>
    <row r="31">
      <c r="B31" s="350"/>
      <c r="C31" s="302"/>
      <c r="D31" s="511" t="s">
        <v>927</v>
      </c>
      <c r="E31" s="512">
        <f t="array" ref="E31">iferror(dget(Main!$B$3:$C$6,Main!$C$3,{"Class";"Cleric"}),0)</f>
        <v>0</v>
      </c>
      <c r="F31" s="174"/>
      <c r="G31" s="513" t="s">
        <v>928</v>
      </c>
      <c r="H31" s="173"/>
      <c r="I31" s="173"/>
      <c r="J31" s="173"/>
      <c r="K31" s="173"/>
      <c r="L31" s="173"/>
      <c r="M31" s="173"/>
      <c r="N31" s="174"/>
    </row>
    <row r="32">
      <c r="B32" s="472"/>
      <c r="C32" s="473"/>
      <c r="D32" s="470" t="s">
        <v>904</v>
      </c>
      <c r="E32" s="3"/>
      <c r="F32" s="4"/>
      <c r="G32" s="514" t="s">
        <v>929</v>
      </c>
      <c r="H32" s="3"/>
      <c r="I32" s="3"/>
      <c r="J32" s="3"/>
      <c r="K32" s="3"/>
      <c r="L32" s="3"/>
      <c r="M32" s="3"/>
      <c r="N32" s="4"/>
    </row>
    <row r="33">
      <c r="B33" s="350"/>
      <c r="C33" s="302"/>
      <c r="D33" s="498" t="s">
        <v>930</v>
      </c>
      <c r="E33" s="10"/>
      <c r="F33" s="11"/>
      <c r="G33" s="515" t="s">
        <v>931</v>
      </c>
      <c r="H33" s="10"/>
      <c r="I33" s="10"/>
      <c r="J33" s="10"/>
      <c r="K33" s="10"/>
      <c r="L33" s="10"/>
      <c r="M33" s="10"/>
      <c r="N33" s="11"/>
    </row>
    <row r="34">
      <c r="B34" s="472"/>
      <c r="C34" s="473"/>
      <c r="D34" s="470" t="s">
        <v>932</v>
      </c>
      <c r="E34" s="3"/>
      <c r="F34" s="4"/>
      <c r="G34" s="514" t="s">
        <v>933</v>
      </c>
      <c r="H34" s="3"/>
      <c r="I34" s="3"/>
      <c r="J34" s="3"/>
      <c r="K34" s="3"/>
      <c r="L34" s="3"/>
      <c r="M34" s="3"/>
      <c r="N34" s="4"/>
    </row>
    <row r="35">
      <c r="B35" s="350"/>
      <c r="C35" s="302"/>
      <c r="D35" s="498" t="s">
        <v>934</v>
      </c>
      <c r="E35" s="10"/>
      <c r="F35" s="11"/>
      <c r="G35" s="515" t="s">
        <v>935</v>
      </c>
      <c r="H35" s="10"/>
      <c r="I35" s="10"/>
      <c r="J35" s="10"/>
      <c r="K35" s="10"/>
      <c r="L35" s="10"/>
      <c r="M35" s="10"/>
      <c r="N35" s="11"/>
    </row>
    <row r="36">
      <c r="B36" s="472"/>
      <c r="C36" s="473"/>
      <c r="D36" s="516" t="s">
        <v>936</v>
      </c>
      <c r="E36" s="349"/>
      <c r="F36" s="479" t="str">
        <f>" "&amp;3+Main!$Z$9</f>
        <v> 3</v>
      </c>
      <c r="G36" s="208" t="s">
        <v>937</v>
      </c>
      <c r="H36" s="3"/>
      <c r="I36" s="3"/>
      <c r="J36" s="3"/>
      <c r="K36" s="3"/>
      <c r="L36" s="3"/>
      <c r="M36" s="3"/>
      <c r="N36" s="4"/>
    </row>
    <row r="37">
      <c r="B37" s="350"/>
      <c r="C37" s="302"/>
      <c r="D37" s="475" t="s">
        <v>938</v>
      </c>
      <c r="E37" s="10"/>
      <c r="F37" s="517" t="str">
        <f>" 1d20+"&amp;Main!$Z$9+if(Skills!$I$42&gt;=5,2,0)</f>
        <v> 1d20+0</v>
      </c>
      <c r="G37" s="305"/>
      <c r="H37" s="10"/>
      <c r="I37" s="10"/>
      <c r="J37" s="10"/>
      <c r="K37" s="10"/>
      <c r="L37" s="10"/>
      <c r="M37" s="10"/>
      <c r="N37" s="11"/>
    </row>
    <row r="38">
      <c r="B38" s="472"/>
      <c r="C38" s="473"/>
      <c r="D38" s="518" t="s">
        <v>939</v>
      </c>
      <c r="E38" s="473"/>
      <c r="F38" s="519" t="str">
        <f t="array" ref="F38">" 2d6+"&amp;Main!$Z$9+iferror(dget(Main!$B$3:$C$6,Main!$C$3,{"Class";"Cleric"}),0)</f>
        <v> 2d6+0</v>
      </c>
      <c r="G38" s="306"/>
      <c r="H38" s="3"/>
      <c r="I38" s="3"/>
      <c r="J38" s="3"/>
      <c r="K38" s="3"/>
      <c r="L38" s="3"/>
      <c r="M38" s="3"/>
      <c r="N38" s="4"/>
    </row>
    <row r="39">
      <c r="B39" s="350"/>
      <c r="C39" s="302"/>
      <c r="D39" s="520" t="s">
        <v>940</v>
      </c>
      <c r="E39" s="385"/>
      <c r="F39" s="517" t="str">
        <f>" "&amp;3+Main!$Z$9</f>
        <v> 3</v>
      </c>
      <c r="G39" s="211" t="s">
        <v>941</v>
      </c>
      <c r="H39" s="10"/>
      <c r="I39" s="10"/>
      <c r="J39" s="10"/>
      <c r="K39" s="10"/>
      <c r="L39" s="10"/>
      <c r="M39" s="10"/>
      <c r="N39" s="11"/>
    </row>
    <row r="40">
      <c r="B40" s="472"/>
      <c r="C40" s="473"/>
      <c r="D40" s="521" t="s">
        <v>942</v>
      </c>
      <c r="E40" s="478">
        <v>1.0</v>
      </c>
      <c r="F40" s="522" t="s">
        <v>943</v>
      </c>
      <c r="G40" s="208" t="s">
        <v>944</v>
      </c>
      <c r="H40" s="3"/>
      <c r="I40" s="3"/>
      <c r="J40" s="3"/>
      <c r="K40" s="3"/>
      <c r="L40" s="3"/>
      <c r="M40" s="3"/>
      <c r="N40" s="4"/>
    </row>
    <row r="41">
      <c r="B41" s="350"/>
      <c r="C41" s="302"/>
      <c r="D41" s="498" t="s">
        <v>945</v>
      </c>
      <c r="E41" s="10"/>
      <c r="F41" s="11"/>
      <c r="G41" s="211" t="s">
        <v>946</v>
      </c>
      <c r="H41" s="10"/>
      <c r="I41" s="10"/>
      <c r="J41" s="10"/>
      <c r="K41" s="10"/>
      <c r="L41" s="10"/>
      <c r="M41" s="10"/>
      <c r="N41" s="11"/>
    </row>
    <row r="42">
      <c r="B42" s="472"/>
      <c r="C42" s="473"/>
      <c r="D42" s="523" t="s">
        <v>947</v>
      </c>
      <c r="E42" s="473"/>
      <c r="F42" s="524" t="str">
        <f t="array" ref="F42">iferror(dget(Main!$B$3:$C$6,Main!$C$3,{"Class";"Cleric"}),0)&amp;"d6"</f>
        <v>0d6</v>
      </c>
      <c r="G42" s="208" t="s">
        <v>948</v>
      </c>
      <c r="H42" s="3"/>
      <c r="I42" s="3"/>
      <c r="J42" s="3"/>
      <c r="K42" s="3"/>
      <c r="L42" s="3"/>
      <c r="M42" s="3"/>
      <c r="N42" s="4"/>
    </row>
    <row r="43">
      <c r="B43" s="350"/>
      <c r="C43" s="302"/>
      <c r="D43" s="498" t="s">
        <v>949</v>
      </c>
      <c r="E43" s="10"/>
      <c r="F43" s="11"/>
      <c r="G43" s="211" t="s">
        <v>950</v>
      </c>
      <c r="H43" s="10"/>
      <c r="I43" s="10"/>
      <c r="J43" s="10"/>
      <c r="K43" s="10"/>
      <c r="L43" s="10"/>
      <c r="M43" s="10"/>
      <c r="N43" s="11"/>
    </row>
    <row r="44">
      <c r="B44" s="472"/>
      <c r="C44" s="473"/>
      <c r="D44" s="525" t="s">
        <v>951</v>
      </c>
      <c r="E44" s="349"/>
      <c r="F44" s="479" t="str">
        <f>" "&amp;3+Main!$Z$9</f>
        <v> 3</v>
      </c>
      <c r="G44" s="208" t="s">
        <v>952</v>
      </c>
      <c r="H44" s="3"/>
      <c r="I44" s="3"/>
      <c r="J44" s="3"/>
      <c r="K44" s="3"/>
      <c r="L44" s="3"/>
      <c r="M44" s="3"/>
      <c r="N44" s="4"/>
    </row>
    <row r="45">
      <c r="B45" s="350"/>
      <c r="C45" s="302"/>
      <c r="D45" s="498" t="s">
        <v>953</v>
      </c>
      <c r="E45" s="10"/>
      <c r="F45" s="11"/>
      <c r="G45" s="211" t="s">
        <v>954</v>
      </c>
      <c r="H45" s="10"/>
      <c r="I45" s="10"/>
      <c r="J45" s="10"/>
      <c r="K45" s="10"/>
      <c r="L45" s="10"/>
      <c r="M45" s="10"/>
      <c r="N45" s="11"/>
    </row>
    <row r="46">
      <c r="B46" s="472"/>
      <c r="C46" s="473"/>
      <c r="D46" s="525" t="s">
        <v>955</v>
      </c>
      <c r="E46" s="349"/>
      <c r="F46" s="479" t="str">
        <f>" "&amp;3+Main!$Z$9</f>
        <v> 3</v>
      </c>
      <c r="G46" s="208" t="s">
        <v>956</v>
      </c>
      <c r="H46" s="3"/>
      <c r="I46" s="3"/>
      <c r="J46" s="3"/>
      <c r="K46" s="3"/>
      <c r="L46" s="3"/>
      <c r="M46" s="3"/>
      <c r="N46" s="4"/>
    </row>
    <row r="47">
      <c r="B47" s="350"/>
      <c r="C47" s="302"/>
      <c r="D47" s="498" t="s">
        <v>957</v>
      </c>
      <c r="E47" s="10"/>
      <c r="F47" s="11"/>
      <c r="G47" s="211" t="s">
        <v>958</v>
      </c>
      <c r="H47" s="10"/>
      <c r="I47" s="10"/>
      <c r="J47" s="10"/>
      <c r="K47" s="10"/>
      <c r="L47" s="10"/>
      <c r="M47" s="10"/>
      <c r="N47" s="11"/>
    </row>
    <row r="48">
      <c r="B48" s="472"/>
      <c r="C48" s="473"/>
      <c r="D48" s="470" t="s">
        <v>959</v>
      </c>
      <c r="E48" s="3"/>
      <c r="F48" s="4"/>
      <c r="G48" s="208" t="s">
        <v>960</v>
      </c>
      <c r="H48" s="3"/>
      <c r="I48" s="3"/>
      <c r="J48" s="3"/>
      <c r="K48" s="3"/>
      <c r="L48" s="3"/>
      <c r="M48" s="3"/>
      <c r="N48" s="4"/>
    </row>
    <row r="49">
      <c r="B49" s="350"/>
      <c r="C49" s="302"/>
      <c r="D49" s="498" t="s">
        <v>961</v>
      </c>
      <c r="E49" s="10"/>
      <c r="F49" s="11"/>
      <c r="G49" s="211" t="s">
        <v>962</v>
      </c>
      <c r="H49" s="10"/>
      <c r="I49" s="10"/>
      <c r="J49" s="10"/>
      <c r="K49" s="10"/>
      <c r="L49" s="10"/>
      <c r="M49" s="10"/>
      <c r="N49" s="11"/>
    </row>
    <row r="50">
      <c r="B50" s="472"/>
      <c r="C50" s="473"/>
      <c r="D50" s="470" t="s">
        <v>963</v>
      </c>
      <c r="E50" s="3"/>
      <c r="F50" s="4"/>
      <c r="G50" s="208" t="s">
        <v>964</v>
      </c>
      <c r="H50" s="3"/>
      <c r="I50" s="3"/>
      <c r="J50" s="3"/>
      <c r="K50" s="3"/>
      <c r="L50" s="3"/>
      <c r="M50" s="3"/>
      <c r="N50" s="4"/>
    </row>
    <row r="51">
      <c r="B51" s="350"/>
      <c r="C51" s="302"/>
      <c r="D51" s="498" t="s">
        <v>965</v>
      </c>
      <c r="E51" s="10"/>
      <c r="F51" s="11"/>
      <c r="G51" s="211" t="s">
        <v>966</v>
      </c>
      <c r="H51" s="10"/>
      <c r="I51" s="10"/>
      <c r="J51" s="10"/>
      <c r="K51" s="10"/>
      <c r="L51" s="10"/>
      <c r="M51" s="10"/>
      <c r="N51" s="11"/>
    </row>
    <row r="52">
      <c r="B52" s="472"/>
      <c r="C52" s="473"/>
      <c r="D52" s="470" t="s">
        <v>967</v>
      </c>
      <c r="E52" s="4"/>
      <c r="F52" s="481">
        <f t="array" ref="F52">floor(iferror(dget(Main!$B$3:$C$6,Main!$C$3,{"Class";"Cleric"}),0)/2,1)</f>
        <v>0</v>
      </c>
      <c r="G52" s="208" t="s">
        <v>968</v>
      </c>
      <c r="H52" s="3"/>
      <c r="I52" s="3"/>
      <c r="J52" s="3"/>
      <c r="K52" s="3"/>
      <c r="L52" s="3"/>
      <c r="M52" s="3"/>
      <c r="N52" s="4"/>
    </row>
    <row r="53">
      <c r="B53" s="350"/>
      <c r="C53" s="302"/>
      <c r="D53" s="520" t="s">
        <v>969</v>
      </c>
      <c r="E53" s="385"/>
      <c r="F53" s="517" t="str">
        <f>" "&amp;3+Main!$Z$9</f>
        <v> 3</v>
      </c>
      <c r="G53" s="211" t="s">
        <v>970</v>
      </c>
      <c r="H53" s="10"/>
      <c r="I53" s="10"/>
      <c r="J53" s="10"/>
      <c r="K53" s="10"/>
      <c r="L53" s="10"/>
      <c r="M53" s="10"/>
      <c r="N53" s="11"/>
    </row>
    <row r="54">
      <c r="B54" s="472"/>
      <c r="C54" s="473"/>
      <c r="D54" s="470" t="s">
        <v>971</v>
      </c>
      <c r="E54" s="3"/>
      <c r="F54" s="4"/>
      <c r="G54" s="208" t="s">
        <v>972</v>
      </c>
      <c r="H54" s="3"/>
      <c r="I54" s="3"/>
      <c r="J54" s="3"/>
      <c r="K54" s="3"/>
      <c r="L54" s="3"/>
      <c r="M54" s="3"/>
      <c r="N54" s="4"/>
    </row>
    <row r="55">
      <c r="B55" s="350"/>
      <c r="C55" s="302"/>
      <c r="D55" s="498" t="s">
        <v>973</v>
      </c>
      <c r="E55" s="10"/>
      <c r="F55" s="11"/>
      <c r="G55" s="211" t="s">
        <v>974</v>
      </c>
      <c r="H55" s="10"/>
      <c r="I55" s="10"/>
      <c r="J55" s="10"/>
      <c r="K55" s="10"/>
      <c r="L55" s="10"/>
      <c r="M55" s="10"/>
      <c r="N55" s="11"/>
    </row>
    <row r="56">
      <c r="B56" s="472"/>
      <c r="C56" s="473"/>
      <c r="D56" s="470" t="s">
        <v>975</v>
      </c>
      <c r="E56" s="3"/>
      <c r="F56" s="4"/>
      <c r="G56" s="208" t="s">
        <v>976</v>
      </c>
      <c r="H56" s="3"/>
      <c r="I56" s="3"/>
      <c r="J56" s="3"/>
      <c r="K56" s="3"/>
      <c r="L56" s="3"/>
      <c r="M56" s="3"/>
      <c r="N56" s="4"/>
    </row>
    <row r="57">
      <c r="B57" s="350"/>
      <c r="C57" s="302"/>
      <c r="D57" s="526" t="s">
        <v>977</v>
      </c>
      <c r="E57" s="475"/>
      <c r="F57" s="517" t="str">
        <f t="array" ref="F57">"/ "&amp;iferror(dget(Main!$B$3:$C$6,Main!$C$3,{"Class";"Cleric"}),0)</f>
        <v>/ 0</v>
      </c>
      <c r="G57" s="211" t="s">
        <v>978</v>
      </c>
      <c r="H57" s="10"/>
      <c r="I57" s="10"/>
      <c r="J57" s="10"/>
      <c r="K57" s="10"/>
      <c r="L57" s="10"/>
      <c r="M57" s="10"/>
      <c r="N57" s="11"/>
    </row>
    <row r="58">
      <c r="B58" s="472"/>
      <c r="C58" s="473"/>
      <c r="D58" s="470" t="s">
        <v>979</v>
      </c>
      <c r="E58" s="3"/>
      <c r="F58" s="4"/>
      <c r="G58" s="208" t="s">
        <v>980</v>
      </c>
      <c r="H58" s="3"/>
      <c r="I58" s="3"/>
      <c r="J58" s="3"/>
      <c r="K58" s="3"/>
      <c r="L58" s="3"/>
      <c r="M58" s="3"/>
      <c r="N58" s="4"/>
    </row>
    <row r="59">
      <c r="B59" s="350"/>
      <c r="C59" s="302"/>
      <c r="D59" s="498" t="s">
        <v>981</v>
      </c>
      <c r="E59" s="10"/>
      <c r="F59" s="11"/>
      <c r="G59" s="211" t="s">
        <v>982</v>
      </c>
      <c r="H59" s="10"/>
      <c r="I59" s="10"/>
      <c r="J59" s="10"/>
      <c r="K59" s="10"/>
      <c r="L59" s="10"/>
      <c r="M59" s="10"/>
      <c r="N59" s="11"/>
    </row>
    <row r="60">
      <c r="B60" s="472"/>
      <c r="C60" s="473"/>
      <c r="D60" s="527" t="s">
        <v>983</v>
      </c>
      <c r="E60" s="3"/>
      <c r="F60" s="479" t="str">
        <f>" "&amp;3+Main!$Z$9</f>
        <v> 3</v>
      </c>
      <c r="G60" s="208" t="s">
        <v>984</v>
      </c>
      <c r="H60" s="3"/>
      <c r="I60" s="3"/>
      <c r="J60" s="3"/>
      <c r="K60" s="3"/>
      <c r="L60" s="3"/>
      <c r="M60" s="3"/>
      <c r="N60" s="4"/>
    </row>
    <row r="61">
      <c r="A61" s="528"/>
      <c r="B61" s="500"/>
      <c r="C61" s="501"/>
      <c r="D61" s="529" t="s">
        <v>985</v>
      </c>
      <c r="E61" s="503"/>
      <c r="F61" s="504"/>
      <c r="G61" s="505" t="s">
        <v>986</v>
      </c>
      <c r="H61" s="503"/>
      <c r="I61" s="503"/>
      <c r="J61" s="503"/>
      <c r="K61" s="503"/>
      <c r="L61" s="503"/>
      <c r="M61" s="503"/>
      <c r="N61" s="504"/>
    </row>
    <row r="62">
      <c r="B62" s="486" t="s">
        <v>841</v>
      </c>
      <c r="C62" s="473"/>
      <c r="D62" s="530" t="s">
        <v>880</v>
      </c>
      <c r="E62" s="221"/>
      <c r="F62" s="222"/>
      <c r="G62" s="491" t="s">
        <v>987</v>
      </c>
      <c r="H62" s="221"/>
      <c r="I62" s="221"/>
      <c r="J62" s="221"/>
      <c r="K62" s="221"/>
      <c r="L62" s="221"/>
      <c r="M62" s="221"/>
      <c r="N62" s="222"/>
    </row>
    <row r="63">
      <c r="B63" s="350"/>
      <c r="C63" s="302"/>
      <c r="D63" s="498" t="s">
        <v>904</v>
      </c>
      <c r="E63" s="10"/>
      <c r="F63" s="11"/>
      <c r="G63" s="515" t="s">
        <v>988</v>
      </c>
      <c r="H63" s="10"/>
      <c r="I63" s="10"/>
      <c r="J63" s="10"/>
      <c r="K63" s="10"/>
      <c r="L63" s="10"/>
      <c r="M63" s="10"/>
      <c r="N63" s="11"/>
    </row>
    <row r="64">
      <c r="B64" s="472"/>
      <c r="C64" s="473"/>
      <c r="D64" s="470" t="s">
        <v>932</v>
      </c>
      <c r="E64" s="3"/>
      <c r="F64" s="4"/>
      <c r="G64" s="514" t="s">
        <v>989</v>
      </c>
      <c r="H64" s="3"/>
      <c r="I64" s="3"/>
      <c r="J64" s="3"/>
      <c r="K64" s="3"/>
      <c r="L64" s="3"/>
      <c r="M64" s="3"/>
      <c r="N64" s="4"/>
    </row>
    <row r="65">
      <c r="B65" s="350"/>
      <c r="C65" s="302"/>
      <c r="D65" s="498" t="s">
        <v>934</v>
      </c>
      <c r="E65" s="10"/>
      <c r="F65" s="11"/>
      <c r="G65" s="515" t="s">
        <v>990</v>
      </c>
      <c r="H65" s="10"/>
      <c r="I65" s="10"/>
      <c r="J65" s="10"/>
      <c r="K65" s="10"/>
      <c r="L65" s="10"/>
      <c r="M65" s="10"/>
      <c r="N65" s="11"/>
    </row>
    <row r="66">
      <c r="B66" s="472"/>
      <c r="C66" s="473"/>
      <c r="D66" s="470" t="s">
        <v>985</v>
      </c>
      <c r="E66" s="3"/>
      <c r="F66" s="4"/>
      <c r="G66" s="208" t="s">
        <v>991</v>
      </c>
      <c r="H66" s="3"/>
      <c r="I66" s="3"/>
      <c r="J66" s="3"/>
      <c r="K66" s="3"/>
      <c r="L66" s="3"/>
      <c r="M66" s="3"/>
      <c r="N66" s="4"/>
    </row>
    <row r="67">
      <c r="B67" s="350"/>
      <c r="C67" s="302"/>
      <c r="D67" s="498" t="s">
        <v>992</v>
      </c>
      <c r="E67" s="10"/>
      <c r="F67" s="11"/>
      <c r="G67" s="211" t="s">
        <v>993</v>
      </c>
      <c r="H67" s="10"/>
      <c r="I67" s="10"/>
      <c r="J67" s="10"/>
      <c r="K67" s="10"/>
      <c r="L67" s="10"/>
      <c r="M67" s="10"/>
      <c r="N67" s="11"/>
    </row>
    <row r="68">
      <c r="B68" s="472"/>
      <c r="C68" s="473"/>
      <c r="D68" s="531" t="s">
        <v>994</v>
      </c>
      <c r="E68" s="221"/>
      <c r="F68" s="222"/>
      <c r="G68" s="532" t="s">
        <v>995</v>
      </c>
      <c r="H68" s="221"/>
      <c r="I68" s="221"/>
      <c r="J68" s="221"/>
      <c r="K68" s="221"/>
      <c r="L68" s="221"/>
      <c r="M68" s="221"/>
      <c r="N68" s="222"/>
    </row>
    <row r="69">
      <c r="B69" s="350"/>
      <c r="C69" s="302"/>
      <c r="D69" s="494" t="s">
        <v>996</v>
      </c>
      <c r="E69" s="495" t="str">
        <f t="array" ref="E69">"1d20+"&amp;iferror(dget(Main!$B$3:$C$6,Main!$C$3,{"Class";"Druid"}),0)+Main!$Z$9+if(Skills!$I$29&gt;=5,2,0)</f>
        <v>1d20+0</v>
      </c>
      <c r="F69" s="11"/>
      <c r="G69" s="211" t="s">
        <v>997</v>
      </c>
      <c r="H69" s="10"/>
      <c r="I69" s="10"/>
      <c r="J69" s="10"/>
      <c r="K69" s="10"/>
      <c r="L69" s="10"/>
      <c r="M69" s="10"/>
      <c r="N69" s="11"/>
    </row>
    <row r="70">
      <c r="B70" s="472"/>
      <c r="C70" s="473"/>
      <c r="D70" s="480" t="s">
        <v>998</v>
      </c>
      <c r="E70" s="3"/>
      <c r="F70" s="4"/>
      <c r="G70" s="208" t="s">
        <v>999</v>
      </c>
      <c r="H70" s="3"/>
      <c r="I70" s="3"/>
      <c r="J70" s="3"/>
      <c r="K70" s="3"/>
      <c r="L70" s="3"/>
      <c r="M70" s="3"/>
      <c r="N70" s="4"/>
    </row>
    <row r="71">
      <c r="B71" s="350"/>
      <c r="C71" s="302"/>
      <c r="D71" s="533" t="s">
        <v>1000</v>
      </c>
      <c r="E71" s="10"/>
      <c r="F71" s="10"/>
      <c r="G71" s="211" t="s">
        <v>1001</v>
      </c>
      <c r="H71" s="10"/>
      <c r="I71" s="10"/>
      <c r="J71" s="10"/>
      <c r="K71" s="10"/>
      <c r="L71" s="10"/>
      <c r="M71" s="10"/>
      <c r="N71" s="11"/>
    </row>
    <row r="72">
      <c r="B72" s="472"/>
      <c r="C72" s="473"/>
      <c r="D72" s="534" t="s">
        <v>1002</v>
      </c>
      <c r="E72" s="349"/>
      <c r="F72" s="154"/>
      <c r="G72" s="208" t="s">
        <v>1003</v>
      </c>
      <c r="H72" s="3"/>
      <c r="I72" s="3"/>
      <c r="J72" s="3"/>
      <c r="K72" s="3"/>
      <c r="L72" s="3"/>
      <c r="M72" s="3"/>
      <c r="N72" s="4"/>
    </row>
    <row r="73">
      <c r="B73" s="350"/>
      <c r="C73" s="302"/>
      <c r="D73" s="471" t="s">
        <v>1004</v>
      </c>
      <c r="E73" s="535"/>
      <c r="F73" s="517" t="str">
        <f t="array" ref="F73">"/ "&amp;dget(Sheet4!$E$112:$H$132,"Normal per Day",{"Level";iferror(dget(Main!$B$3:$C$6,Main!$C$3,{"Class";"Druid"}),1)})</f>
        <v>/ 0</v>
      </c>
      <c r="G73" s="211" t="s">
        <v>1005</v>
      </c>
      <c r="H73" s="10"/>
      <c r="I73" s="10"/>
      <c r="J73" s="10"/>
      <c r="K73" s="10"/>
      <c r="L73" s="10"/>
      <c r="M73" s="10"/>
      <c r="N73" s="11"/>
    </row>
    <row r="74">
      <c r="B74" s="472"/>
      <c r="C74" s="473"/>
      <c r="D74" s="536" t="s">
        <v>1006</v>
      </c>
      <c r="E74" s="221"/>
      <c r="F74" s="537" t="str">
        <f t="array" ref="F74">" "&amp;iferror(dget(Main!$B$3:$C$6,Main!$C$3,{"Class";"Druid"}),0)&amp;" hours"</f>
        <v> 0 hours</v>
      </c>
      <c r="G74" s="306"/>
      <c r="H74" s="3"/>
      <c r="I74" s="3"/>
      <c r="J74" s="3"/>
      <c r="K74" s="3"/>
      <c r="L74" s="3"/>
      <c r="M74" s="3"/>
      <c r="N74" s="4"/>
    </row>
    <row r="75">
      <c r="B75" s="350"/>
      <c r="C75" s="302"/>
      <c r="D75" s="471" t="s">
        <v>1007</v>
      </c>
      <c r="E75" s="10"/>
      <c r="F75" s="11"/>
      <c r="G75" s="305"/>
      <c r="H75" s="10"/>
      <c r="I75" s="10"/>
      <c r="J75" s="10"/>
      <c r="K75" s="10"/>
      <c r="L75" s="10"/>
      <c r="M75" s="10"/>
      <c r="N75" s="11"/>
    </row>
    <row r="76">
      <c r="B76" s="472"/>
      <c r="C76" s="473"/>
      <c r="D76" s="538" t="s">
        <v>1008</v>
      </c>
      <c r="E76" s="3"/>
      <c r="F76" s="4"/>
      <c r="G76" s="208" t="s">
        <v>1009</v>
      </c>
      <c r="H76" s="3"/>
      <c r="I76" s="3"/>
      <c r="J76" s="3"/>
      <c r="K76" s="3"/>
      <c r="L76" s="3"/>
      <c r="M76" s="3"/>
      <c r="N76" s="4"/>
    </row>
    <row r="77">
      <c r="B77" s="350"/>
      <c r="C77" s="302"/>
      <c r="D77" s="471" t="s">
        <v>1010</v>
      </c>
      <c r="E77" s="10"/>
      <c r="F77" s="11"/>
      <c r="G77" s="305"/>
      <c r="H77" s="10"/>
      <c r="I77" s="10"/>
      <c r="J77" s="10"/>
      <c r="K77" s="10"/>
      <c r="L77" s="10"/>
      <c r="M77" s="10"/>
      <c r="N77" s="11"/>
    </row>
    <row r="78">
      <c r="B78" s="472"/>
      <c r="C78" s="473"/>
      <c r="D78" s="480" t="s">
        <v>1011</v>
      </c>
      <c r="E78" s="3"/>
      <c r="F78" s="4"/>
      <c r="G78" s="208" t="s">
        <v>1012</v>
      </c>
      <c r="H78" s="3"/>
      <c r="I78" s="3"/>
      <c r="J78" s="3"/>
      <c r="K78" s="3"/>
      <c r="L78" s="3"/>
      <c r="M78" s="3"/>
      <c r="N78" s="4"/>
    </row>
    <row r="79">
      <c r="B79" s="350"/>
      <c r="C79" s="302"/>
      <c r="D79" s="497" t="s">
        <v>1013</v>
      </c>
      <c r="E79" s="10"/>
      <c r="F79" s="11"/>
      <c r="G79" s="211" t="s">
        <v>1014</v>
      </c>
      <c r="H79" s="10"/>
      <c r="I79" s="10"/>
      <c r="J79" s="10"/>
      <c r="K79" s="10"/>
      <c r="L79" s="10"/>
      <c r="M79" s="10"/>
      <c r="N79" s="11"/>
    </row>
    <row r="80">
      <c r="B80" s="472"/>
      <c r="C80" s="473"/>
      <c r="D80" s="538" t="s">
        <v>1015</v>
      </c>
      <c r="E80" s="3"/>
      <c r="F80" s="4"/>
      <c r="G80" s="208" t="s">
        <v>1016</v>
      </c>
      <c r="H80" s="3"/>
      <c r="I80" s="3"/>
      <c r="J80" s="3"/>
      <c r="K80" s="3"/>
      <c r="L80" s="3"/>
      <c r="M80" s="3"/>
      <c r="N80" s="4"/>
    </row>
    <row r="81">
      <c r="B81" s="350"/>
      <c r="C81" s="302"/>
      <c r="D81" s="471" t="s">
        <v>1017</v>
      </c>
      <c r="E81" s="10"/>
      <c r="F81" s="11"/>
      <c r="G81" s="305"/>
      <c r="H81" s="10"/>
      <c r="I81" s="10"/>
      <c r="J81" s="10"/>
      <c r="K81" s="10"/>
      <c r="L81" s="10"/>
      <c r="M81" s="10"/>
      <c r="N81" s="11"/>
    </row>
    <row r="82">
      <c r="B82" s="472"/>
      <c r="C82" s="473"/>
      <c r="D82" s="539" t="s">
        <v>1018</v>
      </c>
      <c r="E82" s="540"/>
      <c r="F82" s="541" t="str">
        <f t="array" ref="F82">"/ "&amp;dget(Sheet4!$E$112:$H$132,"Elemental per Day",{"Level";iferror(dget(Main!$B$3:$C$6,Main!$C$3,{"Class";"Druid"}),1)})</f>
        <v>/ 0</v>
      </c>
      <c r="G82" s="208" t="s">
        <v>1019</v>
      </c>
      <c r="H82" s="3"/>
      <c r="I82" s="3"/>
      <c r="J82" s="3"/>
      <c r="K82" s="3"/>
      <c r="L82" s="3"/>
      <c r="M82" s="3"/>
      <c r="N82" s="4"/>
    </row>
    <row r="83">
      <c r="B83" s="500"/>
      <c r="C83" s="501"/>
      <c r="D83" s="542" t="s">
        <v>1020</v>
      </c>
      <c r="E83" s="503"/>
      <c r="F83" s="504"/>
      <c r="G83" s="505" t="s">
        <v>1021</v>
      </c>
      <c r="H83" s="503"/>
      <c r="I83" s="503"/>
      <c r="J83" s="503"/>
      <c r="K83" s="503"/>
      <c r="L83" s="503"/>
      <c r="M83" s="503"/>
      <c r="N83" s="504"/>
    </row>
    <row r="84">
      <c r="B84" s="543" t="s">
        <v>842</v>
      </c>
      <c r="C84" s="473"/>
      <c r="D84" s="544" t="s">
        <v>880</v>
      </c>
      <c r="E84" s="3"/>
      <c r="F84" s="4"/>
      <c r="G84" s="208" t="s">
        <v>1022</v>
      </c>
      <c r="H84" s="3"/>
      <c r="I84" s="3"/>
      <c r="J84" s="3"/>
      <c r="K84" s="3"/>
      <c r="L84" s="3"/>
      <c r="M84" s="3"/>
      <c r="N84" s="4"/>
    </row>
    <row r="85">
      <c r="B85" s="500"/>
      <c r="C85" s="501"/>
      <c r="D85" s="529" t="str">
        <f t="array" ref="D85">"Bonus Feats: "&amp;floor(iferror(dget(Main!$B$3:$C$6,Main!$C$3,{"Class";"Fighter"}),0)/2,1)+1</f>
        <v>Bonus Feats: 1</v>
      </c>
      <c r="E85" s="503"/>
      <c r="F85" s="504"/>
      <c r="G85" s="505" t="s">
        <v>1023</v>
      </c>
      <c r="H85" s="503"/>
      <c r="I85" s="503"/>
      <c r="J85" s="503"/>
      <c r="K85" s="503"/>
      <c r="L85" s="503"/>
      <c r="M85" s="503"/>
      <c r="N85" s="504"/>
    </row>
    <row r="86">
      <c r="B86" s="486" t="s">
        <v>393</v>
      </c>
      <c r="C86" s="473"/>
      <c r="D86" s="544" t="s">
        <v>880</v>
      </c>
      <c r="E86" s="3"/>
      <c r="F86" s="4"/>
      <c r="G86" s="208" t="s">
        <v>1024</v>
      </c>
      <c r="H86" s="3"/>
      <c r="I86" s="3"/>
      <c r="J86" s="3"/>
      <c r="K86" s="3"/>
      <c r="L86" s="3"/>
      <c r="M86" s="3"/>
      <c r="N86" s="4"/>
    </row>
    <row r="87">
      <c r="B87" s="350"/>
      <c r="C87" s="302"/>
      <c r="D87" s="492" t="s">
        <v>1025</v>
      </c>
      <c r="E87" s="173"/>
      <c r="F87" s="174"/>
      <c r="G87" s="513" t="s">
        <v>1026</v>
      </c>
      <c r="H87" s="173"/>
      <c r="I87" s="173"/>
      <c r="J87" s="173"/>
      <c r="K87" s="173"/>
      <c r="L87" s="173"/>
      <c r="M87" s="173"/>
      <c r="N87" s="174"/>
    </row>
    <row r="88">
      <c r="B88" s="472"/>
      <c r="C88" s="473"/>
      <c r="D88" s="480" t="s">
        <v>390</v>
      </c>
      <c r="E88" s="3"/>
      <c r="F88" s="4"/>
      <c r="G88" s="208" t="s">
        <v>1027</v>
      </c>
      <c r="H88" s="3"/>
      <c r="I88" s="3"/>
      <c r="J88" s="3"/>
      <c r="K88" s="3"/>
      <c r="L88" s="3"/>
      <c r="M88" s="3"/>
      <c r="N88" s="4"/>
    </row>
    <row r="89">
      <c r="B89" s="350"/>
      <c r="C89" s="302"/>
      <c r="D89" s="471" t="s">
        <v>1028</v>
      </c>
      <c r="E89" s="10"/>
      <c r="F89" s="11"/>
      <c r="G89" s="211" t="s">
        <v>1029</v>
      </c>
      <c r="H89" s="10"/>
      <c r="I89" s="10"/>
      <c r="J89" s="10"/>
      <c r="K89" s="10"/>
      <c r="L89" s="10"/>
      <c r="M89" s="10"/>
      <c r="N89" s="11"/>
    </row>
    <row r="90">
      <c r="B90" s="472"/>
      <c r="C90" s="473"/>
      <c r="D90" s="480" t="s">
        <v>591</v>
      </c>
      <c r="E90" s="3"/>
      <c r="F90" s="4"/>
      <c r="G90" s="485" t="s">
        <v>1030</v>
      </c>
      <c r="H90" s="349"/>
      <c r="I90" s="349"/>
      <c r="J90" s="349"/>
      <c r="K90" s="349"/>
      <c r="L90" s="349"/>
      <c r="M90" s="349"/>
      <c r="N90" s="154"/>
    </row>
    <row r="91">
      <c r="B91" s="350"/>
      <c r="C91" s="302"/>
      <c r="D91" s="475" t="s">
        <v>1031</v>
      </c>
      <c r="E91" s="10"/>
      <c r="F91" s="545">
        <f>10+floor(Main!$C$7/2,1)+Main!$Z$8</f>
        <v>10</v>
      </c>
      <c r="G91" s="350"/>
      <c r="N91" s="302"/>
    </row>
    <row r="92">
      <c r="B92" s="472"/>
      <c r="C92" s="473"/>
      <c r="D92" s="477" t="s">
        <v>1032</v>
      </c>
      <c r="E92" s="499"/>
      <c r="F92" s="479" t="str">
        <f t="array" ref="F92">"/ "&amp;iferror(dget(Main!$B$3:$C$6,Main!$C$3,{"Class";"Monk"}),0)+floor((Main!$C$7-iferror(dget(Main!$B$3:$C$6,Main!$C$3,{"Class";"Monk"}),0))/4,1)</f>
        <v>/ 0</v>
      </c>
      <c r="G92" s="546"/>
      <c r="H92" s="221"/>
      <c r="I92" s="221"/>
      <c r="J92" s="221"/>
      <c r="K92" s="221"/>
      <c r="L92" s="221"/>
      <c r="M92" s="221"/>
      <c r="N92" s="222"/>
    </row>
    <row r="93">
      <c r="B93" s="350"/>
      <c r="C93" s="302"/>
      <c r="D93" s="471" t="s">
        <v>1033</v>
      </c>
      <c r="E93" s="10"/>
      <c r="F93" s="11"/>
      <c r="G93" s="211" t="s">
        <v>1034</v>
      </c>
      <c r="H93" s="10"/>
      <c r="I93" s="10"/>
      <c r="J93" s="10"/>
      <c r="K93" s="10"/>
      <c r="L93" s="10"/>
      <c r="M93" s="10"/>
      <c r="N93" s="11"/>
    </row>
    <row r="94">
      <c r="B94" s="472"/>
      <c r="C94" s="473"/>
      <c r="D94" s="477" t="s">
        <v>1035</v>
      </c>
      <c r="E94" s="499"/>
      <c r="F94" s="479" t="str">
        <f>"/ "&amp;1+Main!$Z$5&amp;" AoO's"</f>
        <v>/ 1 AoO's</v>
      </c>
      <c r="G94" s="208" t="s">
        <v>1036</v>
      </c>
      <c r="H94" s="3"/>
      <c r="I94" s="3"/>
      <c r="J94" s="3"/>
      <c r="K94" s="3"/>
      <c r="L94" s="3"/>
      <c r="M94" s="3"/>
      <c r="N94" s="4"/>
    </row>
    <row r="95">
      <c r="B95" s="350"/>
      <c r="C95" s="302"/>
      <c r="D95" s="471" t="s">
        <v>1037</v>
      </c>
      <c r="E95" s="10"/>
      <c r="F95" s="11"/>
      <c r="G95" s="305"/>
      <c r="H95" s="10"/>
      <c r="I95" s="10"/>
      <c r="J95" s="10"/>
      <c r="K95" s="10"/>
      <c r="L95" s="10"/>
      <c r="M95" s="10"/>
      <c r="N95" s="11"/>
    </row>
    <row r="96">
      <c r="B96" s="472"/>
      <c r="C96" s="473"/>
      <c r="D96" s="480" t="s">
        <v>882</v>
      </c>
      <c r="E96" s="3"/>
      <c r="F96" s="4"/>
      <c r="G96" s="208" t="s">
        <v>1038</v>
      </c>
      <c r="H96" s="3"/>
      <c r="I96" s="3"/>
      <c r="J96" s="3"/>
      <c r="K96" s="3"/>
      <c r="L96" s="3"/>
      <c r="M96" s="3"/>
      <c r="N96" s="4"/>
    </row>
    <row r="97">
      <c r="B97" s="350"/>
      <c r="C97" s="302"/>
      <c r="D97" s="471" t="s">
        <v>376</v>
      </c>
      <c r="E97" s="10"/>
      <c r="F97" s="11"/>
      <c r="G97" s="211" t="s">
        <v>1039</v>
      </c>
      <c r="H97" s="10"/>
      <c r="I97" s="10"/>
      <c r="J97" s="10"/>
      <c r="K97" s="10"/>
      <c r="L97" s="10"/>
      <c r="M97" s="10"/>
      <c r="N97" s="11"/>
    </row>
    <row r="98">
      <c r="B98" s="472"/>
      <c r="C98" s="473"/>
      <c r="D98" s="480" t="s">
        <v>1040</v>
      </c>
      <c r="E98" s="3"/>
      <c r="F98" s="4"/>
      <c r="G98" s="208" t="s">
        <v>1041</v>
      </c>
      <c r="H98" s="3"/>
      <c r="I98" s="3"/>
      <c r="J98" s="3"/>
      <c r="K98" s="3"/>
      <c r="L98" s="3"/>
      <c r="M98" s="3"/>
      <c r="N98" s="4"/>
    </row>
    <row r="99">
      <c r="B99" s="350"/>
      <c r="C99" s="302"/>
      <c r="D99" s="494" t="s">
        <v>1042</v>
      </c>
      <c r="E99" s="495" t="str">
        <f t="array" ref="E99">if(iferror(dget(Main!$B$3:$C$6,Main!$C$3,{"Class";"Monk"}),0)&lt;4,0,if(dget(Main!$B$3:$C$6,Main!$C$3,{"Class";"Monk"})=20,"Any Distance",floor(dget(Main!$B$3:$C$6,Main!$C$3,{"Class";"Monk"})/2,1)*10))&amp;" ft"</f>
        <v>0 ft</v>
      </c>
      <c r="F99" s="11"/>
      <c r="G99" s="211" t="s">
        <v>1043</v>
      </c>
      <c r="H99" s="10"/>
      <c r="I99" s="10"/>
      <c r="J99" s="10"/>
      <c r="K99" s="10"/>
      <c r="L99" s="10"/>
      <c r="M99" s="10"/>
      <c r="N99" s="11"/>
    </row>
    <row r="100">
      <c r="B100" s="472"/>
      <c r="C100" s="473"/>
      <c r="D100" s="480" t="s">
        <v>1044</v>
      </c>
      <c r="E100" s="3"/>
      <c r="F100" s="4"/>
      <c r="G100" s="208" t="s">
        <v>1045</v>
      </c>
      <c r="H100" s="3"/>
      <c r="I100" s="3"/>
      <c r="J100" s="3"/>
      <c r="K100" s="3"/>
      <c r="L100" s="3"/>
      <c r="M100" s="3"/>
      <c r="N100" s="4"/>
    </row>
    <row r="101">
      <c r="B101" s="350"/>
      <c r="C101" s="302"/>
      <c r="D101" s="471" t="s">
        <v>585</v>
      </c>
      <c r="E101" s="10"/>
      <c r="F101" s="11"/>
      <c r="G101" s="211" t="s">
        <v>1046</v>
      </c>
      <c r="H101" s="10"/>
      <c r="I101" s="10"/>
      <c r="J101" s="10"/>
      <c r="K101" s="10"/>
      <c r="L101" s="10"/>
      <c r="M101" s="10"/>
      <c r="N101" s="11"/>
    </row>
    <row r="102">
      <c r="B102" s="472"/>
      <c r="C102" s="473"/>
      <c r="D102" s="480" t="s">
        <v>598</v>
      </c>
      <c r="E102" s="3"/>
      <c r="F102" s="4"/>
      <c r="G102" s="547"/>
      <c r="H102" s="3"/>
      <c r="I102" s="3"/>
      <c r="J102" s="3"/>
      <c r="K102" s="3"/>
      <c r="L102" s="3"/>
      <c r="M102" s="3"/>
      <c r="N102" s="4"/>
    </row>
    <row r="103">
      <c r="B103" s="350"/>
      <c r="C103" s="302"/>
      <c r="D103" s="494" t="s">
        <v>1047</v>
      </c>
      <c r="E103" s="535"/>
      <c r="F103" s="517" t="str">
        <f t="array" ref="F103">"/ "&amp;iferror(dget(Main!$B$3:$C$6,Main!$C$3,{"Class";"Monk"}),0)*2</f>
        <v>/ 0</v>
      </c>
      <c r="G103" s="211" t="s">
        <v>1048</v>
      </c>
      <c r="H103" s="10"/>
      <c r="I103" s="10"/>
      <c r="J103" s="10"/>
      <c r="K103" s="10"/>
      <c r="L103" s="10"/>
      <c r="M103" s="10"/>
      <c r="N103" s="11"/>
    </row>
    <row r="104">
      <c r="B104" s="472"/>
      <c r="C104" s="473"/>
      <c r="D104" s="480" t="s">
        <v>1049</v>
      </c>
      <c r="E104" s="3"/>
      <c r="F104" s="4"/>
      <c r="G104" s="208" t="s">
        <v>1050</v>
      </c>
      <c r="H104" s="3"/>
      <c r="I104" s="3"/>
      <c r="J104" s="3"/>
      <c r="K104" s="3"/>
      <c r="L104" s="3"/>
      <c r="M104" s="3"/>
      <c r="N104" s="4"/>
    </row>
    <row r="105">
      <c r="B105" s="350"/>
      <c r="C105" s="302"/>
      <c r="D105" s="471" t="s">
        <v>1051</v>
      </c>
      <c r="E105" s="10"/>
      <c r="F105" s="11"/>
      <c r="G105" s="548" t="s">
        <v>1052</v>
      </c>
      <c r="H105" s="10"/>
      <c r="I105" s="10"/>
      <c r="J105" s="10"/>
      <c r="K105" s="10"/>
      <c r="L105" s="10"/>
      <c r="M105" s="10"/>
      <c r="N105" s="11"/>
    </row>
    <row r="106">
      <c r="B106" s="472"/>
      <c r="C106" s="473"/>
      <c r="D106" s="480" t="s">
        <v>1053</v>
      </c>
      <c r="E106" s="3"/>
      <c r="F106" s="4"/>
      <c r="G106" s="208" t="s">
        <v>1054</v>
      </c>
      <c r="H106" s="3"/>
      <c r="I106" s="3"/>
      <c r="J106" s="3"/>
      <c r="K106" s="3"/>
      <c r="L106" s="3"/>
      <c r="M106" s="3"/>
      <c r="N106" s="4"/>
    </row>
    <row r="107">
      <c r="B107" s="350"/>
      <c r="C107" s="302"/>
      <c r="D107" s="471" t="s">
        <v>1055</v>
      </c>
      <c r="E107" s="10"/>
      <c r="F107" s="11"/>
      <c r="G107" s="211" t="s">
        <v>1056</v>
      </c>
      <c r="H107" s="10"/>
      <c r="I107" s="10"/>
      <c r="J107" s="10"/>
      <c r="K107" s="10"/>
      <c r="L107" s="10"/>
      <c r="M107" s="10"/>
      <c r="N107" s="11"/>
    </row>
    <row r="108">
      <c r="B108" s="472"/>
      <c r="C108" s="473"/>
      <c r="D108" s="549" t="s">
        <v>1057</v>
      </c>
      <c r="E108" s="3"/>
      <c r="F108" s="479" t="str">
        <f t="array" ref="F108">" "&amp;400+40*floor(iferror(dget(Main!$B$3:$C$6,Main!$C$3,{"Class";"Monk"}),0)/2,1)&amp;" ft"</f>
        <v> 400 ft</v>
      </c>
      <c r="G108" s="208" t="s">
        <v>1058</v>
      </c>
      <c r="H108" s="3"/>
      <c r="I108" s="3"/>
      <c r="J108" s="3"/>
      <c r="K108" s="3"/>
      <c r="L108" s="3"/>
      <c r="M108" s="3"/>
      <c r="N108" s="4"/>
    </row>
    <row r="109">
      <c r="B109" s="350"/>
      <c r="C109" s="302"/>
      <c r="D109" s="494" t="s">
        <v>1059</v>
      </c>
      <c r="E109" s="495" t="str">
        <f t="array" ref="E109">10+iferror(dget(Main!$B$3:$C$6,Main!$C$3,{"Class";"Monk"}),0)&amp;" SR"</f>
        <v>10 SR</v>
      </c>
      <c r="F109" s="11"/>
      <c r="G109" s="211" t="s">
        <v>1060</v>
      </c>
      <c r="H109" s="10"/>
      <c r="I109" s="10"/>
      <c r="J109" s="10"/>
      <c r="K109" s="10"/>
      <c r="L109" s="10"/>
      <c r="M109" s="10"/>
      <c r="N109" s="11"/>
    </row>
    <row r="110">
      <c r="B110" s="472"/>
      <c r="C110" s="473"/>
      <c r="D110" s="478" t="s">
        <v>1061</v>
      </c>
      <c r="E110" s="550" t="str">
        <f t="array" ref="E110">" "&amp;10+floor(iferror(dget(Main!$B$3:$C$6,Main!$C$3,{"Class";"Monk"}),0)/2,1)+Main!$Z$8</f>
        <v> 10</v>
      </c>
      <c r="F110" s="4"/>
      <c r="G110" s="208" t="s">
        <v>1062</v>
      </c>
      <c r="H110" s="3"/>
      <c r="I110" s="3"/>
      <c r="J110" s="3"/>
      <c r="K110" s="3"/>
      <c r="L110" s="3"/>
      <c r="M110" s="3"/>
      <c r="N110" s="4"/>
    </row>
    <row r="111">
      <c r="B111" s="350"/>
      <c r="C111" s="302"/>
      <c r="D111" s="471" t="s">
        <v>1063</v>
      </c>
      <c r="E111" s="10"/>
      <c r="F111" s="11"/>
      <c r="G111" s="211" t="s">
        <v>1064</v>
      </c>
      <c r="H111" s="10"/>
      <c r="I111" s="10"/>
      <c r="J111" s="10"/>
      <c r="K111" s="10"/>
      <c r="L111" s="10"/>
      <c r="M111" s="10"/>
      <c r="N111" s="11"/>
    </row>
    <row r="112">
      <c r="B112" s="472"/>
      <c r="C112" s="473"/>
      <c r="D112" s="480" t="s">
        <v>1015</v>
      </c>
      <c r="E112" s="3"/>
      <c r="F112" s="4"/>
      <c r="G112" s="208" t="s">
        <v>1065</v>
      </c>
      <c r="H112" s="3"/>
      <c r="I112" s="3"/>
      <c r="J112" s="3"/>
      <c r="K112" s="3"/>
      <c r="L112" s="3"/>
      <c r="M112" s="3"/>
      <c r="N112" s="4"/>
    </row>
    <row r="113">
      <c r="B113" s="350"/>
      <c r="C113" s="302"/>
      <c r="D113" s="471" t="s">
        <v>1066</v>
      </c>
      <c r="E113" s="10"/>
      <c r="F113" s="11"/>
      <c r="G113" s="211" t="s">
        <v>1067</v>
      </c>
      <c r="H113" s="10"/>
      <c r="I113" s="10"/>
      <c r="J113" s="10"/>
      <c r="K113" s="10"/>
      <c r="L113" s="10"/>
      <c r="M113" s="10"/>
      <c r="N113" s="11"/>
    </row>
    <row r="114">
      <c r="B114" s="472"/>
      <c r="C114" s="473"/>
      <c r="D114" s="551" t="s">
        <v>1068</v>
      </c>
      <c r="E114" s="499"/>
      <c r="F114" s="479" t="str">
        <f t="array" ref="F114">"/ "&amp;iferror(dget(Main!$B$3:$C$6,Main!$C$3,{"Class";"Monk"}),0)&amp;" rounds"</f>
        <v>/ 0 rounds</v>
      </c>
      <c r="G114" s="208" t="s">
        <v>1069</v>
      </c>
      <c r="H114" s="3"/>
      <c r="I114" s="3"/>
      <c r="J114" s="3"/>
      <c r="K114" s="3"/>
      <c r="L114" s="3"/>
      <c r="M114" s="3"/>
      <c r="N114" s="4"/>
    </row>
    <row r="115">
      <c r="B115" s="500"/>
      <c r="C115" s="501"/>
      <c r="D115" s="552" t="s">
        <v>1070</v>
      </c>
      <c r="E115" s="552" t="s">
        <v>1071</v>
      </c>
      <c r="F115" s="504"/>
      <c r="G115" s="505" t="s">
        <v>1072</v>
      </c>
      <c r="H115" s="503"/>
      <c r="I115" s="503"/>
      <c r="J115" s="503"/>
      <c r="K115" s="503"/>
      <c r="L115" s="503"/>
      <c r="M115" s="503"/>
      <c r="N115" s="504"/>
    </row>
    <row r="116">
      <c r="B116" s="506" t="s">
        <v>843</v>
      </c>
      <c r="C116" s="473"/>
      <c r="D116" s="544" t="s">
        <v>880</v>
      </c>
      <c r="E116" s="3"/>
      <c r="F116" s="4"/>
      <c r="G116" s="532" t="s">
        <v>1073</v>
      </c>
      <c r="H116" s="221"/>
      <c r="I116" s="221"/>
      <c r="J116" s="221"/>
      <c r="K116" s="221"/>
      <c r="L116" s="221"/>
      <c r="M116" s="221"/>
      <c r="N116" s="222"/>
    </row>
    <row r="117">
      <c r="B117" s="350"/>
      <c r="C117" s="302"/>
      <c r="D117" s="553" t="s">
        <v>1074</v>
      </c>
      <c r="E117" s="512">
        <f t="array" ref="E117">iferror(dget(Main!$B$3:$C$6,Main!$C$3,{"Class";"Paladin"}),0)</f>
        <v>0</v>
      </c>
      <c r="F117" s="174"/>
      <c r="G117" s="211" t="s">
        <v>1075</v>
      </c>
      <c r="H117" s="10"/>
      <c r="I117" s="10"/>
      <c r="J117" s="10"/>
      <c r="K117" s="10"/>
      <c r="L117" s="10"/>
      <c r="M117" s="10"/>
      <c r="N117" s="11"/>
    </row>
    <row r="118">
      <c r="B118" s="472"/>
      <c r="C118" s="473"/>
      <c r="D118" s="549" t="s">
        <v>1076</v>
      </c>
      <c r="E118" s="550" t="str">
        <f t="array" ref="E118">" "&amp;iferror(dget(Main!$B$3:$C$6,Main!$C$3,{"Class";"Paladin"}),0)*10&amp;" minutes"</f>
        <v> 0 minutes</v>
      </c>
      <c r="F118" s="4"/>
      <c r="G118" s="208" t="s">
        <v>1077</v>
      </c>
      <c r="H118" s="3"/>
      <c r="I118" s="3"/>
      <c r="J118" s="3"/>
      <c r="K118" s="3"/>
      <c r="L118" s="3"/>
      <c r="M118" s="3"/>
      <c r="N118" s="4"/>
    </row>
    <row r="119">
      <c r="B119" s="350"/>
      <c r="C119" s="302"/>
      <c r="D119" s="494" t="s">
        <v>1078</v>
      </c>
      <c r="E119" s="554"/>
      <c r="F119" s="555" t="str">
        <f t="array" ref="F119">"/ "&amp;1+floor(iferror(dget(Main!$B$3:$C$6,Main!$C$3,{"Class";"Paladin"}),0)/5,1)</f>
        <v>/ 1</v>
      </c>
      <c r="G119" s="556" t="s">
        <v>1079</v>
      </c>
      <c r="H119" s="10"/>
      <c r="I119" s="10"/>
      <c r="J119" s="10"/>
      <c r="K119" s="10"/>
      <c r="L119" s="10"/>
      <c r="M119" s="10"/>
      <c r="N119" s="11"/>
    </row>
    <row r="120">
      <c r="B120" s="472"/>
      <c r="C120" s="473"/>
      <c r="D120" s="480" t="s">
        <v>379</v>
      </c>
      <c r="E120" s="3"/>
      <c r="F120" s="4"/>
      <c r="G120" s="557" t="s">
        <v>1080</v>
      </c>
      <c r="H120" s="3"/>
      <c r="I120" s="3"/>
      <c r="J120" s="3"/>
      <c r="K120" s="3"/>
      <c r="L120" s="3"/>
      <c r="M120" s="3"/>
      <c r="N120" s="4"/>
    </row>
    <row r="121">
      <c r="B121" s="350"/>
      <c r="C121" s="302"/>
      <c r="D121" s="494" t="s">
        <v>1081</v>
      </c>
      <c r="E121" s="475"/>
      <c r="F121" s="517" t="str">
        <f t="array" ref="F121">"/ "&amp;iferror(dget(Main!$B$3:$C$6,Main!$C$3,{"Class";"Paladin"}),0)*max($Z$8,0)</f>
        <v>/ 0</v>
      </c>
      <c r="G121" s="211" t="s">
        <v>1082</v>
      </c>
      <c r="H121" s="10"/>
      <c r="I121" s="10"/>
      <c r="J121" s="10"/>
      <c r="K121" s="10"/>
      <c r="L121" s="10"/>
      <c r="M121" s="10"/>
      <c r="N121" s="11"/>
    </row>
    <row r="122">
      <c r="B122" s="472"/>
      <c r="C122" s="473"/>
      <c r="D122" s="538" t="s">
        <v>1083</v>
      </c>
      <c r="E122" s="3"/>
      <c r="F122" s="3"/>
      <c r="G122" s="208" t="s">
        <v>1084</v>
      </c>
      <c r="H122" s="3"/>
      <c r="I122" s="3"/>
      <c r="J122" s="3"/>
      <c r="K122" s="3"/>
      <c r="L122" s="3"/>
      <c r="M122" s="3"/>
      <c r="N122" s="4"/>
    </row>
    <row r="123">
      <c r="B123" s="350"/>
      <c r="C123" s="302"/>
      <c r="D123" s="471" t="s">
        <v>1085</v>
      </c>
      <c r="E123" s="10"/>
      <c r="F123" s="11"/>
      <c r="G123" s="211" t="s">
        <v>1086</v>
      </c>
      <c r="H123" s="10"/>
      <c r="I123" s="10"/>
      <c r="J123" s="10"/>
      <c r="K123" s="10"/>
      <c r="L123" s="10"/>
      <c r="M123" s="10"/>
      <c r="N123" s="11"/>
    </row>
    <row r="124">
      <c r="B124" s="472"/>
      <c r="C124" s="473"/>
      <c r="D124" s="516" t="s">
        <v>936</v>
      </c>
      <c r="E124" s="349"/>
      <c r="F124" s="479" t="str">
        <f>" "&amp;3+Main!$Z$9</f>
        <v> 3</v>
      </c>
      <c r="G124" s="208" t="s">
        <v>1087</v>
      </c>
      <c r="H124" s="3"/>
      <c r="I124" s="3"/>
      <c r="J124" s="3"/>
      <c r="K124" s="3"/>
      <c r="L124" s="3"/>
      <c r="M124" s="3"/>
      <c r="N124" s="4"/>
    </row>
    <row r="125">
      <c r="B125" s="350"/>
      <c r="C125" s="302"/>
      <c r="D125" s="558" t="s">
        <v>904</v>
      </c>
      <c r="E125" s="10"/>
      <c r="F125" s="10"/>
      <c r="G125" s="211" t="s">
        <v>1088</v>
      </c>
      <c r="H125" s="10"/>
      <c r="I125" s="10"/>
      <c r="J125" s="10"/>
      <c r="K125" s="10"/>
      <c r="L125" s="10"/>
      <c r="M125" s="10"/>
      <c r="N125" s="11"/>
    </row>
    <row r="126">
      <c r="B126" s="472"/>
      <c r="C126" s="473"/>
      <c r="D126" s="470" t="s">
        <v>1089</v>
      </c>
      <c r="E126" s="3"/>
      <c r="F126" s="4"/>
      <c r="G126" s="208" t="s">
        <v>1090</v>
      </c>
      <c r="H126" s="3"/>
      <c r="I126" s="3"/>
      <c r="J126" s="3"/>
      <c r="K126" s="3"/>
      <c r="L126" s="3"/>
      <c r="M126" s="3"/>
      <c r="N126" s="4"/>
    </row>
    <row r="127">
      <c r="B127" s="350"/>
      <c r="C127" s="302"/>
      <c r="D127" s="475" t="s">
        <v>938</v>
      </c>
      <c r="E127" s="10"/>
      <c r="F127" s="517" t="str">
        <f>" 1d20+"&amp;Main!$Z$9+if(Skills!$I$42&gt;=5,2,0)</f>
        <v> 1d20+0</v>
      </c>
      <c r="G127" s="305"/>
      <c r="H127" s="10"/>
      <c r="I127" s="10"/>
      <c r="J127" s="10"/>
      <c r="K127" s="10"/>
      <c r="L127" s="10"/>
      <c r="M127" s="10"/>
      <c r="N127" s="11"/>
    </row>
    <row r="128">
      <c r="B128" s="472"/>
      <c r="C128" s="473"/>
      <c r="D128" s="559" t="s">
        <v>939</v>
      </c>
      <c r="E128" s="222"/>
      <c r="F128" s="560" t="str">
        <f t="array" ref="F128">" 2d6+"&amp;Main!$Z$9+iferror(dget(Main!$B$3:$C$6,Main!$C$3,{"Class";"Paladin"}),0)-3</f>
        <v> 2d6+-3</v>
      </c>
      <c r="G128" s="306"/>
      <c r="H128" s="3"/>
      <c r="I128" s="3"/>
      <c r="J128" s="3"/>
      <c r="K128" s="3"/>
      <c r="L128" s="3"/>
      <c r="M128" s="3"/>
      <c r="N128" s="4"/>
    </row>
    <row r="129">
      <c r="B129" s="350"/>
      <c r="C129" s="302"/>
      <c r="D129" s="561" t="s">
        <v>1091</v>
      </c>
      <c r="E129" s="562"/>
      <c r="F129" s="563" t="str">
        <f t="array" ref="F129">floor(1+max((iferror(dget(Main!$B$3:$C$6,Main!$C$3,{"Class";"Paladin"}),0)-6),-1)/3,1)&amp;" per week"</f>
        <v>0 per week</v>
      </c>
      <c r="G129" s="211" t="s">
        <v>1092</v>
      </c>
      <c r="H129" s="10"/>
      <c r="I129" s="10"/>
      <c r="J129" s="10"/>
      <c r="K129" s="10"/>
      <c r="L129" s="10"/>
      <c r="M129" s="10"/>
      <c r="N129" s="11"/>
    </row>
    <row r="130">
      <c r="B130" s="472"/>
      <c r="C130" s="473"/>
      <c r="D130" s="544" t="s">
        <v>1093</v>
      </c>
      <c r="E130" s="3"/>
      <c r="F130" s="3"/>
      <c r="G130" s="208" t="s">
        <v>1094</v>
      </c>
      <c r="H130" s="3"/>
      <c r="I130" s="3"/>
      <c r="J130" s="3"/>
      <c r="K130" s="3"/>
      <c r="L130" s="3"/>
      <c r="M130" s="3"/>
      <c r="N130" s="4"/>
    </row>
    <row r="131">
      <c r="B131" s="500"/>
      <c r="C131" s="501"/>
      <c r="D131" s="529" t="s">
        <v>1095</v>
      </c>
      <c r="E131" s="503"/>
      <c r="F131" s="504"/>
      <c r="G131" s="505" t="s">
        <v>1096</v>
      </c>
      <c r="H131" s="503"/>
      <c r="I131" s="503"/>
      <c r="J131" s="503"/>
      <c r="K131" s="503"/>
      <c r="L131" s="503"/>
      <c r="M131" s="503"/>
      <c r="N131" s="504"/>
    </row>
    <row r="132">
      <c r="B132" s="486" t="s">
        <v>846</v>
      </c>
      <c r="C132" s="473"/>
      <c r="D132" s="544" t="s">
        <v>880</v>
      </c>
      <c r="E132" s="3"/>
      <c r="F132" s="4"/>
      <c r="G132" s="532" t="s">
        <v>1097</v>
      </c>
      <c r="H132" s="221"/>
      <c r="I132" s="221"/>
      <c r="J132" s="221"/>
      <c r="K132" s="221"/>
      <c r="L132" s="221"/>
      <c r="M132" s="221"/>
      <c r="N132" s="222"/>
    </row>
    <row r="133">
      <c r="B133" s="350"/>
      <c r="C133" s="302"/>
      <c r="D133" s="553" t="s">
        <v>1098</v>
      </c>
      <c r="E133" s="564" t="s">
        <v>1099</v>
      </c>
      <c r="F133" s="174"/>
      <c r="G133" s="565" t="s">
        <v>1100</v>
      </c>
      <c r="H133" s="173"/>
      <c r="I133" s="173"/>
      <c r="J133" s="173"/>
      <c r="K133" s="173"/>
      <c r="L133" s="173"/>
      <c r="M133" s="173"/>
      <c r="N133" s="174"/>
    </row>
    <row r="134">
      <c r="B134" s="472"/>
      <c r="C134" s="473"/>
      <c r="D134" s="480" t="s">
        <v>1101</v>
      </c>
      <c r="E134" s="3"/>
      <c r="F134" s="4"/>
      <c r="G134" s="557" t="s">
        <v>1102</v>
      </c>
      <c r="H134" s="3"/>
      <c r="I134" s="3"/>
      <c r="J134" s="3"/>
      <c r="K134" s="3"/>
      <c r="L134" s="3"/>
      <c r="M134" s="3"/>
      <c r="N134" s="4"/>
    </row>
    <row r="135">
      <c r="B135" s="350"/>
      <c r="C135" s="302"/>
      <c r="D135" s="494" t="s">
        <v>996</v>
      </c>
      <c r="E135" s="495" t="str">
        <f t="array" ref="E135">"1d20+"&amp;iferror(dget(Main!B$3:C$6,Main!C$3,{"Class";"Ranger"}),0)+$Z$8+if(Skills!$I$29&gt;=5,2,0)</f>
        <v>1d20+0</v>
      </c>
      <c r="F135" s="11"/>
      <c r="G135" s="556" t="s">
        <v>1103</v>
      </c>
      <c r="H135" s="10"/>
      <c r="I135" s="10"/>
      <c r="J135" s="10"/>
      <c r="K135" s="10"/>
      <c r="L135" s="10"/>
      <c r="M135" s="10"/>
      <c r="N135" s="11"/>
    </row>
    <row r="136">
      <c r="B136" s="472"/>
      <c r="C136" s="473"/>
      <c r="D136" s="480" t="s">
        <v>1104</v>
      </c>
      <c r="E136" s="3"/>
      <c r="F136" s="4"/>
      <c r="G136" s="557" t="s">
        <v>1105</v>
      </c>
      <c r="H136" s="3"/>
      <c r="I136" s="3"/>
      <c r="J136" s="3"/>
      <c r="K136" s="3"/>
      <c r="L136" s="3"/>
      <c r="M136" s="3"/>
      <c r="N136" s="4"/>
    </row>
    <row r="137">
      <c r="B137" s="350"/>
      <c r="C137" s="302"/>
      <c r="D137" s="471" t="s">
        <v>1106</v>
      </c>
      <c r="E137" s="10"/>
      <c r="F137" s="11"/>
      <c r="G137" s="566"/>
      <c r="H137" s="10"/>
      <c r="I137" s="10"/>
      <c r="J137" s="10"/>
      <c r="K137" s="10"/>
      <c r="L137" s="10"/>
      <c r="M137" s="10"/>
      <c r="N137" s="11"/>
    </row>
    <row r="138">
      <c r="B138" s="472"/>
      <c r="C138" s="473"/>
      <c r="D138" s="538" t="s">
        <v>1107</v>
      </c>
      <c r="E138" s="3"/>
      <c r="F138" s="3"/>
      <c r="G138" s="557" t="s">
        <v>1108</v>
      </c>
      <c r="H138" s="3"/>
      <c r="I138" s="3"/>
      <c r="J138" s="3"/>
      <c r="K138" s="3"/>
      <c r="L138" s="3"/>
      <c r="M138" s="3"/>
      <c r="N138" s="4"/>
    </row>
    <row r="139">
      <c r="B139" s="350"/>
      <c r="C139" s="302"/>
      <c r="D139" s="498" t="s">
        <v>992</v>
      </c>
      <c r="E139" s="10"/>
      <c r="F139" s="11"/>
      <c r="G139" s="211" t="s">
        <v>1109</v>
      </c>
      <c r="H139" s="10"/>
      <c r="I139" s="10"/>
      <c r="J139" s="10"/>
      <c r="K139" s="10"/>
      <c r="L139" s="10"/>
      <c r="M139" s="10"/>
      <c r="N139" s="11"/>
    </row>
    <row r="140">
      <c r="B140" s="472"/>
      <c r="C140" s="473"/>
      <c r="D140" s="544" t="s">
        <v>904</v>
      </c>
      <c r="E140" s="3"/>
      <c r="F140" s="3"/>
      <c r="G140" s="208" t="s">
        <v>1110</v>
      </c>
      <c r="H140" s="3"/>
      <c r="I140" s="3"/>
      <c r="J140" s="3"/>
      <c r="K140" s="3"/>
      <c r="L140" s="3"/>
      <c r="M140" s="3"/>
      <c r="N140" s="4"/>
    </row>
    <row r="141">
      <c r="B141" s="350"/>
      <c r="C141" s="302"/>
      <c r="D141" s="511" t="s">
        <v>1111</v>
      </c>
      <c r="E141" s="512" t="s">
        <v>1112</v>
      </c>
      <c r="F141" s="174"/>
      <c r="G141" s="556"/>
      <c r="H141" s="10"/>
      <c r="I141" s="10"/>
      <c r="J141" s="10"/>
      <c r="K141" s="10"/>
      <c r="L141" s="10"/>
      <c r="M141" s="10"/>
      <c r="N141" s="11"/>
    </row>
    <row r="142">
      <c r="B142" s="472"/>
      <c r="C142" s="473"/>
      <c r="D142" s="480" t="s">
        <v>1113</v>
      </c>
      <c r="E142" s="3"/>
      <c r="F142" s="4"/>
      <c r="G142" s="557" t="s">
        <v>1114</v>
      </c>
      <c r="H142" s="3"/>
      <c r="I142" s="3"/>
      <c r="J142" s="3"/>
      <c r="K142" s="3"/>
      <c r="L142" s="3"/>
      <c r="M142" s="3"/>
      <c r="N142" s="4"/>
    </row>
    <row r="143">
      <c r="B143" s="350"/>
      <c r="C143" s="302"/>
      <c r="D143" s="492" t="s">
        <v>1115</v>
      </c>
      <c r="E143" s="173"/>
      <c r="F143" s="174"/>
      <c r="G143" s="556"/>
      <c r="H143" s="10"/>
      <c r="I143" s="10"/>
      <c r="J143" s="10"/>
      <c r="K143" s="10"/>
      <c r="L143" s="10"/>
      <c r="M143" s="10"/>
      <c r="N143" s="11"/>
    </row>
    <row r="144">
      <c r="B144" s="472"/>
      <c r="C144" s="473"/>
      <c r="D144" s="480" t="s">
        <v>998</v>
      </c>
      <c r="E144" s="3"/>
      <c r="F144" s="4"/>
      <c r="G144" s="557" t="s">
        <v>1116</v>
      </c>
      <c r="H144" s="3"/>
      <c r="I144" s="3"/>
      <c r="J144" s="3"/>
      <c r="K144" s="3"/>
      <c r="L144" s="3"/>
      <c r="M144" s="3"/>
      <c r="N144" s="4"/>
    </row>
    <row r="145">
      <c r="B145" s="350"/>
      <c r="C145" s="302"/>
      <c r="D145" s="492" t="s">
        <v>1117</v>
      </c>
      <c r="E145" s="173"/>
      <c r="F145" s="174"/>
      <c r="G145" s="556" t="s">
        <v>1118</v>
      </c>
      <c r="H145" s="10"/>
      <c r="I145" s="10"/>
      <c r="J145" s="10"/>
      <c r="K145" s="10"/>
      <c r="L145" s="10"/>
      <c r="M145" s="10"/>
      <c r="N145" s="11"/>
    </row>
    <row r="146">
      <c r="B146" s="472"/>
      <c r="C146" s="473"/>
      <c r="D146" s="480" t="s">
        <v>1033</v>
      </c>
      <c r="E146" s="3"/>
      <c r="F146" s="4"/>
      <c r="G146" s="557" t="s">
        <v>1119</v>
      </c>
      <c r="H146" s="3"/>
      <c r="I146" s="3"/>
      <c r="J146" s="3"/>
      <c r="K146" s="3"/>
      <c r="L146" s="3"/>
      <c r="M146" s="3"/>
      <c r="N146" s="4"/>
    </row>
    <row r="147">
      <c r="B147" s="350"/>
      <c r="C147" s="302"/>
      <c r="D147" s="511" t="s">
        <v>1120</v>
      </c>
      <c r="E147" s="512" t="s">
        <v>1121</v>
      </c>
      <c r="F147" s="174"/>
      <c r="G147" s="556"/>
      <c r="H147" s="10"/>
      <c r="I147" s="10"/>
      <c r="J147" s="10"/>
      <c r="K147" s="10"/>
      <c r="L147" s="10"/>
      <c r="M147" s="10"/>
      <c r="N147" s="11"/>
    </row>
    <row r="148">
      <c r="B148" s="472"/>
      <c r="C148" s="473"/>
      <c r="D148" s="480" t="s">
        <v>1122</v>
      </c>
      <c r="E148" s="3"/>
      <c r="F148" s="4"/>
      <c r="G148" s="557" t="s">
        <v>1123</v>
      </c>
      <c r="H148" s="3"/>
      <c r="I148" s="3"/>
      <c r="J148" s="3"/>
      <c r="K148" s="3"/>
      <c r="L148" s="3"/>
      <c r="M148" s="3"/>
      <c r="N148" s="4"/>
    </row>
    <row r="149">
      <c r="B149" s="350"/>
      <c r="C149" s="302"/>
      <c r="D149" s="492" t="s">
        <v>1124</v>
      </c>
      <c r="E149" s="173"/>
      <c r="F149" s="174"/>
      <c r="G149" s="556"/>
      <c r="H149" s="10"/>
      <c r="I149" s="10"/>
      <c r="J149" s="10"/>
      <c r="K149" s="10"/>
      <c r="L149" s="10"/>
      <c r="M149" s="10"/>
      <c r="N149" s="11"/>
    </row>
    <row r="150">
      <c r="B150" s="472"/>
      <c r="C150" s="473"/>
      <c r="D150" s="480" t="s">
        <v>1125</v>
      </c>
      <c r="E150" s="3"/>
      <c r="F150" s="4"/>
      <c r="G150" s="557" t="s">
        <v>1126</v>
      </c>
      <c r="H150" s="3"/>
      <c r="I150" s="3"/>
      <c r="J150" s="3"/>
      <c r="K150" s="3"/>
      <c r="L150" s="3"/>
      <c r="M150" s="3"/>
      <c r="N150" s="4"/>
    </row>
    <row r="151">
      <c r="B151" s="350"/>
      <c r="C151" s="302"/>
      <c r="D151" s="511" t="s">
        <v>1127</v>
      </c>
      <c r="E151" s="512" t="s">
        <v>1128</v>
      </c>
      <c r="F151" s="174"/>
      <c r="G151" s="556"/>
      <c r="H151" s="10"/>
      <c r="I151" s="10"/>
      <c r="J151" s="10"/>
      <c r="K151" s="10"/>
      <c r="L151" s="10"/>
      <c r="M151" s="10"/>
      <c r="N151" s="11"/>
    </row>
    <row r="152">
      <c r="B152" s="472"/>
      <c r="C152" s="473"/>
      <c r="D152" s="480" t="s">
        <v>1129</v>
      </c>
      <c r="E152" s="3"/>
      <c r="F152" s="4"/>
      <c r="G152" s="557" t="s">
        <v>1130</v>
      </c>
      <c r="H152" s="3"/>
      <c r="I152" s="3"/>
      <c r="J152" s="3"/>
      <c r="K152" s="3"/>
      <c r="L152" s="3"/>
      <c r="M152" s="3"/>
      <c r="N152" s="4"/>
    </row>
    <row r="153">
      <c r="B153" s="500"/>
      <c r="C153" s="501"/>
      <c r="D153" s="511" t="s">
        <v>1131</v>
      </c>
      <c r="E153" s="512" t="s">
        <v>1132</v>
      </c>
      <c r="F153" s="174"/>
      <c r="G153" s="556"/>
      <c r="H153" s="10"/>
      <c r="I153" s="10"/>
      <c r="J153" s="10"/>
      <c r="K153" s="10"/>
      <c r="L153" s="10"/>
      <c r="M153" s="10"/>
      <c r="N153" s="11"/>
    </row>
    <row r="154">
      <c r="B154" s="506" t="s">
        <v>847</v>
      </c>
      <c r="C154" s="473"/>
      <c r="D154" s="544" t="s">
        <v>880</v>
      </c>
      <c r="E154" s="3"/>
      <c r="F154" s="4"/>
      <c r="G154" s="532" t="s">
        <v>1133</v>
      </c>
      <c r="H154" s="221"/>
      <c r="I154" s="221"/>
      <c r="J154" s="221"/>
      <c r="K154" s="221"/>
      <c r="L154" s="221"/>
      <c r="M154" s="221"/>
      <c r="N154" s="222"/>
    </row>
    <row r="155">
      <c r="B155" s="350"/>
      <c r="C155" s="302"/>
      <c r="D155" s="553" t="s">
        <v>432</v>
      </c>
      <c r="E155" s="512" t="str">
        <f t="array" ref="E155">1+floor((iferror(dget(Main!$B$3:$C$6,Main!$C$3,{"Class";"Rogue"}),0)-1)/2,1)&amp;"d6"</f>
        <v>0d6</v>
      </c>
      <c r="F155" s="174"/>
      <c r="G155" s="211" t="s">
        <v>1134</v>
      </c>
      <c r="H155" s="10"/>
      <c r="I155" s="10"/>
      <c r="J155" s="10"/>
      <c r="K155" s="10"/>
      <c r="L155" s="10"/>
      <c r="M155" s="10"/>
      <c r="N155" s="11"/>
    </row>
    <row r="156">
      <c r="B156" s="472"/>
      <c r="C156" s="473"/>
      <c r="D156" s="538" t="s">
        <v>1135</v>
      </c>
      <c r="E156" s="3"/>
      <c r="F156" s="4"/>
      <c r="G156" s="208" t="s">
        <v>1136</v>
      </c>
      <c r="H156" s="3"/>
      <c r="I156" s="3"/>
      <c r="J156" s="3"/>
      <c r="K156" s="3"/>
      <c r="L156" s="3"/>
      <c r="M156" s="3"/>
      <c r="N156" s="4"/>
    </row>
    <row r="157">
      <c r="B157" s="350"/>
      <c r="C157" s="302"/>
      <c r="D157" s="471" t="s">
        <v>1033</v>
      </c>
      <c r="E157" s="10"/>
      <c r="F157" s="11"/>
      <c r="G157" s="211" t="s">
        <v>1137</v>
      </c>
      <c r="H157" s="10"/>
      <c r="I157" s="10"/>
      <c r="J157" s="10"/>
      <c r="K157" s="10"/>
      <c r="L157" s="10"/>
      <c r="M157" s="10"/>
      <c r="N157" s="11"/>
    </row>
    <row r="158">
      <c r="B158" s="472"/>
      <c r="C158" s="473"/>
      <c r="D158" s="477" t="s">
        <v>367</v>
      </c>
      <c r="E158" s="567">
        <f t="array" ref="E158">FLOOR(iferror(dget(Main!$B$3:$C$6,Main!$C$3,{"Class";"Rogue"}),0)/3,1)</f>
        <v>0</v>
      </c>
      <c r="F158" s="4"/>
      <c r="G158" s="208" t="s">
        <v>1138</v>
      </c>
      <c r="H158" s="3"/>
      <c r="I158" s="3"/>
      <c r="J158" s="3"/>
      <c r="K158" s="3"/>
      <c r="L158" s="3"/>
      <c r="M158" s="3"/>
      <c r="N158" s="4"/>
    </row>
    <row r="159">
      <c r="B159" s="350"/>
      <c r="C159" s="302"/>
      <c r="D159" s="471" t="s">
        <v>889</v>
      </c>
      <c r="E159" s="10"/>
      <c r="F159" s="11"/>
      <c r="G159" s="211" t="s">
        <v>1139</v>
      </c>
      <c r="H159" s="10"/>
      <c r="I159" s="10"/>
      <c r="J159" s="10"/>
      <c r="K159" s="10"/>
      <c r="L159" s="10"/>
      <c r="M159" s="10"/>
      <c r="N159" s="11"/>
    </row>
    <row r="160">
      <c r="B160" s="472"/>
      <c r="C160" s="473"/>
      <c r="D160" s="480" t="s">
        <v>892</v>
      </c>
      <c r="E160" s="3"/>
      <c r="F160" s="4"/>
      <c r="G160" s="208" t="s">
        <v>1140</v>
      </c>
      <c r="H160" s="3"/>
      <c r="I160" s="3"/>
      <c r="J160" s="3"/>
      <c r="K160" s="3"/>
      <c r="L160" s="3"/>
      <c r="M160" s="3"/>
      <c r="N160" s="4"/>
    </row>
    <row r="161">
      <c r="B161" s="350"/>
      <c r="C161" s="302"/>
      <c r="D161" s="533" t="s">
        <v>1141</v>
      </c>
      <c r="E161" s="10"/>
      <c r="F161" s="10"/>
      <c r="G161" s="211" t="s">
        <v>1142</v>
      </c>
      <c r="H161" s="10"/>
      <c r="I161" s="10"/>
      <c r="J161" s="10"/>
      <c r="K161" s="10"/>
      <c r="L161" s="10"/>
      <c r="M161" s="10"/>
      <c r="N161" s="11"/>
    </row>
    <row r="162">
      <c r="B162" s="472"/>
      <c r="C162" s="473"/>
      <c r="D162" s="480" t="s">
        <v>1143</v>
      </c>
      <c r="E162" s="3"/>
      <c r="F162" s="4"/>
      <c r="G162" s="208" t="s">
        <v>1144</v>
      </c>
      <c r="H162" s="3"/>
      <c r="I162" s="3"/>
      <c r="J162" s="3"/>
      <c r="K162" s="3"/>
      <c r="L162" s="3"/>
      <c r="M162" s="3"/>
      <c r="N162" s="4"/>
    </row>
    <row r="163">
      <c r="B163" s="350"/>
      <c r="C163" s="302"/>
      <c r="D163" s="533" t="s">
        <v>1049</v>
      </c>
      <c r="E163" s="10"/>
      <c r="F163" s="11"/>
      <c r="G163" s="211" t="s">
        <v>1145</v>
      </c>
      <c r="H163" s="10"/>
      <c r="I163" s="10"/>
      <c r="J163" s="10"/>
      <c r="K163" s="10"/>
      <c r="L163" s="10"/>
      <c r="M163" s="10"/>
      <c r="N163" s="11"/>
    </row>
    <row r="164">
      <c r="B164" s="472"/>
      <c r="C164" s="473"/>
      <c r="D164" s="480" t="s">
        <v>1146</v>
      </c>
      <c r="E164" s="3"/>
      <c r="F164" s="4"/>
      <c r="G164" s="208" t="s">
        <v>1147</v>
      </c>
      <c r="H164" s="3"/>
      <c r="I164" s="3"/>
      <c r="J164" s="3"/>
      <c r="K164" s="3"/>
      <c r="L164" s="3"/>
      <c r="M164" s="3"/>
      <c r="N164" s="4"/>
    </row>
    <row r="165">
      <c r="B165" s="350"/>
      <c r="C165" s="302"/>
      <c r="D165" s="492" t="s">
        <v>1148</v>
      </c>
      <c r="E165" s="498" t="str">
        <f>3+Main!$Z$7&amp;" Skills"</f>
        <v>3 Skills</v>
      </c>
      <c r="F165" s="11"/>
      <c r="G165" s="211" t="s">
        <v>1149</v>
      </c>
      <c r="H165" s="10"/>
      <c r="I165" s="10"/>
      <c r="J165" s="10"/>
      <c r="K165" s="10"/>
      <c r="L165" s="10"/>
      <c r="M165" s="10"/>
      <c r="N165" s="11"/>
    </row>
    <row r="166">
      <c r="B166" s="472"/>
      <c r="C166" s="473"/>
      <c r="D166" s="480" t="s">
        <v>1150</v>
      </c>
      <c r="E166" s="3"/>
      <c r="F166" s="4"/>
      <c r="G166" s="208" t="s">
        <v>1151</v>
      </c>
      <c r="H166" s="3"/>
      <c r="I166" s="3"/>
      <c r="J166" s="3"/>
      <c r="K166" s="3"/>
      <c r="L166" s="3"/>
      <c r="M166" s="3"/>
      <c r="N166" s="4"/>
    </row>
    <row r="167">
      <c r="B167" s="500"/>
      <c r="C167" s="501"/>
      <c r="D167" s="568" t="s">
        <v>1152</v>
      </c>
      <c r="E167" s="569"/>
      <c r="F167" s="501"/>
      <c r="G167" s="505" t="s">
        <v>1153</v>
      </c>
      <c r="H167" s="503"/>
      <c r="I167" s="503"/>
      <c r="J167" s="503"/>
      <c r="K167" s="503"/>
      <c r="L167" s="503"/>
      <c r="M167" s="503"/>
      <c r="N167" s="504"/>
    </row>
    <row r="168">
      <c r="B168" s="570" t="s">
        <v>853</v>
      </c>
      <c r="C168" s="473"/>
      <c r="D168" s="544" t="s">
        <v>880</v>
      </c>
      <c r="E168" s="3"/>
      <c r="F168" s="4"/>
      <c r="G168" s="532" t="s">
        <v>1154</v>
      </c>
      <c r="H168" s="221"/>
      <c r="I168" s="221"/>
      <c r="J168" s="221"/>
      <c r="K168" s="221"/>
      <c r="L168" s="221"/>
      <c r="M168" s="221"/>
      <c r="N168" s="222"/>
    </row>
    <row r="169">
      <c r="B169" s="350"/>
      <c r="C169" s="302"/>
      <c r="D169" s="511" t="s">
        <v>904</v>
      </c>
      <c r="G169" s="211" t="s">
        <v>1155</v>
      </c>
      <c r="H169" s="10"/>
      <c r="I169" s="10"/>
      <c r="J169" s="10"/>
      <c r="K169" s="10"/>
      <c r="L169" s="10"/>
      <c r="M169" s="10"/>
      <c r="N169" s="11"/>
    </row>
    <row r="170">
      <c r="B170" s="472"/>
      <c r="C170" s="473"/>
      <c r="D170" s="571" t="s">
        <v>1156</v>
      </c>
      <c r="E170" s="349"/>
      <c r="F170" s="154"/>
      <c r="G170" s="485" t="s">
        <v>1157</v>
      </c>
      <c r="H170" s="349"/>
      <c r="I170" s="349"/>
      <c r="J170" s="349"/>
      <c r="K170" s="349"/>
      <c r="L170" s="349"/>
      <c r="M170" s="349"/>
      <c r="N170" s="154"/>
    </row>
    <row r="171">
      <c r="B171" s="572" t="s">
        <v>852</v>
      </c>
      <c r="C171" s="573"/>
      <c r="D171" s="574" t="s">
        <v>880</v>
      </c>
      <c r="E171" s="489"/>
      <c r="F171" s="490"/>
      <c r="G171" s="575" t="s">
        <v>1154</v>
      </c>
      <c r="H171" s="489"/>
      <c r="I171" s="489"/>
      <c r="J171" s="489"/>
      <c r="K171" s="489"/>
      <c r="L171" s="489"/>
      <c r="M171" s="489"/>
      <c r="N171" s="490"/>
    </row>
    <row r="172">
      <c r="B172" s="472"/>
      <c r="C172" s="473"/>
      <c r="D172" s="544" t="s">
        <v>904</v>
      </c>
      <c r="E172" s="3"/>
      <c r="F172" s="4"/>
      <c r="G172" s="208" t="s">
        <v>1158</v>
      </c>
      <c r="H172" s="3"/>
      <c r="I172" s="3"/>
      <c r="J172" s="3"/>
      <c r="K172" s="3"/>
      <c r="L172" s="3"/>
      <c r="M172" s="3"/>
      <c r="N172" s="4"/>
    </row>
    <row r="173">
      <c r="B173" s="350"/>
      <c r="C173" s="302"/>
      <c r="D173" s="498" t="s">
        <v>985</v>
      </c>
      <c r="E173" s="10"/>
      <c r="F173" s="11"/>
      <c r="G173" s="211" t="s">
        <v>1159</v>
      </c>
      <c r="H173" s="10"/>
      <c r="I173" s="10"/>
      <c r="J173" s="10"/>
      <c r="K173" s="10"/>
      <c r="L173" s="10"/>
      <c r="M173" s="10"/>
      <c r="N173" s="11"/>
    </row>
    <row r="174">
      <c r="B174" s="472"/>
      <c r="C174" s="473"/>
      <c r="D174" s="470" t="s">
        <v>1156</v>
      </c>
      <c r="E174" s="3"/>
      <c r="F174" s="4"/>
      <c r="G174" s="208" t="s">
        <v>1160</v>
      </c>
      <c r="H174" s="3"/>
      <c r="I174" s="3"/>
      <c r="J174" s="3"/>
      <c r="K174" s="3"/>
      <c r="L174" s="3"/>
      <c r="M174" s="3"/>
      <c r="N174" s="4"/>
    </row>
    <row r="175">
      <c r="B175" s="350"/>
      <c r="C175" s="302"/>
      <c r="D175" s="558" t="s">
        <v>1161</v>
      </c>
      <c r="E175" s="10"/>
      <c r="F175" s="10"/>
      <c r="G175" s="211" t="s">
        <v>1162</v>
      </c>
      <c r="H175" s="10"/>
      <c r="I175" s="10"/>
      <c r="J175" s="10"/>
      <c r="K175" s="10"/>
      <c r="L175" s="10"/>
      <c r="M175" s="10"/>
      <c r="N175" s="11"/>
    </row>
    <row r="176">
      <c r="B176" s="472"/>
      <c r="C176" s="473"/>
      <c r="D176" s="470" t="s">
        <v>1163</v>
      </c>
      <c r="E176" s="3"/>
      <c r="F176" s="4"/>
      <c r="G176" s="208" t="s">
        <v>1164</v>
      </c>
      <c r="H176" s="3"/>
      <c r="I176" s="3"/>
      <c r="J176" s="3"/>
      <c r="K176" s="3"/>
      <c r="L176" s="3"/>
      <c r="M176" s="3"/>
      <c r="N176" s="4"/>
    </row>
    <row r="177">
      <c r="B177" s="350"/>
      <c r="C177" s="302"/>
      <c r="D177" s="558" t="s">
        <v>1165</v>
      </c>
      <c r="E177" s="10"/>
      <c r="F177" s="11"/>
      <c r="G177" s="211" t="s">
        <v>1166</v>
      </c>
      <c r="H177" s="10"/>
      <c r="I177" s="10"/>
      <c r="J177" s="10"/>
      <c r="K177" s="10"/>
      <c r="L177" s="10"/>
      <c r="M177" s="10"/>
      <c r="N177" s="11"/>
    </row>
    <row r="178">
      <c r="B178" s="482"/>
      <c r="C178" s="483"/>
      <c r="D178" s="576" t="s">
        <v>1167</v>
      </c>
      <c r="E178" s="168"/>
      <c r="F178" s="169"/>
      <c r="G178" s="577" t="s">
        <v>1168</v>
      </c>
      <c r="H178" s="168"/>
      <c r="I178" s="168"/>
      <c r="J178" s="168"/>
      <c r="K178" s="168"/>
      <c r="L178" s="168"/>
      <c r="M178" s="168"/>
      <c r="N178" s="169"/>
    </row>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sheetData>
  <mergeCells count="348">
    <mergeCell ref="D5:F5"/>
    <mergeCell ref="G5:N5"/>
    <mergeCell ref="D6:F6"/>
    <mergeCell ref="G6:N6"/>
    <mergeCell ref="D9:F9"/>
    <mergeCell ref="G9:N9"/>
    <mergeCell ref="D10:F10"/>
    <mergeCell ref="G10:N10"/>
    <mergeCell ref="D11:F11"/>
    <mergeCell ref="G11:N11"/>
    <mergeCell ref="D12:E12"/>
    <mergeCell ref="G12:N12"/>
    <mergeCell ref="D13:F13"/>
    <mergeCell ref="G13:N13"/>
    <mergeCell ref="G7:N7"/>
    <mergeCell ref="G8:N8"/>
    <mergeCell ref="D14:F14"/>
    <mergeCell ref="G14:N14"/>
    <mergeCell ref="D15:F15"/>
    <mergeCell ref="G15:N15"/>
    <mergeCell ref="B2:N2"/>
    <mergeCell ref="B3:C3"/>
    <mergeCell ref="D3:F3"/>
    <mergeCell ref="G3:N3"/>
    <mergeCell ref="B4:C16"/>
    <mergeCell ref="D4:F4"/>
    <mergeCell ref="G4:N4"/>
    <mergeCell ref="D16:F16"/>
    <mergeCell ref="G16:N16"/>
    <mergeCell ref="G17:N17"/>
    <mergeCell ref="G18:N18"/>
    <mergeCell ref="G19:N19"/>
    <mergeCell ref="G20:N20"/>
    <mergeCell ref="G21:N21"/>
    <mergeCell ref="D23:F23"/>
    <mergeCell ref="D24:F24"/>
    <mergeCell ref="G22:N22"/>
    <mergeCell ref="G23:N23"/>
    <mergeCell ref="G24:N24"/>
    <mergeCell ref="G25:N25"/>
    <mergeCell ref="G26:N26"/>
    <mergeCell ref="G27:N27"/>
    <mergeCell ref="G28:N28"/>
    <mergeCell ref="D67:F67"/>
    <mergeCell ref="D68:F68"/>
    <mergeCell ref="D60:E60"/>
    <mergeCell ref="D61:F61"/>
    <mergeCell ref="D62:F62"/>
    <mergeCell ref="D63:F63"/>
    <mergeCell ref="D64:F64"/>
    <mergeCell ref="D65:F65"/>
    <mergeCell ref="D66:F66"/>
    <mergeCell ref="D77:F77"/>
    <mergeCell ref="D78:F78"/>
    <mergeCell ref="E69:F69"/>
    <mergeCell ref="D70:F70"/>
    <mergeCell ref="D71:F71"/>
    <mergeCell ref="D72:F72"/>
    <mergeCell ref="D74:E74"/>
    <mergeCell ref="D75:F75"/>
    <mergeCell ref="D76:F76"/>
    <mergeCell ref="G29:N29"/>
    <mergeCell ref="G30:N30"/>
    <mergeCell ref="G31:N31"/>
    <mergeCell ref="G32:N32"/>
    <mergeCell ref="G33:N33"/>
    <mergeCell ref="G34:N34"/>
    <mergeCell ref="G35:N35"/>
    <mergeCell ref="G36:N36"/>
    <mergeCell ref="G37:N37"/>
    <mergeCell ref="G38:N38"/>
    <mergeCell ref="G39:N39"/>
    <mergeCell ref="G40:N40"/>
    <mergeCell ref="G41:N41"/>
    <mergeCell ref="G42:N42"/>
    <mergeCell ref="G43:N43"/>
    <mergeCell ref="G44:N44"/>
    <mergeCell ref="G45:N45"/>
    <mergeCell ref="G46:N46"/>
    <mergeCell ref="G47:N47"/>
    <mergeCell ref="G48:N48"/>
    <mergeCell ref="G49:N49"/>
    <mergeCell ref="G50:N50"/>
    <mergeCell ref="G51:N51"/>
    <mergeCell ref="G52:N52"/>
    <mergeCell ref="G53:N53"/>
    <mergeCell ref="G54:N54"/>
    <mergeCell ref="G55:N55"/>
    <mergeCell ref="G56:N56"/>
    <mergeCell ref="G57:N57"/>
    <mergeCell ref="G58:N58"/>
    <mergeCell ref="G59:N59"/>
    <mergeCell ref="G60:N60"/>
    <mergeCell ref="G61:N61"/>
    <mergeCell ref="G62:N62"/>
    <mergeCell ref="G63:N63"/>
    <mergeCell ref="G64:N64"/>
    <mergeCell ref="G65:N65"/>
    <mergeCell ref="G66:N66"/>
    <mergeCell ref="G67:N67"/>
    <mergeCell ref="G68:N68"/>
    <mergeCell ref="G69:N69"/>
    <mergeCell ref="G70:N70"/>
    <mergeCell ref="G71:N71"/>
    <mergeCell ref="G72:N72"/>
    <mergeCell ref="G73:N73"/>
    <mergeCell ref="G74:N74"/>
    <mergeCell ref="G75:N75"/>
    <mergeCell ref="G76:N76"/>
    <mergeCell ref="G77:N77"/>
    <mergeCell ref="D87:F87"/>
    <mergeCell ref="D88:F88"/>
    <mergeCell ref="D79:F79"/>
    <mergeCell ref="D80:F80"/>
    <mergeCell ref="D81:F81"/>
    <mergeCell ref="D83:F83"/>
    <mergeCell ref="D84:F84"/>
    <mergeCell ref="D85:F85"/>
    <mergeCell ref="D86:F86"/>
    <mergeCell ref="G129:N129"/>
    <mergeCell ref="G130:N130"/>
    <mergeCell ref="G131:N131"/>
    <mergeCell ref="G132:N132"/>
    <mergeCell ref="G133:N133"/>
    <mergeCell ref="G134:N134"/>
    <mergeCell ref="G135:N135"/>
    <mergeCell ref="G136:N136"/>
    <mergeCell ref="G137:N137"/>
    <mergeCell ref="G138:N138"/>
    <mergeCell ref="G139:N139"/>
    <mergeCell ref="G140:N140"/>
    <mergeCell ref="G141:N141"/>
    <mergeCell ref="G142:N142"/>
    <mergeCell ref="G143:N143"/>
    <mergeCell ref="G144:N144"/>
    <mergeCell ref="G145:N145"/>
    <mergeCell ref="G146:N146"/>
    <mergeCell ref="G147:N147"/>
    <mergeCell ref="G148:N148"/>
    <mergeCell ref="G149:N149"/>
    <mergeCell ref="G150:N150"/>
    <mergeCell ref="G151:N151"/>
    <mergeCell ref="G152:N152"/>
    <mergeCell ref="G153:N153"/>
    <mergeCell ref="G154:N154"/>
    <mergeCell ref="G155:N155"/>
    <mergeCell ref="G156:N156"/>
    <mergeCell ref="G157:N157"/>
    <mergeCell ref="G158:N158"/>
    <mergeCell ref="G159:N159"/>
    <mergeCell ref="G160:N160"/>
    <mergeCell ref="G161:N161"/>
    <mergeCell ref="G162:N162"/>
    <mergeCell ref="G163:N163"/>
    <mergeCell ref="G171:N171"/>
    <mergeCell ref="G172:N172"/>
    <mergeCell ref="G173:N173"/>
    <mergeCell ref="G174:N174"/>
    <mergeCell ref="G175:N175"/>
    <mergeCell ref="G176:N176"/>
    <mergeCell ref="G177:N177"/>
    <mergeCell ref="G178:N178"/>
    <mergeCell ref="G164:N164"/>
    <mergeCell ref="G165:N165"/>
    <mergeCell ref="G166:N166"/>
    <mergeCell ref="G167:N167"/>
    <mergeCell ref="G168:N168"/>
    <mergeCell ref="G169:N169"/>
    <mergeCell ref="G170:N170"/>
    <mergeCell ref="G78:N78"/>
    <mergeCell ref="G79:N79"/>
    <mergeCell ref="G80:N80"/>
    <mergeCell ref="G81:N81"/>
    <mergeCell ref="G82:N82"/>
    <mergeCell ref="G83:N83"/>
    <mergeCell ref="G84:N84"/>
    <mergeCell ref="G85:N85"/>
    <mergeCell ref="G86:N86"/>
    <mergeCell ref="G87:N87"/>
    <mergeCell ref="G88:N88"/>
    <mergeCell ref="G89:N89"/>
    <mergeCell ref="G90:N92"/>
    <mergeCell ref="G93:N93"/>
    <mergeCell ref="G94:N94"/>
    <mergeCell ref="G95:N95"/>
    <mergeCell ref="G96:N96"/>
    <mergeCell ref="G97:N97"/>
    <mergeCell ref="G98:N98"/>
    <mergeCell ref="G99:N99"/>
    <mergeCell ref="G100:N100"/>
    <mergeCell ref="G101:N101"/>
    <mergeCell ref="G102:N102"/>
    <mergeCell ref="G103:N103"/>
    <mergeCell ref="G104:N104"/>
    <mergeCell ref="G105:N105"/>
    <mergeCell ref="G106:N106"/>
    <mergeCell ref="G107:N107"/>
    <mergeCell ref="G108:N108"/>
    <mergeCell ref="G109:N109"/>
    <mergeCell ref="G110:N110"/>
    <mergeCell ref="G111:N111"/>
    <mergeCell ref="G112:N112"/>
    <mergeCell ref="G113:N113"/>
    <mergeCell ref="G114:N114"/>
    <mergeCell ref="G115:N115"/>
    <mergeCell ref="G116:N116"/>
    <mergeCell ref="G117:N117"/>
    <mergeCell ref="G118:N118"/>
    <mergeCell ref="G119:N119"/>
    <mergeCell ref="G120:N120"/>
    <mergeCell ref="G121:N121"/>
    <mergeCell ref="G122:N122"/>
    <mergeCell ref="G123:N123"/>
    <mergeCell ref="G124:N124"/>
    <mergeCell ref="G125:N125"/>
    <mergeCell ref="G126:N126"/>
    <mergeCell ref="G127:N127"/>
    <mergeCell ref="G128:N128"/>
    <mergeCell ref="E118:F118"/>
    <mergeCell ref="D120:F120"/>
    <mergeCell ref="E110:F110"/>
    <mergeCell ref="D111:F111"/>
    <mergeCell ref="D112:F112"/>
    <mergeCell ref="D113:F113"/>
    <mergeCell ref="E115:F115"/>
    <mergeCell ref="D116:F116"/>
    <mergeCell ref="E117:F117"/>
    <mergeCell ref="D172:F172"/>
    <mergeCell ref="D173:F173"/>
    <mergeCell ref="D174:F174"/>
    <mergeCell ref="D175:F175"/>
    <mergeCell ref="D176:F176"/>
    <mergeCell ref="D177:F177"/>
    <mergeCell ref="B154:C167"/>
    <mergeCell ref="B168:C170"/>
    <mergeCell ref="D168:F168"/>
    <mergeCell ref="D169:F169"/>
    <mergeCell ref="D170:F170"/>
    <mergeCell ref="B171:C178"/>
    <mergeCell ref="D171:F171"/>
    <mergeCell ref="D178:F178"/>
    <mergeCell ref="E25:F25"/>
    <mergeCell ref="D27:F27"/>
    <mergeCell ref="D17:F17"/>
    <mergeCell ref="D18:F18"/>
    <mergeCell ref="D19:E19"/>
    <mergeCell ref="D20:F20"/>
    <mergeCell ref="E21:F21"/>
    <mergeCell ref="E22:F22"/>
    <mergeCell ref="D29:F29"/>
    <mergeCell ref="D30:F30"/>
    <mergeCell ref="E31:F31"/>
    <mergeCell ref="D32:F32"/>
    <mergeCell ref="D33:F33"/>
    <mergeCell ref="D34:F34"/>
    <mergeCell ref="D35:F35"/>
    <mergeCell ref="D36:E36"/>
    <mergeCell ref="D37:E37"/>
    <mergeCell ref="D38:E38"/>
    <mergeCell ref="D39:E39"/>
    <mergeCell ref="D41:F41"/>
    <mergeCell ref="D42:E42"/>
    <mergeCell ref="D43:F43"/>
    <mergeCell ref="D44:E44"/>
    <mergeCell ref="D45:F45"/>
    <mergeCell ref="D46:E46"/>
    <mergeCell ref="D47:F47"/>
    <mergeCell ref="D48:F48"/>
    <mergeCell ref="D49:F49"/>
    <mergeCell ref="D50:F50"/>
    <mergeCell ref="D51:F51"/>
    <mergeCell ref="D52:E52"/>
    <mergeCell ref="D53:E53"/>
    <mergeCell ref="D54:F54"/>
    <mergeCell ref="D55:F55"/>
    <mergeCell ref="D56:F56"/>
    <mergeCell ref="D58:F58"/>
    <mergeCell ref="D59:F59"/>
    <mergeCell ref="B17:C29"/>
    <mergeCell ref="B30:C61"/>
    <mergeCell ref="B62:C83"/>
    <mergeCell ref="B84:C85"/>
    <mergeCell ref="B86:C115"/>
    <mergeCell ref="B116:C131"/>
    <mergeCell ref="B132:C153"/>
    <mergeCell ref="D98:F98"/>
    <mergeCell ref="E99:F99"/>
    <mergeCell ref="D89:F89"/>
    <mergeCell ref="D90:F90"/>
    <mergeCell ref="D91:E91"/>
    <mergeCell ref="D93:F93"/>
    <mergeCell ref="D95:F95"/>
    <mergeCell ref="D96:F96"/>
    <mergeCell ref="D97:F97"/>
    <mergeCell ref="D108:E108"/>
    <mergeCell ref="E109:F109"/>
    <mergeCell ref="D100:F100"/>
    <mergeCell ref="D101:F101"/>
    <mergeCell ref="D102:F102"/>
    <mergeCell ref="D104:F104"/>
    <mergeCell ref="D105:F105"/>
    <mergeCell ref="D106:F106"/>
    <mergeCell ref="D107:F107"/>
    <mergeCell ref="D130:F130"/>
    <mergeCell ref="D131:F131"/>
    <mergeCell ref="D122:F122"/>
    <mergeCell ref="D123:F123"/>
    <mergeCell ref="D124:E124"/>
    <mergeCell ref="D125:F125"/>
    <mergeCell ref="D126:F126"/>
    <mergeCell ref="D127:E127"/>
    <mergeCell ref="D128:E128"/>
    <mergeCell ref="D139:F139"/>
    <mergeCell ref="D140:F140"/>
    <mergeCell ref="D132:F132"/>
    <mergeCell ref="E133:F133"/>
    <mergeCell ref="D134:F134"/>
    <mergeCell ref="E135:F135"/>
    <mergeCell ref="D136:F136"/>
    <mergeCell ref="D137:F137"/>
    <mergeCell ref="D138:F138"/>
    <mergeCell ref="D148:F148"/>
    <mergeCell ref="D149:F149"/>
    <mergeCell ref="E141:F141"/>
    <mergeCell ref="D142:F142"/>
    <mergeCell ref="D143:F143"/>
    <mergeCell ref="D144:F144"/>
    <mergeCell ref="D145:F145"/>
    <mergeCell ref="D146:F146"/>
    <mergeCell ref="E147:F147"/>
    <mergeCell ref="D157:F157"/>
    <mergeCell ref="E158:F158"/>
    <mergeCell ref="D150:F150"/>
    <mergeCell ref="E151:F151"/>
    <mergeCell ref="D152:F152"/>
    <mergeCell ref="E153:F153"/>
    <mergeCell ref="D154:F154"/>
    <mergeCell ref="E155:F155"/>
    <mergeCell ref="D156:F156"/>
    <mergeCell ref="D166:F166"/>
    <mergeCell ref="D167:F167"/>
    <mergeCell ref="D159:F159"/>
    <mergeCell ref="D160:F160"/>
    <mergeCell ref="D161:F161"/>
    <mergeCell ref="D162:F162"/>
    <mergeCell ref="D163:F163"/>
    <mergeCell ref="D164:F164"/>
    <mergeCell ref="E165:F165"/>
  </mergeCells>
  <hyperlinks>
    <hyperlink r:id="rId2" ref="D25"/>
    <hyperlink r:id="rId3" ref="D27"/>
    <hyperlink r:id="rId4" ref="D29"/>
    <hyperlink r:id="rId5" ref="D40"/>
    <hyperlink r:id="rId6" ref="D79"/>
    <hyperlink r:id="rId7" ref="D108"/>
    <hyperlink r:id="rId8" ref="D114"/>
    <hyperlink r:id="rId9" ref="D118"/>
    <hyperlink r:id="rId10" ref="D129"/>
  </hyperlinks>
  <drawing r:id="rId11"/>
  <legacyDrawing r:id="rId1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14"/>
    <col customWidth="1" min="2" max="2" width="28.0"/>
    <col customWidth="1" min="3" max="3" width="15.86"/>
    <col customWidth="1" min="4" max="4" width="26.29"/>
    <col customWidth="1" min="5" max="12" width="14.43"/>
  </cols>
  <sheetData>
    <row r="1"/>
    <row r="2">
      <c r="B2" s="467"/>
      <c r="C2" s="3"/>
      <c r="D2" s="3"/>
      <c r="E2" s="3"/>
      <c r="F2" s="3"/>
      <c r="G2" s="3"/>
      <c r="H2" s="3"/>
      <c r="I2" s="3"/>
      <c r="J2" s="3"/>
      <c r="K2" s="3"/>
      <c r="L2" s="4"/>
    </row>
    <row r="3">
      <c r="B3" s="469" t="s">
        <v>433</v>
      </c>
      <c r="C3" s="10"/>
      <c r="D3" s="11"/>
      <c r="E3" s="469" t="s">
        <v>421</v>
      </c>
      <c r="F3" s="10"/>
      <c r="G3" s="10"/>
      <c r="H3" s="10"/>
      <c r="I3" s="10"/>
      <c r="J3" s="10"/>
      <c r="K3" s="10"/>
      <c r="L3" s="11"/>
    </row>
    <row r="4">
      <c r="B4" s="470" t="s">
        <v>1169</v>
      </c>
      <c r="C4" s="3"/>
      <c r="D4" s="4"/>
      <c r="E4" s="208" t="s">
        <v>1170</v>
      </c>
      <c r="F4" s="3"/>
      <c r="G4" s="3"/>
      <c r="H4" s="3"/>
      <c r="I4" s="3"/>
      <c r="J4" s="3"/>
      <c r="K4" s="3"/>
      <c r="L4" s="4"/>
    </row>
    <row r="5">
      <c r="B5" s="498" t="s">
        <v>1171</v>
      </c>
      <c r="C5" s="10"/>
      <c r="D5" s="11"/>
      <c r="E5" s="211" t="s">
        <v>1172</v>
      </c>
      <c r="F5" s="10"/>
      <c r="G5" s="10"/>
      <c r="H5" s="10"/>
      <c r="I5" s="10"/>
      <c r="J5" s="10"/>
      <c r="K5" s="10"/>
      <c r="L5" s="11"/>
    </row>
    <row r="6">
      <c r="B6" s="470" t="s">
        <v>1173</v>
      </c>
      <c r="C6" s="3"/>
      <c r="D6" s="4"/>
      <c r="E6" s="208" t="s">
        <v>1174</v>
      </c>
      <c r="F6" s="3"/>
      <c r="G6" s="3"/>
      <c r="H6" s="3"/>
      <c r="I6" s="3"/>
      <c r="J6" s="3"/>
      <c r="K6" s="3"/>
      <c r="L6" s="4"/>
    </row>
    <row r="7">
      <c r="B7" s="498" t="s">
        <v>1175</v>
      </c>
      <c r="C7" s="10"/>
      <c r="D7" s="11"/>
      <c r="E7" s="211" t="s">
        <v>1176</v>
      </c>
      <c r="F7" s="10"/>
      <c r="G7" s="10"/>
      <c r="H7" s="10"/>
      <c r="I7" s="10"/>
      <c r="J7" s="10"/>
      <c r="K7" s="10"/>
      <c r="L7" s="11"/>
    </row>
    <row r="8">
      <c r="B8" s="470" t="s">
        <v>1177</v>
      </c>
      <c r="C8" s="3"/>
      <c r="D8" s="4"/>
      <c r="E8" s="208" t="s">
        <v>1178</v>
      </c>
      <c r="F8" s="3"/>
      <c r="G8" s="3"/>
      <c r="H8" s="3"/>
      <c r="I8" s="3"/>
      <c r="J8" s="3"/>
      <c r="K8" s="3"/>
      <c r="L8" s="4"/>
    </row>
    <row r="9">
      <c r="B9" s="498" t="s">
        <v>1179</v>
      </c>
      <c r="C9" s="10"/>
      <c r="D9" s="11"/>
      <c r="E9" s="211" t="s">
        <v>1180</v>
      </c>
      <c r="F9" s="10"/>
      <c r="G9" s="10"/>
      <c r="H9" s="10"/>
      <c r="I9" s="10"/>
      <c r="J9" s="10"/>
      <c r="K9" s="10"/>
      <c r="L9" s="11"/>
    </row>
    <row r="10">
      <c r="B10" s="470" t="s">
        <v>1181</v>
      </c>
      <c r="C10" s="3"/>
      <c r="D10" s="4"/>
      <c r="E10" s="208" t="s">
        <v>1182</v>
      </c>
      <c r="F10" s="3"/>
      <c r="G10" s="3"/>
      <c r="H10" s="3"/>
      <c r="I10" s="3"/>
      <c r="J10" s="3"/>
      <c r="K10" s="3"/>
      <c r="L10" s="4"/>
    </row>
    <row r="11">
      <c r="B11" s="498" t="s">
        <v>1183</v>
      </c>
      <c r="C11" s="10"/>
      <c r="D11" s="11"/>
      <c r="E11" s="211" t="s">
        <v>1184</v>
      </c>
      <c r="F11" s="10"/>
      <c r="G11" s="10"/>
      <c r="H11" s="10"/>
      <c r="I11" s="10"/>
      <c r="J11" s="10"/>
      <c r="K11" s="10"/>
      <c r="L11" s="11"/>
    </row>
    <row r="12">
      <c r="B12" s="470" t="s">
        <v>1185</v>
      </c>
      <c r="C12" s="3"/>
      <c r="D12" s="4"/>
      <c r="E12" s="208" t="s">
        <v>1186</v>
      </c>
      <c r="F12" s="3"/>
      <c r="G12" s="3"/>
      <c r="H12" s="3"/>
      <c r="I12" s="3"/>
      <c r="J12" s="3"/>
      <c r="K12" s="3"/>
      <c r="L12" s="4"/>
    </row>
    <row r="13">
      <c r="B13" s="498" t="s">
        <v>1187</v>
      </c>
      <c r="C13" s="10"/>
      <c r="D13" s="11"/>
      <c r="E13" s="211" t="s">
        <v>1188</v>
      </c>
      <c r="F13" s="10"/>
      <c r="G13" s="10"/>
      <c r="H13" s="10"/>
      <c r="I13" s="10"/>
      <c r="J13" s="10"/>
      <c r="K13" s="10"/>
      <c r="L13" s="11"/>
    </row>
    <row r="14">
      <c r="B14" s="470" t="s">
        <v>1189</v>
      </c>
      <c r="C14" s="3"/>
      <c r="D14" s="4"/>
      <c r="E14" s="208" t="s">
        <v>1190</v>
      </c>
      <c r="F14" s="3"/>
      <c r="G14" s="3"/>
      <c r="H14" s="3"/>
      <c r="I14" s="3"/>
      <c r="J14" s="3"/>
      <c r="K14" s="3"/>
      <c r="L14" s="4"/>
    </row>
    <row r="15">
      <c r="B15" s="498" t="s">
        <v>1191</v>
      </c>
      <c r="C15" s="10"/>
      <c r="D15" s="11"/>
      <c r="E15" s="211" t="s">
        <v>1192</v>
      </c>
      <c r="F15" s="10"/>
      <c r="G15" s="10"/>
      <c r="H15" s="10"/>
      <c r="I15" s="10"/>
      <c r="J15" s="10"/>
      <c r="K15" s="10"/>
      <c r="L15" s="11"/>
    </row>
    <row r="16">
      <c r="B16" s="470" t="s">
        <v>435</v>
      </c>
      <c r="C16" s="3"/>
      <c r="D16" s="4"/>
      <c r="E16" s="208" t="s">
        <v>1193</v>
      </c>
      <c r="F16" s="3"/>
      <c r="G16" s="3"/>
      <c r="H16" s="3"/>
      <c r="I16" s="3"/>
      <c r="J16" s="3"/>
      <c r="K16" s="3"/>
      <c r="L16" s="4"/>
    </row>
    <row r="17">
      <c r="B17" s="498" t="s">
        <v>436</v>
      </c>
      <c r="C17" s="10"/>
      <c r="D17" s="11"/>
      <c r="E17" s="300" t="s">
        <v>1194</v>
      </c>
      <c r="F17" s="10"/>
      <c r="G17" s="10"/>
      <c r="H17" s="10"/>
      <c r="I17" s="10"/>
      <c r="J17" s="10"/>
      <c r="K17" s="10"/>
      <c r="L17" s="11"/>
    </row>
    <row r="18">
      <c r="B18" s="477" t="s">
        <v>1035</v>
      </c>
      <c r="C18" s="578"/>
      <c r="D18" s="579" t="str">
        <f>"/ "&amp;1+Main!$Z$5&amp;" AoO's"</f>
        <v>/ 1 AoO's</v>
      </c>
      <c r="E18" s="389" t="s">
        <v>1195</v>
      </c>
      <c r="F18" s="3"/>
      <c r="G18" s="3"/>
      <c r="H18" s="3"/>
      <c r="I18" s="3"/>
      <c r="J18" s="3"/>
      <c r="K18" s="3"/>
      <c r="L18" s="4"/>
    </row>
    <row r="19">
      <c r="B19" s="498" t="s">
        <v>1196</v>
      </c>
      <c r="C19" s="10"/>
      <c r="D19" s="11"/>
      <c r="E19" s="211" t="s">
        <v>1197</v>
      </c>
      <c r="F19" s="10"/>
      <c r="G19" s="10"/>
      <c r="H19" s="10"/>
      <c r="I19" s="10"/>
      <c r="J19" s="10"/>
      <c r="K19" s="10"/>
      <c r="L19" s="11"/>
    </row>
    <row r="20">
      <c r="B20" s="470" t="s">
        <v>1198</v>
      </c>
      <c r="C20" s="3"/>
      <c r="D20" s="4"/>
      <c r="E20" s="389" t="s">
        <v>1199</v>
      </c>
      <c r="F20" s="3"/>
      <c r="G20" s="3"/>
      <c r="H20" s="3"/>
      <c r="I20" s="3"/>
      <c r="J20" s="3"/>
      <c r="K20" s="3"/>
      <c r="L20" s="4"/>
    </row>
    <row r="21">
      <c r="B21" s="498" t="s">
        <v>1200</v>
      </c>
      <c r="C21" s="10"/>
      <c r="D21" s="11"/>
      <c r="E21" s="211" t="s">
        <v>1201</v>
      </c>
      <c r="F21" s="10"/>
      <c r="G21" s="10"/>
      <c r="H21" s="10"/>
      <c r="I21" s="10"/>
      <c r="J21" s="10"/>
      <c r="K21" s="10"/>
      <c r="L21" s="11"/>
    </row>
    <row r="22">
      <c r="B22" s="470" t="s">
        <v>1202</v>
      </c>
      <c r="C22" s="3"/>
      <c r="D22" s="4"/>
      <c r="E22" s="208" t="s">
        <v>1203</v>
      </c>
      <c r="F22" s="3"/>
      <c r="G22" s="3"/>
      <c r="H22" s="3"/>
      <c r="I22" s="3"/>
      <c r="J22" s="3"/>
      <c r="K22" s="3"/>
      <c r="L22" s="4"/>
    </row>
    <row r="23">
      <c r="B23" s="498" t="s">
        <v>1204</v>
      </c>
      <c r="C23" s="10"/>
      <c r="D23" s="11"/>
      <c r="E23" s="211" t="s">
        <v>1205</v>
      </c>
      <c r="F23" s="10"/>
      <c r="G23" s="10"/>
      <c r="H23" s="10"/>
      <c r="I23" s="10"/>
      <c r="J23" s="10"/>
      <c r="K23" s="10"/>
      <c r="L23" s="11"/>
    </row>
    <row r="24">
      <c r="B24" s="470" t="s">
        <v>1206</v>
      </c>
      <c r="C24" s="3"/>
      <c r="D24" s="4"/>
      <c r="E24" s="208" t="s">
        <v>1207</v>
      </c>
      <c r="F24" s="3"/>
      <c r="G24" s="3"/>
      <c r="H24" s="3"/>
      <c r="I24" s="3"/>
      <c r="J24" s="3"/>
      <c r="K24" s="3"/>
      <c r="L24" s="4"/>
    </row>
    <row r="25">
      <c r="B25" s="498" t="s">
        <v>1037</v>
      </c>
      <c r="C25" s="10"/>
      <c r="D25" s="11"/>
      <c r="E25" s="211" t="s">
        <v>1208</v>
      </c>
      <c r="F25" s="10"/>
      <c r="G25" s="10"/>
      <c r="H25" s="10"/>
      <c r="I25" s="10"/>
      <c r="J25" s="10"/>
      <c r="K25" s="10"/>
      <c r="L25" s="11"/>
    </row>
    <row r="26">
      <c r="B26" s="470" t="s">
        <v>1209</v>
      </c>
      <c r="C26" s="3"/>
      <c r="D26" s="4"/>
      <c r="E26" s="208" t="s">
        <v>1210</v>
      </c>
      <c r="F26" s="3"/>
      <c r="G26" s="3"/>
      <c r="H26" s="3"/>
      <c r="I26" s="3"/>
      <c r="J26" s="3"/>
      <c r="K26" s="3"/>
      <c r="L26" s="4"/>
    </row>
    <row r="27">
      <c r="B27" s="498" t="s">
        <v>1211</v>
      </c>
      <c r="C27" s="10"/>
      <c r="D27" s="11"/>
      <c r="E27" s="211" t="s">
        <v>1212</v>
      </c>
      <c r="F27" s="10"/>
      <c r="G27" s="10"/>
      <c r="H27" s="10"/>
      <c r="I27" s="10"/>
      <c r="J27" s="10"/>
      <c r="K27" s="10"/>
      <c r="L27" s="11"/>
    </row>
    <row r="28">
      <c r="B28" s="470" t="s">
        <v>1213</v>
      </c>
      <c r="C28" s="3"/>
      <c r="D28" s="4"/>
      <c r="E28" s="208" t="s">
        <v>1214</v>
      </c>
      <c r="F28" s="3"/>
      <c r="G28" s="3"/>
      <c r="H28" s="3"/>
      <c r="I28" s="3"/>
      <c r="J28" s="3"/>
      <c r="K28" s="3"/>
      <c r="L28" s="4"/>
    </row>
    <row r="29">
      <c r="B29" s="498" t="s">
        <v>346</v>
      </c>
      <c r="C29" s="10"/>
      <c r="D29" s="11"/>
      <c r="E29" s="211" t="s">
        <v>1215</v>
      </c>
      <c r="F29" s="10"/>
      <c r="G29" s="10"/>
      <c r="H29" s="10"/>
      <c r="I29" s="10"/>
      <c r="J29" s="10"/>
      <c r="K29" s="10"/>
      <c r="L29" s="11"/>
    </row>
    <row r="30">
      <c r="B30" s="470" t="s">
        <v>1216</v>
      </c>
      <c r="C30" s="3"/>
      <c r="D30" s="4"/>
      <c r="E30" s="208" t="s">
        <v>1217</v>
      </c>
      <c r="F30" s="3"/>
      <c r="G30" s="3"/>
      <c r="H30" s="3"/>
      <c r="I30" s="3"/>
      <c r="J30" s="3"/>
      <c r="K30" s="3"/>
      <c r="L30" s="4"/>
    </row>
    <row r="31">
      <c r="B31" s="498" t="s">
        <v>1107</v>
      </c>
      <c r="C31" s="10"/>
      <c r="D31" s="11"/>
      <c r="E31" s="300" t="s">
        <v>1218</v>
      </c>
      <c r="F31" s="10"/>
      <c r="G31" s="10"/>
      <c r="H31" s="10"/>
      <c r="I31" s="10"/>
      <c r="J31" s="10"/>
      <c r="K31" s="10"/>
      <c r="L31" s="11"/>
    </row>
    <row r="32">
      <c r="B32" s="544" t="s">
        <v>1219</v>
      </c>
      <c r="C32" s="3"/>
      <c r="D32" s="4"/>
      <c r="E32" s="208" t="s">
        <v>1220</v>
      </c>
      <c r="F32" s="3"/>
      <c r="G32" s="3"/>
      <c r="H32" s="3"/>
      <c r="I32" s="3"/>
      <c r="J32" s="3"/>
      <c r="K32" s="3"/>
      <c r="L32" s="4"/>
    </row>
    <row r="33">
      <c r="B33" s="498" t="s">
        <v>1221</v>
      </c>
      <c r="C33" s="10"/>
      <c r="D33" s="11"/>
      <c r="E33" s="300" t="s">
        <v>1222</v>
      </c>
      <c r="F33" s="10"/>
      <c r="G33" s="10"/>
      <c r="H33" s="10"/>
      <c r="I33" s="10"/>
      <c r="J33" s="10"/>
      <c r="K33" s="10"/>
      <c r="L33" s="11"/>
    </row>
    <row r="34">
      <c r="B34" s="470" t="s">
        <v>1223</v>
      </c>
      <c r="C34" s="3"/>
      <c r="D34" s="4"/>
      <c r="E34" s="389" t="s">
        <v>1224</v>
      </c>
      <c r="F34" s="3"/>
      <c r="G34" s="3"/>
      <c r="H34" s="3"/>
      <c r="I34" s="3"/>
      <c r="J34" s="3"/>
      <c r="K34" s="3"/>
      <c r="L34" s="4"/>
    </row>
    <row r="35">
      <c r="B35" s="498" t="s">
        <v>1225</v>
      </c>
      <c r="C35" s="10"/>
      <c r="D35" s="11"/>
      <c r="E35" s="300" t="s">
        <v>1226</v>
      </c>
      <c r="F35" s="10"/>
      <c r="G35" s="10"/>
      <c r="H35" s="10"/>
      <c r="I35" s="10"/>
      <c r="J35" s="10"/>
      <c r="K35" s="10"/>
      <c r="L35" s="11"/>
    </row>
    <row r="36">
      <c r="B36" s="470" t="s">
        <v>1227</v>
      </c>
      <c r="C36" s="3"/>
      <c r="D36" s="4"/>
      <c r="E36" s="389" t="s">
        <v>1228</v>
      </c>
      <c r="F36" s="3"/>
      <c r="G36" s="3"/>
      <c r="H36" s="3"/>
      <c r="I36" s="3"/>
      <c r="J36" s="3"/>
      <c r="K36" s="3"/>
      <c r="L36" s="4"/>
    </row>
    <row r="37">
      <c r="B37" s="498" t="s">
        <v>1229</v>
      </c>
      <c r="C37" s="10"/>
      <c r="D37" s="11"/>
      <c r="E37" s="211" t="s">
        <v>1230</v>
      </c>
      <c r="F37" s="10"/>
      <c r="G37" s="10"/>
      <c r="H37" s="10"/>
      <c r="I37" s="10"/>
      <c r="J37" s="10"/>
      <c r="K37" s="10"/>
      <c r="L37" s="11"/>
    </row>
    <row r="38">
      <c r="B38" s="470" t="s">
        <v>1231</v>
      </c>
      <c r="C38" s="3"/>
      <c r="D38" s="4"/>
      <c r="E38" s="208" t="s">
        <v>1232</v>
      </c>
      <c r="F38" s="3"/>
      <c r="G38" s="3"/>
      <c r="H38" s="3"/>
      <c r="I38" s="3"/>
      <c r="J38" s="3"/>
      <c r="K38" s="3"/>
      <c r="L38" s="4"/>
    </row>
    <row r="39">
      <c r="B39" s="498" t="s">
        <v>1233</v>
      </c>
      <c r="C39" s="10"/>
      <c r="D39" s="11"/>
      <c r="E39" s="211" t="s">
        <v>1234</v>
      </c>
      <c r="F39" s="10"/>
      <c r="G39" s="10"/>
      <c r="H39" s="10"/>
      <c r="I39" s="10"/>
      <c r="J39" s="10"/>
      <c r="K39" s="10"/>
      <c r="L39" s="11"/>
    </row>
    <row r="40">
      <c r="B40" s="470" t="s">
        <v>384</v>
      </c>
      <c r="C40" s="3"/>
      <c r="D40" s="4"/>
      <c r="E40" s="208" t="s">
        <v>1235</v>
      </c>
      <c r="F40" s="3"/>
      <c r="G40" s="3"/>
      <c r="H40" s="3"/>
      <c r="I40" s="3"/>
      <c r="J40" s="3"/>
      <c r="K40" s="3"/>
      <c r="L40" s="4"/>
    </row>
    <row r="41">
      <c r="B41" s="498" t="s">
        <v>1236</v>
      </c>
      <c r="C41" s="10"/>
      <c r="D41" s="11"/>
      <c r="E41" s="211" t="s">
        <v>1237</v>
      </c>
      <c r="F41" s="10"/>
      <c r="G41" s="10"/>
      <c r="H41" s="10"/>
      <c r="I41" s="10"/>
      <c r="J41" s="10"/>
      <c r="K41" s="10"/>
      <c r="L41" s="11"/>
    </row>
    <row r="42">
      <c r="B42" s="470" t="s">
        <v>1238</v>
      </c>
      <c r="C42" s="3"/>
      <c r="D42" s="4"/>
      <c r="E42" s="208" t="s">
        <v>1239</v>
      </c>
      <c r="F42" s="3"/>
      <c r="G42" s="3"/>
      <c r="H42" s="3"/>
      <c r="I42" s="3"/>
      <c r="J42" s="3"/>
      <c r="K42" s="3"/>
      <c r="L42" s="4"/>
    </row>
    <row r="43">
      <c r="B43" s="498" t="s">
        <v>1240</v>
      </c>
      <c r="C43" s="10"/>
      <c r="D43" s="11"/>
      <c r="E43" s="211" t="s">
        <v>1241</v>
      </c>
      <c r="F43" s="10"/>
      <c r="G43" s="10"/>
      <c r="H43" s="10"/>
      <c r="I43" s="10"/>
      <c r="J43" s="10"/>
      <c r="K43" s="10"/>
      <c r="L43" s="11"/>
    </row>
    <row r="44">
      <c r="B44" s="470" t="s">
        <v>1242</v>
      </c>
      <c r="C44" s="3"/>
      <c r="D44" s="4"/>
      <c r="E44" s="208" t="s">
        <v>1243</v>
      </c>
      <c r="F44" s="3"/>
      <c r="G44" s="3"/>
      <c r="H44" s="3"/>
      <c r="I44" s="3"/>
      <c r="J44" s="3"/>
      <c r="K44" s="3"/>
      <c r="L44" s="4"/>
    </row>
    <row r="45">
      <c r="B45" s="498" t="s">
        <v>1244</v>
      </c>
      <c r="C45" s="10"/>
      <c r="D45" s="11"/>
      <c r="E45" s="211" t="s">
        <v>1245</v>
      </c>
      <c r="F45" s="10"/>
      <c r="G45" s="10"/>
      <c r="H45" s="10"/>
      <c r="I45" s="10"/>
      <c r="J45" s="10"/>
      <c r="K45" s="10"/>
      <c r="L45" s="11"/>
    </row>
    <row r="46">
      <c r="B46" s="470" t="s">
        <v>1246</v>
      </c>
      <c r="C46" s="3"/>
      <c r="D46" s="4"/>
      <c r="E46" s="208" t="s">
        <v>1247</v>
      </c>
      <c r="F46" s="3"/>
      <c r="G46" s="3"/>
      <c r="H46" s="3"/>
      <c r="I46" s="3"/>
      <c r="J46" s="3"/>
      <c r="K46" s="3"/>
      <c r="L46" s="4"/>
    </row>
    <row r="47">
      <c r="B47" s="498" t="s">
        <v>582</v>
      </c>
      <c r="C47" s="10"/>
      <c r="D47" s="11"/>
      <c r="E47" s="211" t="s">
        <v>1248</v>
      </c>
      <c r="F47" s="10"/>
      <c r="G47" s="10"/>
      <c r="H47" s="10"/>
      <c r="I47" s="10"/>
      <c r="J47" s="10"/>
      <c r="K47" s="10"/>
      <c r="L47" s="11"/>
    </row>
    <row r="48">
      <c r="B48" s="470" t="s">
        <v>1249</v>
      </c>
      <c r="C48" s="3"/>
      <c r="D48" s="4"/>
      <c r="E48" s="208" t="s">
        <v>1250</v>
      </c>
      <c r="F48" s="3"/>
      <c r="G48" s="3"/>
      <c r="H48" s="3"/>
      <c r="I48" s="3"/>
      <c r="J48" s="3"/>
      <c r="K48" s="3"/>
      <c r="L48" s="4"/>
    </row>
    <row r="49">
      <c r="B49" s="498" t="s">
        <v>1251</v>
      </c>
      <c r="C49" s="10"/>
      <c r="D49" s="11"/>
      <c r="E49" s="211" t="s">
        <v>1252</v>
      </c>
      <c r="F49" s="10"/>
      <c r="G49" s="10"/>
      <c r="H49" s="10"/>
      <c r="I49" s="10"/>
      <c r="J49" s="10"/>
      <c r="K49" s="10"/>
      <c r="L49" s="11"/>
    </row>
    <row r="50">
      <c r="B50" s="470" t="s">
        <v>585</v>
      </c>
      <c r="C50" s="3"/>
      <c r="D50" s="4"/>
      <c r="E50" s="208" t="s">
        <v>1253</v>
      </c>
      <c r="F50" s="3"/>
      <c r="G50" s="3"/>
      <c r="H50" s="3"/>
      <c r="I50" s="3"/>
      <c r="J50" s="3"/>
      <c r="K50" s="3"/>
      <c r="L50" s="4"/>
    </row>
    <row r="51">
      <c r="B51" s="498" t="s">
        <v>1254</v>
      </c>
      <c r="C51" s="10"/>
      <c r="D51" s="11"/>
      <c r="E51" s="211" t="s">
        <v>1255</v>
      </c>
      <c r="F51" s="10"/>
      <c r="G51" s="10"/>
      <c r="H51" s="10"/>
      <c r="I51" s="10"/>
      <c r="J51" s="10"/>
      <c r="K51" s="10"/>
      <c r="L51" s="11"/>
    </row>
    <row r="52">
      <c r="B52" s="470" t="s">
        <v>1256</v>
      </c>
      <c r="C52" s="3"/>
      <c r="D52" s="4"/>
      <c r="E52" s="208" t="s">
        <v>1257</v>
      </c>
      <c r="F52" s="3"/>
      <c r="G52" s="3"/>
      <c r="H52" s="3"/>
      <c r="I52" s="3"/>
      <c r="J52" s="3"/>
      <c r="K52" s="3"/>
      <c r="L52" s="4"/>
    </row>
    <row r="53">
      <c r="B53" s="498" t="s">
        <v>591</v>
      </c>
      <c r="C53" s="10"/>
      <c r="D53" s="11"/>
      <c r="E53" s="211" t="s">
        <v>1258</v>
      </c>
      <c r="F53" s="10"/>
      <c r="G53" s="10"/>
      <c r="H53" s="10"/>
      <c r="I53" s="10"/>
      <c r="J53" s="10"/>
      <c r="K53" s="10"/>
      <c r="L53" s="11"/>
    </row>
    <row r="54">
      <c r="B54" s="470" t="s">
        <v>1259</v>
      </c>
      <c r="C54" s="3"/>
      <c r="D54" s="4"/>
      <c r="E54" s="208" t="s">
        <v>1260</v>
      </c>
      <c r="F54" s="3"/>
      <c r="G54" s="3"/>
      <c r="H54" s="3"/>
      <c r="I54" s="3"/>
      <c r="J54" s="3"/>
      <c r="K54" s="3"/>
      <c r="L54" s="4"/>
    </row>
    <row r="55">
      <c r="B55" s="498" t="s">
        <v>593</v>
      </c>
      <c r="C55" s="10"/>
      <c r="D55" s="11"/>
      <c r="E55" s="211" t="s">
        <v>1261</v>
      </c>
      <c r="F55" s="10"/>
      <c r="G55" s="10"/>
      <c r="H55" s="10"/>
      <c r="I55" s="10"/>
      <c r="J55" s="10"/>
      <c r="K55" s="10"/>
      <c r="L55" s="11"/>
    </row>
    <row r="56">
      <c r="B56" s="470" t="s">
        <v>1262</v>
      </c>
      <c r="C56" s="3"/>
      <c r="D56" s="4"/>
      <c r="E56" s="208" t="s">
        <v>1263</v>
      </c>
      <c r="F56" s="3"/>
      <c r="G56" s="3"/>
      <c r="H56" s="3"/>
      <c r="I56" s="3"/>
      <c r="J56" s="3"/>
      <c r="K56" s="3"/>
      <c r="L56" s="4"/>
    </row>
    <row r="57">
      <c r="B57" s="498" t="s">
        <v>1264</v>
      </c>
      <c r="C57" s="10"/>
      <c r="D57" s="11"/>
      <c r="E57" s="211" t="s">
        <v>1265</v>
      </c>
      <c r="F57" s="10"/>
      <c r="G57" s="10"/>
      <c r="H57" s="10"/>
      <c r="I57" s="10"/>
      <c r="J57" s="10"/>
      <c r="K57" s="10"/>
      <c r="L57" s="11"/>
    </row>
    <row r="58">
      <c r="B58" s="470" t="s">
        <v>597</v>
      </c>
      <c r="C58" s="3"/>
      <c r="D58" s="4"/>
      <c r="E58" s="208" t="s">
        <v>1266</v>
      </c>
      <c r="F58" s="3"/>
      <c r="G58" s="3"/>
      <c r="H58" s="3"/>
      <c r="I58" s="3"/>
      <c r="J58" s="3"/>
      <c r="K58" s="3"/>
      <c r="L58" s="4"/>
    </row>
    <row r="59">
      <c r="B59" s="498" t="s">
        <v>598</v>
      </c>
      <c r="C59" s="10"/>
      <c r="D59" s="11"/>
      <c r="E59" s="211" t="s">
        <v>1267</v>
      </c>
      <c r="F59" s="10"/>
      <c r="G59" s="10"/>
      <c r="H59" s="10"/>
      <c r="I59" s="10"/>
      <c r="J59" s="10"/>
      <c r="K59" s="10"/>
      <c r="L59" s="11"/>
    </row>
    <row r="60">
      <c r="B60" s="470" t="s">
        <v>1268</v>
      </c>
      <c r="C60" s="3"/>
      <c r="D60" s="4"/>
      <c r="E60" s="208" t="s">
        <v>1269</v>
      </c>
      <c r="F60" s="3"/>
      <c r="G60" s="3"/>
      <c r="H60" s="3"/>
      <c r="I60" s="3"/>
      <c r="J60" s="3"/>
      <c r="K60" s="3"/>
      <c r="L60" s="4"/>
    </row>
    <row r="61">
      <c r="B61" s="498" t="s">
        <v>1270</v>
      </c>
      <c r="C61" s="10"/>
      <c r="D61" s="11"/>
      <c r="E61" s="211" t="s">
        <v>1271</v>
      </c>
      <c r="F61" s="10"/>
      <c r="G61" s="10"/>
      <c r="H61" s="10"/>
      <c r="I61" s="10"/>
      <c r="J61" s="10"/>
      <c r="K61" s="10"/>
      <c r="L61" s="11"/>
      <c r="M61" s="580"/>
    </row>
    <row r="62">
      <c r="A62" s="528"/>
      <c r="B62" s="470" t="s">
        <v>1272</v>
      </c>
      <c r="C62" s="3"/>
      <c r="D62" s="4"/>
      <c r="E62" s="208" t="s">
        <v>1273</v>
      </c>
      <c r="F62" s="3"/>
      <c r="G62" s="3"/>
      <c r="H62" s="3"/>
      <c r="I62" s="3"/>
      <c r="J62" s="3"/>
      <c r="K62" s="3"/>
      <c r="L62" s="4"/>
    </row>
    <row r="63">
      <c r="B63" s="498" t="s">
        <v>1274</v>
      </c>
      <c r="C63" s="10"/>
      <c r="D63" s="11"/>
      <c r="E63" s="300" t="s">
        <v>1275</v>
      </c>
      <c r="F63" s="10"/>
      <c r="G63" s="10"/>
      <c r="H63" s="10"/>
      <c r="I63" s="10"/>
      <c r="J63" s="10"/>
      <c r="K63" s="10"/>
      <c r="L63" s="11"/>
    </row>
    <row r="64">
      <c r="B64" s="470" t="s">
        <v>389</v>
      </c>
      <c r="C64" s="3"/>
      <c r="D64" s="4"/>
      <c r="E64" s="389" t="s">
        <v>1276</v>
      </c>
      <c r="F64" s="3"/>
      <c r="G64" s="3"/>
      <c r="H64" s="3"/>
      <c r="I64" s="3"/>
      <c r="J64" s="3"/>
      <c r="K64" s="3"/>
      <c r="L64" s="4"/>
    </row>
    <row r="65">
      <c r="B65" s="498" t="s">
        <v>1277</v>
      </c>
      <c r="C65" s="10"/>
      <c r="D65" s="11"/>
      <c r="E65" s="300" t="str">
        <f>"Having this feat enables the character to attract loyal companions and devoted followers, subordinates who assist her. See the table below for what sort of cohort and how many followers the character can recruit.
A character’s base Leadership score equal"&amp;"s his level plus any Charisma modifier. In order to take into account negative Charisma modifiers, this table allows for very low Leadership scores, but the character must still be 6th level or higher in order to gain the Leadership feat. Outside factors "&amp;"can affect a character’s Leadership score, as detailed above.
The character can attract a cohort of up to this level. Regardless of a character’s Leadership score, he can only recruit a cohort who is two or more levels lower than himself. The cohort shou"&amp;"ld be equipped with gear appropriate for its level. A character can try to attract a cohort of a particular race, class, and alignment. The cohort’s alignment may not be opposed to the leader’s alignment on either the law-vs-chaos or good-vs-evil axis, an"&amp;"d the leader takes a Leadership penalty if he recruits a cohort of an alignment different from his own.
Cohorts earn XP as follows:
The cohort does not count as a party member when determining the party’s XP.
Divide the cohort’s level by the level of t"&amp;"he PC with whom he or she is associated (the character with the Leadership feat who attracted the cohort).
Multiply this result by the total XP awarded to the PC and add that number of experience points to the cohort’s total.
If a cohort gains enough XP"&amp;" to bring it to a level one lower than the associated PC’s character level, the cohort does not gain the new level—its new XP total is 1 less than the amount needed attain the next level.
The character can lead up to the indicated number of characters of"&amp;" each level. Followers are similar to cohorts, except they’re generally low-level NPCs. Because they’re generally five or more levels behind the character they follow, they’re rarely effective in combat.
Followers don’t earn experience and thus don’t gai"&amp;"n levels. However, when a character with Leadership attains a new level, the player consults the table above to determine if she has acquired more followers, some of which may be higher level than the existing followers. (You don’t consult the table to se"&amp;"e if your cohort gains levels, however, because cohorts earn experience on their own.)
Several factors can affect a character’s Leadership score, causing it to vary from the base score (character level + Cha modifier). A character’s reputation (from the "&amp;"point of view of the cohort or follower he is trying to attract) raises or lowers his Leadership score, see Table: Reputation.
Other modifiers may apply when the character tries to attract a cohort, see Table: Attracting Cohorts.
Followers have differen"&amp;"t priorities from cohorts. When the character tries to attract a new follower, use any of the modifiers that apply on Table: Attracting Followers.
Leadership Score: "&amp;Main!$C$7+Main!$Z$9</f>
        <v>Having this feat enables the character to attract loyal companions and devoted followers, subordinates who assist her. See the table below for what sort of cohort and how many followers the character can recruit.
A character’s base Leadership score equals his level plus any Charisma modifier. In order to take into account negative Charisma modifiers, this table allows for very low Leadership scores, but the character must still be 6th level or higher in order to gain the Leadership feat. Outside factors can affect a character’s Leadership score, as detailed above.
The character can attract a cohort of up to this level. Regardless of a character’s Leadership score, he can only recruit a cohort who is two or more levels lower than himself. The cohort should be equipped with gear appropriate for its level. A character can try to attract a cohort of a particular race, class, and alignment. The cohort’s alignment may not be opposed to the leader’s alignment on either the law-vs-chaos or good-vs-evil axis, and the leader takes a Leadership penalty if he recruits a cohort of an alignment different from his own.
Cohorts earn XP as follows:
The cohort does not count as a party member when determining the party’s XP.
Divide the cohort’s level by the level of the PC with whom he or she is associated (the character with the Leadership feat who attracted the cohort).
Multiply this result by the total XP awarded to the PC and add that number of experience points to the cohort’s total.
If a cohort gains enough XP to bring it to a level one lower than the associated PC’s character level, the cohort does not gain the new level—its new XP total is 1 less than the amount needed attain the next level.
The character can lead up to the indicated number of characters of each level. Followers are similar to cohorts, except they’re generally low-level NPCs. Because they’re generally five or more levels behind the character they follow, they’re rarely effective in combat.
Followers don’t earn experience and thus don’t gain levels. However, when a character with Leadership attains a new level, the player consults the table above to determine if she has acquired more followers, some of which may be higher level than the existing followers. (You don’t consult the table to see if your cohort gains levels, however, because cohorts earn experience on their own.)
Several factors can affect a character’s Leadership score, causing it to vary from the base score (character level + Cha modifier). A character’s reputation (from the point of view of the cohort or follower he is trying to attract) raises or lowers his Leadership score, see Table: Reputation.
Other modifiers may apply when the character tries to attract a cohort, see Table: Attracting Cohorts.
Followers have different priorities from cohorts. When the character tries to attract a new follower, use any of the modifiers that apply on Table: Attracting Followers.
Leadership Score: 0</v>
      </c>
      <c r="F65" s="10"/>
      <c r="G65" s="10"/>
      <c r="H65" s="10"/>
      <c r="I65" s="10"/>
      <c r="J65" s="10"/>
      <c r="K65" s="10"/>
      <c r="L65" s="11"/>
    </row>
    <row r="66">
      <c r="B66" s="470" t="s">
        <v>1278</v>
      </c>
      <c r="C66" s="3"/>
      <c r="D66" s="4"/>
      <c r="E66" s="389" t="s">
        <v>1279</v>
      </c>
      <c r="F66" s="3"/>
      <c r="G66" s="3"/>
      <c r="H66" s="3"/>
      <c r="I66" s="3"/>
      <c r="J66" s="3"/>
      <c r="K66" s="3"/>
      <c r="L66" s="4"/>
    </row>
    <row r="67">
      <c r="B67" s="498" t="s">
        <v>1280</v>
      </c>
      <c r="C67" s="10"/>
      <c r="D67" s="11"/>
      <c r="E67" s="211" t="s">
        <v>1281</v>
      </c>
      <c r="F67" s="10"/>
      <c r="G67" s="10"/>
      <c r="H67" s="10"/>
      <c r="I67" s="10"/>
      <c r="J67" s="10"/>
      <c r="K67" s="10"/>
      <c r="L67" s="11"/>
    </row>
    <row r="68">
      <c r="B68" s="470" t="s">
        <v>388</v>
      </c>
      <c r="C68" s="3"/>
      <c r="D68" s="4"/>
      <c r="E68" s="208" t="s">
        <v>1282</v>
      </c>
      <c r="F68" s="3"/>
      <c r="G68" s="3"/>
      <c r="H68" s="3"/>
      <c r="I68" s="3"/>
      <c r="J68" s="3"/>
      <c r="K68" s="3"/>
      <c r="L68" s="4"/>
    </row>
    <row r="69">
      <c r="B69" s="498" t="s">
        <v>1283</v>
      </c>
      <c r="C69" s="10"/>
      <c r="D69" s="11"/>
      <c r="E69" s="211" t="s">
        <v>1284</v>
      </c>
      <c r="F69" s="10"/>
      <c r="G69" s="10"/>
      <c r="H69" s="10"/>
      <c r="I69" s="10"/>
      <c r="J69" s="10"/>
      <c r="K69" s="10"/>
      <c r="L69" s="11"/>
    </row>
    <row r="70">
      <c r="B70" s="470" t="s">
        <v>1285</v>
      </c>
      <c r="C70" s="3"/>
      <c r="D70" s="4"/>
      <c r="E70" s="208" t="s">
        <v>1286</v>
      </c>
      <c r="F70" s="3"/>
      <c r="G70" s="3"/>
      <c r="H70" s="3"/>
      <c r="I70" s="3"/>
      <c r="J70" s="3"/>
      <c r="K70" s="3"/>
      <c r="L70" s="4"/>
    </row>
    <row r="71">
      <c r="B71" s="498" t="s">
        <v>439</v>
      </c>
      <c r="C71" s="10"/>
      <c r="D71" s="11"/>
      <c r="E71" s="211" t="s">
        <v>1287</v>
      </c>
      <c r="F71" s="10"/>
      <c r="G71" s="10"/>
      <c r="H71" s="10"/>
      <c r="I71" s="10"/>
      <c r="J71" s="10"/>
      <c r="K71" s="10"/>
      <c r="L71" s="11"/>
    </row>
    <row r="72">
      <c r="B72" s="470" t="s">
        <v>438</v>
      </c>
      <c r="C72" s="3"/>
      <c r="D72" s="4"/>
      <c r="E72" s="208" t="s">
        <v>1288</v>
      </c>
      <c r="F72" s="3"/>
      <c r="G72" s="3"/>
      <c r="H72" s="3"/>
      <c r="I72" s="3"/>
      <c r="J72" s="3"/>
      <c r="K72" s="3"/>
      <c r="L72" s="4"/>
    </row>
    <row r="73">
      <c r="B73" s="498" t="s">
        <v>1289</v>
      </c>
      <c r="C73" s="10"/>
      <c r="D73" s="11"/>
      <c r="E73" s="211" t="s">
        <v>1290</v>
      </c>
      <c r="F73" s="10"/>
      <c r="G73" s="10"/>
      <c r="H73" s="10"/>
      <c r="I73" s="10"/>
      <c r="J73" s="10"/>
      <c r="K73" s="10"/>
      <c r="L73" s="11"/>
    </row>
    <row r="74">
      <c r="B74" s="470" t="s">
        <v>1291</v>
      </c>
      <c r="C74" s="3"/>
      <c r="D74" s="4"/>
      <c r="E74" s="208" t="s">
        <v>1292</v>
      </c>
      <c r="F74" s="3"/>
      <c r="G74" s="3"/>
      <c r="H74" s="3"/>
      <c r="I74" s="3"/>
      <c r="J74" s="3"/>
      <c r="K74" s="3"/>
      <c r="L74" s="4"/>
    </row>
    <row r="75">
      <c r="B75" s="498" t="s">
        <v>1293</v>
      </c>
      <c r="C75" s="10"/>
      <c r="D75" s="11"/>
      <c r="E75" s="211" t="s">
        <v>1294</v>
      </c>
      <c r="F75" s="10"/>
      <c r="G75" s="10"/>
      <c r="H75" s="10"/>
      <c r="I75" s="10"/>
      <c r="J75" s="10"/>
      <c r="K75" s="10"/>
      <c r="L75" s="11"/>
    </row>
    <row r="76">
      <c r="B76" s="470" t="s">
        <v>1295</v>
      </c>
      <c r="C76" s="3"/>
      <c r="D76" s="4"/>
      <c r="E76" s="208" t="s">
        <v>1296</v>
      </c>
      <c r="F76" s="3"/>
      <c r="G76" s="3"/>
      <c r="H76" s="3"/>
      <c r="I76" s="3"/>
      <c r="J76" s="3"/>
      <c r="K76" s="3"/>
      <c r="L76" s="4"/>
    </row>
    <row r="77">
      <c r="B77" s="498" t="s">
        <v>1297</v>
      </c>
      <c r="C77" s="10"/>
      <c r="D77" s="11"/>
      <c r="E77" s="211" t="s">
        <v>1298</v>
      </c>
      <c r="F77" s="10"/>
      <c r="G77" s="10"/>
      <c r="H77" s="10"/>
      <c r="I77" s="10"/>
      <c r="J77" s="10"/>
      <c r="K77" s="10"/>
      <c r="L77" s="11"/>
    </row>
    <row r="78">
      <c r="B78" s="470" t="s">
        <v>378</v>
      </c>
      <c r="C78" s="3"/>
      <c r="D78" s="4"/>
      <c r="E78" s="208" t="s">
        <v>1299</v>
      </c>
      <c r="F78" s="3"/>
      <c r="G78" s="3"/>
      <c r="H78" s="3"/>
      <c r="I78" s="3"/>
      <c r="J78" s="3"/>
      <c r="K78" s="3"/>
      <c r="L78" s="4"/>
    </row>
    <row r="79">
      <c r="B79" s="498" t="s">
        <v>375</v>
      </c>
      <c r="C79" s="10"/>
      <c r="D79" s="11"/>
      <c r="E79" s="211" t="s">
        <v>1300</v>
      </c>
      <c r="F79" s="10"/>
      <c r="G79" s="10"/>
      <c r="H79" s="10"/>
      <c r="I79" s="10"/>
      <c r="J79" s="10"/>
      <c r="K79" s="10"/>
      <c r="L79" s="11"/>
    </row>
    <row r="80">
      <c r="B80" s="470" t="s">
        <v>1301</v>
      </c>
      <c r="C80" s="3"/>
      <c r="D80" s="4"/>
      <c r="E80" s="208" t="s">
        <v>1302</v>
      </c>
      <c r="F80" s="3"/>
      <c r="G80" s="3"/>
      <c r="H80" s="3"/>
      <c r="I80" s="3"/>
      <c r="J80" s="3"/>
      <c r="K80" s="3"/>
      <c r="L80" s="4"/>
    </row>
    <row r="81">
      <c r="B81" s="498" t="s">
        <v>1303</v>
      </c>
      <c r="C81" s="10"/>
      <c r="D81" s="11"/>
      <c r="E81" s="211" t="s">
        <v>1304</v>
      </c>
      <c r="F81" s="10"/>
      <c r="G81" s="10"/>
      <c r="H81" s="10"/>
      <c r="I81" s="10"/>
      <c r="J81" s="10"/>
      <c r="K81" s="10"/>
      <c r="L81" s="11"/>
    </row>
    <row r="82">
      <c r="B82" s="470" t="s">
        <v>1305</v>
      </c>
      <c r="C82" s="3"/>
      <c r="D82" s="4"/>
      <c r="E82" s="208" t="s">
        <v>1306</v>
      </c>
      <c r="F82" s="3"/>
      <c r="G82" s="3"/>
      <c r="H82" s="3"/>
      <c r="I82" s="3"/>
      <c r="J82" s="3"/>
      <c r="K82" s="3"/>
      <c r="L82" s="4"/>
    </row>
    <row r="83">
      <c r="B83" s="581" t="s">
        <v>1307</v>
      </c>
      <c r="C83" s="10"/>
      <c r="D83" s="11"/>
      <c r="E83" s="211" t="s">
        <v>1308</v>
      </c>
      <c r="F83" s="10"/>
      <c r="G83" s="10"/>
      <c r="H83" s="10"/>
      <c r="I83" s="10"/>
      <c r="J83" s="10"/>
      <c r="K83" s="10"/>
      <c r="L83" s="11"/>
    </row>
    <row r="84">
      <c r="B84" s="470" t="s">
        <v>440</v>
      </c>
      <c r="C84" s="3"/>
      <c r="D84" s="4"/>
      <c r="E84" s="208" t="s">
        <v>1309</v>
      </c>
      <c r="F84" s="3"/>
      <c r="G84" s="3"/>
      <c r="H84" s="3"/>
      <c r="I84" s="3"/>
      <c r="J84" s="3"/>
      <c r="K84" s="3"/>
      <c r="L84" s="4"/>
    </row>
    <row r="85">
      <c r="B85" s="498" t="s">
        <v>1310</v>
      </c>
      <c r="C85" s="10"/>
      <c r="D85" s="11"/>
      <c r="E85" s="211" t="s">
        <v>1311</v>
      </c>
      <c r="F85" s="10"/>
      <c r="G85" s="10"/>
      <c r="H85" s="10"/>
      <c r="I85" s="10"/>
      <c r="J85" s="10"/>
      <c r="K85" s="10"/>
      <c r="L85" s="11"/>
    </row>
    <row r="86">
      <c r="B86" s="470" t="s">
        <v>1312</v>
      </c>
      <c r="C86" s="3"/>
      <c r="D86" s="4"/>
      <c r="E86" s="208" t="s">
        <v>1313</v>
      </c>
      <c r="F86" s="3"/>
      <c r="G86" s="3"/>
      <c r="H86" s="3"/>
      <c r="I86" s="3"/>
      <c r="J86" s="3"/>
      <c r="K86" s="3"/>
      <c r="L86" s="4"/>
    </row>
    <row r="87">
      <c r="B87" s="498" t="s">
        <v>1161</v>
      </c>
      <c r="C87" s="10"/>
      <c r="D87" s="11"/>
      <c r="E87" s="211" t="s">
        <v>1314</v>
      </c>
      <c r="F87" s="10"/>
      <c r="G87" s="10"/>
      <c r="H87" s="10"/>
      <c r="I87" s="10"/>
      <c r="J87" s="10"/>
      <c r="K87" s="10"/>
      <c r="L87" s="11"/>
    </row>
    <row r="88">
      <c r="B88" s="470" t="s">
        <v>1315</v>
      </c>
      <c r="C88" s="3"/>
      <c r="D88" s="4"/>
      <c r="E88" s="208" t="s">
        <v>1316</v>
      </c>
      <c r="F88" s="3"/>
      <c r="G88" s="3"/>
      <c r="H88" s="3"/>
      <c r="I88" s="3"/>
      <c r="J88" s="3"/>
      <c r="K88" s="3"/>
      <c r="L88" s="4"/>
    </row>
    <row r="89">
      <c r="B89" s="498" t="s">
        <v>1317</v>
      </c>
      <c r="C89" s="10"/>
      <c r="D89" s="11"/>
      <c r="E89" s="211" t="s">
        <v>1318</v>
      </c>
      <c r="F89" s="10"/>
      <c r="G89" s="10"/>
      <c r="H89" s="10"/>
      <c r="I89" s="10"/>
      <c r="J89" s="10"/>
      <c r="K89" s="10"/>
      <c r="L89" s="11"/>
    </row>
    <row r="90">
      <c r="B90" s="470" t="s">
        <v>1319</v>
      </c>
      <c r="C90" s="3"/>
      <c r="D90" s="4"/>
      <c r="E90" s="208" t="s">
        <v>1320</v>
      </c>
      <c r="F90" s="3"/>
      <c r="G90" s="3"/>
      <c r="H90" s="3"/>
      <c r="I90" s="3"/>
      <c r="J90" s="3"/>
      <c r="K90" s="3"/>
      <c r="L90" s="4"/>
    </row>
    <row r="91">
      <c r="B91" s="498" t="s">
        <v>1321</v>
      </c>
      <c r="C91" s="10"/>
      <c r="D91" s="11"/>
      <c r="E91" s="211" t="s">
        <v>1322</v>
      </c>
      <c r="F91" s="10"/>
      <c r="G91" s="10"/>
      <c r="H91" s="10"/>
      <c r="I91" s="10"/>
      <c r="J91" s="10"/>
      <c r="K91" s="10"/>
      <c r="L91" s="11"/>
    </row>
    <row r="92">
      <c r="B92" s="470" t="s">
        <v>1323</v>
      </c>
      <c r="C92" s="3"/>
      <c r="D92" s="4"/>
      <c r="E92" s="208" t="s">
        <v>1324</v>
      </c>
      <c r="F92" s="3"/>
      <c r="G92" s="3"/>
      <c r="H92" s="3"/>
      <c r="I92" s="3"/>
      <c r="J92" s="3"/>
      <c r="K92" s="3"/>
      <c r="L92" s="4"/>
    </row>
    <row r="93">
      <c r="B93" s="498" t="s">
        <v>1325</v>
      </c>
      <c r="C93" s="10"/>
      <c r="D93" s="11"/>
      <c r="E93" s="211" t="s">
        <v>1326</v>
      </c>
      <c r="F93" s="10"/>
      <c r="G93" s="10"/>
      <c r="H93" s="10"/>
      <c r="I93" s="10"/>
      <c r="J93" s="10"/>
      <c r="K93" s="10"/>
      <c r="L93" s="11"/>
    </row>
    <row r="94">
      <c r="B94" s="470" t="s">
        <v>1327</v>
      </c>
      <c r="C94" s="3"/>
      <c r="D94" s="4"/>
      <c r="E94" s="208" t="s">
        <v>1328</v>
      </c>
      <c r="F94" s="3"/>
      <c r="G94" s="3"/>
      <c r="H94" s="3"/>
      <c r="I94" s="3"/>
      <c r="J94" s="3"/>
      <c r="K94" s="3"/>
      <c r="L94" s="4"/>
    </row>
    <row r="95">
      <c r="B95" s="498" t="s">
        <v>408</v>
      </c>
      <c r="C95" s="10"/>
      <c r="D95" s="11"/>
      <c r="E95" s="211" t="s">
        <v>1329</v>
      </c>
      <c r="F95" s="10"/>
      <c r="G95" s="10"/>
      <c r="H95" s="10"/>
      <c r="I95" s="10"/>
      <c r="J95" s="10"/>
      <c r="K95" s="10"/>
      <c r="L95" s="11"/>
    </row>
    <row r="96">
      <c r="B96" s="470" t="s">
        <v>1330</v>
      </c>
      <c r="C96" s="3"/>
      <c r="D96" s="4"/>
      <c r="E96" s="208" t="s">
        <v>1331</v>
      </c>
      <c r="F96" s="3"/>
      <c r="G96" s="3"/>
      <c r="H96" s="3"/>
      <c r="I96" s="3"/>
      <c r="J96" s="3"/>
      <c r="K96" s="3"/>
      <c r="L96" s="4"/>
    </row>
    <row r="97">
      <c r="B97" s="498" t="s">
        <v>1332</v>
      </c>
      <c r="C97" s="10"/>
      <c r="D97" s="11"/>
      <c r="E97" s="211" t="s">
        <v>1333</v>
      </c>
      <c r="F97" s="10"/>
      <c r="G97" s="10"/>
      <c r="H97" s="10"/>
      <c r="I97" s="10"/>
      <c r="J97" s="10"/>
      <c r="K97" s="10"/>
      <c r="L97" s="11"/>
    </row>
    <row r="98">
      <c r="B98" s="470" t="s">
        <v>442</v>
      </c>
      <c r="C98" s="3"/>
      <c r="D98" s="4"/>
      <c r="E98" s="208" t="s">
        <v>1334</v>
      </c>
      <c r="F98" s="3"/>
      <c r="G98" s="3"/>
      <c r="H98" s="3"/>
      <c r="I98" s="3"/>
      <c r="J98" s="3"/>
      <c r="K98" s="3"/>
      <c r="L98" s="4"/>
    </row>
    <row r="99">
      <c r="B99" s="498" t="s">
        <v>1335</v>
      </c>
      <c r="C99" s="10"/>
      <c r="D99" s="11"/>
      <c r="E99" s="211" t="s">
        <v>1336</v>
      </c>
      <c r="F99" s="10"/>
      <c r="G99" s="10"/>
      <c r="H99" s="10"/>
      <c r="I99" s="10"/>
      <c r="J99" s="10"/>
      <c r="K99" s="10"/>
      <c r="L99" s="11"/>
    </row>
    <row r="100">
      <c r="B100" s="470" t="s">
        <v>1337</v>
      </c>
      <c r="C100" s="3"/>
      <c r="D100" s="4"/>
      <c r="E100" s="208" t="s">
        <v>1338</v>
      </c>
      <c r="F100" s="3"/>
      <c r="G100" s="3"/>
      <c r="H100" s="3"/>
      <c r="I100" s="3"/>
      <c r="J100" s="3"/>
      <c r="K100" s="3"/>
      <c r="L100" s="4"/>
    </row>
    <row r="101">
      <c r="B101" s="498" t="s">
        <v>1339</v>
      </c>
      <c r="C101" s="10"/>
      <c r="D101" s="11"/>
      <c r="E101" s="211" t="s">
        <v>1340</v>
      </c>
      <c r="F101" s="10"/>
      <c r="G101" s="10"/>
      <c r="H101" s="10"/>
      <c r="I101" s="10"/>
      <c r="J101" s="10"/>
      <c r="K101" s="10"/>
      <c r="L101" s="11"/>
    </row>
    <row r="102">
      <c r="B102" s="478" t="s">
        <v>1031</v>
      </c>
      <c r="C102" s="3"/>
      <c r="D102" s="582">
        <f>10+floor(Main!$C$7/2,1)+Main!$Z$8</f>
        <v>10</v>
      </c>
      <c r="E102" s="208" t="s">
        <v>1341</v>
      </c>
      <c r="F102" s="3"/>
      <c r="G102" s="3"/>
      <c r="H102" s="3"/>
      <c r="I102" s="3"/>
      <c r="J102" s="3"/>
      <c r="K102" s="3"/>
      <c r="L102" s="4"/>
    </row>
    <row r="103">
      <c r="B103" s="494" t="s">
        <v>1032</v>
      </c>
      <c r="C103" s="535"/>
      <c r="D103" s="517" t="str">
        <f t="array" ref="D103">"/ "&amp;iferror(dget(Main!$B$3:$C$6,Main!$C$3,{"Class";"Monk"}),0)+floor((Main!$C$7-iferror(dget(Main!$B$3:$C$6,Main!$C$3,{"Class";"Monk"}),0))/4,1)</f>
        <v>/ 0</v>
      </c>
      <c r="E103" s="583"/>
      <c r="F103" s="10"/>
      <c r="G103" s="10"/>
      <c r="H103" s="10"/>
      <c r="I103" s="10"/>
      <c r="J103" s="10"/>
      <c r="K103" s="10"/>
      <c r="L103" s="11"/>
    </row>
    <row r="104">
      <c r="B104" s="470" t="s">
        <v>1342</v>
      </c>
      <c r="C104" s="3"/>
      <c r="D104" s="4"/>
      <c r="E104" s="208" t="s">
        <v>1343</v>
      </c>
      <c r="F104" s="3"/>
      <c r="G104" s="3"/>
      <c r="H104" s="3"/>
      <c r="I104" s="3"/>
      <c r="J104" s="3"/>
      <c r="K104" s="3"/>
      <c r="L104" s="4"/>
    </row>
    <row r="105">
      <c r="B105" s="498" t="s">
        <v>1344</v>
      </c>
      <c r="C105" s="10"/>
      <c r="D105" s="11"/>
      <c r="E105" s="211" t="s">
        <v>1345</v>
      </c>
      <c r="F105" s="10"/>
      <c r="G105" s="10"/>
      <c r="H105" s="10"/>
      <c r="I105" s="10"/>
      <c r="J105" s="10"/>
      <c r="K105" s="10"/>
      <c r="L105" s="11"/>
    </row>
    <row r="106">
      <c r="B106" s="470" t="s">
        <v>1101</v>
      </c>
      <c r="C106" s="3"/>
      <c r="D106" s="4"/>
      <c r="E106" s="584" t="s">
        <v>1346</v>
      </c>
      <c r="F106" s="3"/>
      <c r="G106" s="3"/>
      <c r="H106" s="3"/>
      <c r="I106" s="3"/>
      <c r="J106" s="3"/>
      <c r="K106" s="3"/>
      <c r="L106" s="4"/>
    </row>
    <row r="107">
      <c r="B107" s="498" t="s">
        <v>1347</v>
      </c>
      <c r="C107" s="10"/>
      <c r="D107" s="11"/>
      <c r="E107" s="211" t="s">
        <v>1348</v>
      </c>
      <c r="F107" s="10"/>
      <c r="G107" s="10"/>
      <c r="H107" s="10"/>
      <c r="I107" s="10"/>
      <c r="J107" s="10"/>
      <c r="K107" s="10"/>
      <c r="L107" s="11"/>
    </row>
    <row r="108">
      <c r="B108" s="470" t="s">
        <v>1349</v>
      </c>
      <c r="C108" s="3"/>
      <c r="D108" s="4"/>
      <c r="E108" s="208" t="s">
        <v>1350</v>
      </c>
      <c r="F108" s="3"/>
      <c r="G108" s="3"/>
      <c r="H108" s="3"/>
      <c r="I108" s="3"/>
      <c r="J108" s="3"/>
      <c r="K108" s="3"/>
      <c r="L108" s="4"/>
    </row>
    <row r="109">
      <c r="B109" s="498" t="s">
        <v>1351</v>
      </c>
      <c r="C109" s="10"/>
      <c r="D109" s="11"/>
      <c r="E109" s="211" t="s">
        <v>1352</v>
      </c>
      <c r="F109" s="10"/>
      <c r="G109" s="10"/>
      <c r="H109" s="10"/>
      <c r="I109" s="10"/>
      <c r="J109" s="10"/>
      <c r="K109" s="10"/>
      <c r="L109" s="11"/>
    </row>
    <row r="110">
      <c r="B110" s="470" t="s">
        <v>1353</v>
      </c>
      <c r="C110" s="3"/>
      <c r="D110" s="4"/>
      <c r="E110" s="208" t="s">
        <v>1354</v>
      </c>
      <c r="F110" s="3"/>
      <c r="G110" s="3"/>
      <c r="H110" s="3"/>
      <c r="I110" s="3"/>
      <c r="J110" s="3"/>
      <c r="K110" s="3"/>
      <c r="L110" s="4"/>
    </row>
    <row r="111">
      <c r="B111" s="498" t="s">
        <v>1355</v>
      </c>
      <c r="C111" s="10"/>
      <c r="D111" s="11"/>
      <c r="E111" s="211" t="s">
        <v>1356</v>
      </c>
      <c r="F111" s="10"/>
      <c r="G111" s="10"/>
      <c r="H111" s="10"/>
      <c r="I111" s="10"/>
      <c r="J111" s="10"/>
      <c r="K111" s="10"/>
      <c r="L111" s="11"/>
    </row>
    <row r="112">
      <c r="B112" s="470" t="s">
        <v>1357</v>
      </c>
      <c r="C112" s="3"/>
      <c r="D112" s="4"/>
      <c r="E112" s="208" t="s">
        <v>1358</v>
      </c>
      <c r="F112" s="3"/>
      <c r="G112" s="3"/>
      <c r="H112" s="3"/>
      <c r="I112" s="3"/>
      <c r="J112" s="3"/>
      <c r="K112" s="3"/>
      <c r="L112" s="4"/>
    </row>
    <row r="113">
      <c r="B113" s="498" t="s">
        <v>1359</v>
      </c>
      <c r="C113" s="10"/>
      <c r="D113" s="11"/>
      <c r="E113" s="211" t="s">
        <v>1360</v>
      </c>
      <c r="F113" s="10"/>
      <c r="G113" s="10"/>
      <c r="H113" s="10"/>
      <c r="I113" s="10"/>
      <c r="J113" s="10"/>
      <c r="K113" s="10"/>
      <c r="L113" s="11"/>
    </row>
    <row r="114">
      <c r="B114" s="470" t="s">
        <v>1361</v>
      </c>
      <c r="C114" s="3"/>
      <c r="D114" s="4"/>
      <c r="E114" s="208" t="s">
        <v>1362</v>
      </c>
      <c r="F114" s="3"/>
      <c r="G114" s="3"/>
      <c r="H114" s="3"/>
      <c r="I114" s="3"/>
      <c r="J114" s="3"/>
      <c r="K114" s="3"/>
      <c r="L114" s="4"/>
    </row>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sheetData>
  <mergeCells count="223">
    <mergeCell ref="B2:L2"/>
    <mergeCell ref="B3:D3"/>
    <mergeCell ref="E3:L3"/>
    <mergeCell ref="B4:D4"/>
    <mergeCell ref="E4:L4"/>
    <mergeCell ref="B5:D5"/>
    <mergeCell ref="E5:L5"/>
    <mergeCell ref="B6:D6"/>
    <mergeCell ref="E6:L6"/>
    <mergeCell ref="B7:D7"/>
    <mergeCell ref="E7:L7"/>
    <mergeCell ref="B8:D8"/>
    <mergeCell ref="E8:L8"/>
    <mergeCell ref="E9:L9"/>
    <mergeCell ref="B9:D9"/>
    <mergeCell ref="B10:D10"/>
    <mergeCell ref="B11:D11"/>
    <mergeCell ref="B12:D12"/>
    <mergeCell ref="B13:D13"/>
    <mergeCell ref="B14:D14"/>
    <mergeCell ref="B15:D15"/>
    <mergeCell ref="E10:L10"/>
    <mergeCell ref="E11:L11"/>
    <mergeCell ref="E12:L12"/>
    <mergeCell ref="E13:L13"/>
    <mergeCell ref="E14:L14"/>
    <mergeCell ref="E15:L15"/>
    <mergeCell ref="E16:L16"/>
    <mergeCell ref="B16:D16"/>
    <mergeCell ref="B17:D17"/>
    <mergeCell ref="B19:D19"/>
    <mergeCell ref="B20:D20"/>
    <mergeCell ref="B21:D21"/>
    <mergeCell ref="B22:D22"/>
    <mergeCell ref="B23:D23"/>
    <mergeCell ref="E17:L17"/>
    <mergeCell ref="E18:L18"/>
    <mergeCell ref="E19:L19"/>
    <mergeCell ref="E20:L20"/>
    <mergeCell ref="E21:L21"/>
    <mergeCell ref="E22:L22"/>
    <mergeCell ref="E23:L23"/>
    <mergeCell ref="E24:L24"/>
    <mergeCell ref="E25:L25"/>
    <mergeCell ref="E26:L26"/>
    <mergeCell ref="E27:L27"/>
    <mergeCell ref="E28:L28"/>
    <mergeCell ref="E29:L29"/>
    <mergeCell ref="E30:L30"/>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9:D109"/>
    <mergeCell ref="B110:D110"/>
    <mergeCell ref="B111:D111"/>
    <mergeCell ref="B112:D112"/>
    <mergeCell ref="B113:D113"/>
    <mergeCell ref="B114:D114"/>
    <mergeCell ref="B101:D101"/>
    <mergeCell ref="B102:C102"/>
    <mergeCell ref="B104:D104"/>
    <mergeCell ref="B105:D105"/>
    <mergeCell ref="B106:D106"/>
    <mergeCell ref="B107:D107"/>
    <mergeCell ref="B108:D108"/>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E80:L80"/>
    <mergeCell ref="E81:L81"/>
    <mergeCell ref="E82:L82"/>
    <mergeCell ref="E83:L83"/>
    <mergeCell ref="E84:L84"/>
    <mergeCell ref="E85:L85"/>
    <mergeCell ref="E86:L86"/>
    <mergeCell ref="E87:L87"/>
    <mergeCell ref="E88:L88"/>
    <mergeCell ref="E89:L89"/>
    <mergeCell ref="E90:L90"/>
    <mergeCell ref="E91:L91"/>
    <mergeCell ref="E92:L92"/>
    <mergeCell ref="E93:L93"/>
    <mergeCell ref="E94:L94"/>
    <mergeCell ref="E95:L95"/>
    <mergeCell ref="E96:L96"/>
    <mergeCell ref="E97:L97"/>
    <mergeCell ref="E98:L98"/>
    <mergeCell ref="E99:L99"/>
    <mergeCell ref="E100:L100"/>
    <mergeCell ref="E108:L108"/>
    <mergeCell ref="E109:L109"/>
    <mergeCell ref="E110:L110"/>
    <mergeCell ref="E111:L111"/>
    <mergeCell ref="E112:L112"/>
    <mergeCell ref="E113:L113"/>
    <mergeCell ref="E114:L114"/>
    <mergeCell ref="E101:L101"/>
    <mergeCell ref="E102:L102"/>
    <mergeCell ref="E103:L103"/>
    <mergeCell ref="E104:L104"/>
    <mergeCell ref="E105:L105"/>
    <mergeCell ref="E106:L106"/>
    <mergeCell ref="E107:L107"/>
    <mergeCell ref="E31:L31"/>
    <mergeCell ref="E32:L32"/>
    <mergeCell ref="E33:L33"/>
    <mergeCell ref="E34:L34"/>
    <mergeCell ref="E35:L35"/>
    <mergeCell ref="E36:L36"/>
    <mergeCell ref="E37:L37"/>
    <mergeCell ref="E38:L38"/>
    <mergeCell ref="E39:L39"/>
    <mergeCell ref="E40:L40"/>
    <mergeCell ref="E41:L41"/>
    <mergeCell ref="E42:L42"/>
    <mergeCell ref="E43:L43"/>
    <mergeCell ref="E44:L44"/>
    <mergeCell ref="E45:L45"/>
    <mergeCell ref="E46:L46"/>
    <mergeCell ref="E47:L47"/>
    <mergeCell ref="E48:L48"/>
    <mergeCell ref="E49:L49"/>
    <mergeCell ref="E50:L50"/>
    <mergeCell ref="E51:L51"/>
    <mergeCell ref="E52:L52"/>
    <mergeCell ref="E53:L53"/>
    <mergeCell ref="E54:L54"/>
    <mergeCell ref="E55:L55"/>
    <mergeCell ref="E56:L56"/>
    <mergeCell ref="E57:L57"/>
    <mergeCell ref="E58:L58"/>
    <mergeCell ref="E59:L59"/>
    <mergeCell ref="E60:L60"/>
    <mergeCell ref="E61:L61"/>
    <mergeCell ref="E62:L62"/>
    <mergeCell ref="E63:L63"/>
    <mergeCell ref="E64:L64"/>
    <mergeCell ref="E65:L65"/>
    <mergeCell ref="E66:L66"/>
    <mergeCell ref="E67:L67"/>
    <mergeCell ref="E68:L68"/>
    <mergeCell ref="E69:L69"/>
    <mergeCell ref="E70:L70"/>
    <mergeCell ref="E71:L71"/>
    <mergeCell ref="E72:L72"/>
    <mergeCell ref="E73:L73"/>
    <mergeCell ref="E74:L74"/>
    <mergeCell ref="E75:L75"/>
    <mergeCell ref="E76:L76"/>
    <mergeCell ref="E77:L77"/>
    <mergeCell ref="E78:L78"/>
    <mergeCell ref="E79:L7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3" width="14.43"/>
    <col customWidth="1" min="4" max="4" width="23.86"/>
    <col customWidth="1" min="5" max="6" width="14.43"/>
    <col customWidth="1" min="8" max="8" width="15.57"/>
  </cols>
  <sheetData>
    <row r="1"/>
    <row r="2">
      <c r="B2" s="467" t="s">
        <v>1363</v>
      </c>
      <c r="C2" s="3"/>
      <c r="D2" s="3"/>
      <c r="E2" s="3"/>
      <c r="F2" s="3"/>
      <c r="G2" s="3"/>
      <c r="H2" s="3"/>
      <c r="I2" s="3"/>
      <c r="J2" s="3"/>
      <c r="K2" s="3"/>
      <c r="L2" s="3"/>
      <c r="M2" s="3"/>
      <c r="N2" s="3"/>
      <c r="O2" s="3"/>
      <c r="P2" s="3"/>
      <c r="Q2" s="3"/>
      <c r="R2" s="3"/>
      <c r="S2" s="3"/>
      <c r="T2" s="4"/>
    </row>
    <row r="3">
      <c r="B3" s="468" t="s">
        <v>295</v>
      </c>
      <c r="C3" s="11"/>
      <c r="D3" s="469" t="s">
        <v>1364</v>
      </c>
      <c r="E3" s="10"/>
      <c r="F3" s="11"/>
      <c r="G3" s="468" t="s">
        <v>362</v>
      </c>
      <c r="H3" s="10"/>
      <c r="I3" s="11"/>
      <c r="J3" s="468" t="s">
        <v>1365</v>
      </c>
      <c r="K3" s="10"/>
      <c r="L3" s="10"/>
      <c r="M3" s="10"/>
      <c r="N3" s="10"/>
      <c r="O3" s="10"/>
      <c r="P3" s="10"/>
      <c r="Q3" s="10"/>
      <c r="R3" s="10"/>
      <c r="S3" s="10"/>
      <c r="T3" s="11"/>
    </row>
    <row r="4">
      <c r="B4" s="585" t="s">
        <v>568</v>
      </c>
      <c r="C4" s="154"/>
      <c r="D4" s="586"/>
      <c r="E4" s="3"/>
      <c r="F4" s="4"/>
      <c r="G4" s="586" t="s">
        <v>1366</v>
      </c>
      <c r="H4" s="4"/>
      <c r="I4" s="587" t="b">
        <v>0</v>
      </c>
      <c r="J4" s="588" t="s">
        <v>1367</v>
      </c>
      <c r="K4" s="589" t="s">
        <v>1368</v>
      </c>
      <c r="L4" s="590"/>
      <c r="M4" s="3"/>
      <c r="N4" s="3"/>
      <c r="O4" s="3"/>
      <c r="P4" s="3"/>
      <c r="Q4" s="3"/>
      <c r="R4" s="3"/>
      <c r="S4" s="3"/>
      <c r="T4" s="4"/>
    </row>
    <row r="5">
      <c r="B5" s="591"/>
      <c r="C5" s="174"/>
      <c r="D5" s="592"/>
      <c r="E5" s="10"/>
      <c r="F5" s="11"/>
      <c r="G5" s="592" t="s">
        <v>1369</v>
      </c>
      <c r="H5" s="11"/>
      <c r="I5" s="593" t="b">
        <v>0</v>
      </c>
      <c r="J5" s="594" t="s">
        <v>1370</v>
      </c>
      <c r="K5" s="595"/>
      <c r="L5" s="10"/>
      <c r="M5" s="10"/>
      <c r="N5" s="10"/>
      <c r="O5" s="10"/>
      <c r="P5" s="10"/>
      <c r="Q5" s="10"/>
      <c r="R5" s="10"/>
      <c r="S5" s="10"/>
      <c r="T5" s="11"/>
    </row>
    <row r="6">
      <c r="B6" s="596" t="s">
        <v>566</v>
      </c>
      <c r="C6" s="4"/>
      <c r="D6" s="586" t="s">
        <v>1371</v>
      </c>
      <c r="E6" s="3"/>
      <c r="F6" s="4"/>
      <c r="G6" s="586"/>
      <c r="H6" s="3"/>
      <c r="I6" s="3"/>
      <c r="J6" s="3"/>
      <c r="K6" s="3"/>
      <c r="L6" s="3"/>
      <c r="M6" s="3"/>
      <c r="N6" s="3"/>
      <c r="O6" s="3"/>
      <c r="P6" s="3"/>
      <c r="Q6" s="3"/>
      <c r="R6" s="3"/>
      <c r="S6" s="3"/>
      <c r="T6" s="4"/>
    </row>
    <row r="7">
      <c r="B7" s="585" t="s">
        <v>564</v>
      </c>
      <c r="C7" s="383"/>
      <c r="D7" s="592" t="s">
        <v>1372</v>
      </c>
      <c r="E7" s="10"/>
      <c r="F7" s="11"/>
      <c r="G7" s="592" t="s">
        <v>1373</v>
      </c>
      <c r="H7" s="11"/>
      <c r="I7" s="593" t="b">
        <v>0</v>
      </c>
      <c r="J7" s="594" t="s">
        <v>1374</v>
      </c>
      <c r="K7" s="595"/>
      <c r="L7" s="10"/>
      <c r="M7" s="10"/>
      <c r="N7" s="10"/>
      <c r="O7" s="10"/>
      <c r="P7" s="10"/>
      <c r="Q7" s="10"/>
      <c r="R7" s="10"/>
      <c r="S7" s="10"/>
      <c r="T7" s="11"/>
    </row>
    <row r="8">
      <c r="B8" s="546"/>
      <c r="C8" s="222"/>
      <c r="D8" s="586" t="s">
        <v>1375</v>
      </c>
      <c r="E8" s="3"/>
      <c r="F8" s="4"/>
      <c r="G8" s="586"/>
      <c r="H8" s="3"/>
      <c r="I8" s="3"/>
      <c r="J8" s="3"/>
      <c r="K8" s="3"/>
      <c r="L8" s="3"/>
      <c r="M8" s="3"/>
      <c r="N8" s="3"/>
      <c r="O8" s="3"/>
      <c r="P8" s="3"/>
      <c r="Q8" s="3"/>
      <c r="R8" s="3"/>
      <c r="S8" s="3"/>
      <c r="T8" s="4"/>
    </row>
    <row r="9">
      <c r="B9" s="597" t="s">
        <v>561</v>
      </c>
      <c r="C9" s="383"/>
      <c r="D9" s="592" t="s">
        <v>1375</v>
      </c>
      <c r="E9" s="10"/>
      <c r="F9" s="11"/>
      <c r="G9" s="592" t="s">
        <v>1376</v>
      </c>
      <c r="H9" s="11"/>
      <c r="I9" s="593" t="b">
        <v>0</v>
      </c>
      <c r="J9" s="594" t="s">
        <v>1377</v>
      </c>
      <c r="K9" s="595"/>
      <c r="L9" s="10"/>
      <c r="M9" s="10"/>
      <c r="N9" s="10"/>
      <c r="O9" s="10"/>
      <c r="P9" s="10"/>
      <c r="Q9" s="10"/>
      <c r="R9" s="10"/>
      <c r="S9" s="10"/>
      <c r="T9" s="11"/>
    </row>
    <row r="10">
      <c r="B10" s="472"/>
      <c r="C10" s="473"/>
      <c r="D10" s="598" t="s">
        <v>942</v>
      </c>
      <c r="E10" s="599">
        <v>1.0</v>
      </c>
      <c r="F10" s="600" t="s">
        <v>943</v>
      </c>
      <c r="G10" s="601" t="s">
        <v>1378</v>
      </c>
      <c r="H10" s="4"/>
      <c r="I10" s="602" t="b">
        <v>0</v>
      </c>
      <c r="J10" s="589" t="s">
        <v>1379</v>
      </c>
      <c r="K10" s="590"/>
      <c r="L10" s="3"/>
      <c r="M10" s="3"/>
      <c r="N10" s="3"/>
      <c r="O10" s="3"/>
      <c r="P10" s="3"/>
      <c r="Q10" s="3"/>
      <c r="R10" s="3"/>
      <c r="S10" s="3"/>
      <c r="T10" s="4"/>
    </row>
    <row r="11">
      <c r="B11" s="350"/>
      <c r="C11" s="302"/>
      <c r="D11" s="603" t="s">
        <v>1380</v>
      </c>
      <c r="E11" s="604">
        <v>1.0</v>
      </c>
      <c r="F11" s="605" t="s">
        <v>943</v>
      </c>
      <c r="G11" s="606" t="s">
        <v>1381</v>
      </c>
      <c r="H11" s="11"/>
      <c r="I11" s="593" t="b">
        <v>0</v>
      </c>
      <c r="J11" s="594" t="s">
        <v>1382</v>
      </c>
      <c r="K11" s="595"/>
      <c r="L11" s="10"/>
      <c r="M11" s="10"/>
      <c r="N11" s="10"/>
      <c r="O11" s="10"/>
      <c r="P11" s="10"/>
      <c r="Q11" s="10"/>
      <c r="R11" s="10"/>
      <c r="S11" s="10"/>
      <c r="T11" s="11"/>
    </row>
    <row r="12">
      <c r="B12" s="472"/>
      <c r="C12" s="473"/>
      <c r="D12" s="598" t="s">
        <v>1383</v>
      </c>
      <c r="E12" s="599">
        <v>1.0</v>
      </c>
      <c r="F12" s="607" t="s">
        <v>943</v>
      </c>
      <c r="G12" s="601" t="s">
        <v>1384</v>
      </c>
      <c r="H12" s="4"/>
      <c r="I12" s="602" t="b">
        <v>0</v>
      </c>
      <c r="J12" s="589" t="s">
        <v>1385</v>
      </c>
      <c r="K12" s="590"/>
      <c r="L12" s="3"/>
      <c r="M12" s="3"/>
      <c r="N12" s="3"/>
      <c r="O12" s="3"/>
      <c r="P12" s="3"/>
      <c r="Q12" s="3"/>
      <c r="R12" s="3"/>
      <c r="S12" s="3"/>
      <c r="T12" s="4"/>
    </row>
    <row r="13">
      <c r="B13" s="591"/>
      <c r="C13" s="174"/>
      <c r="D13" s="603" t="s">
        <v>1386</v>
      </c>
      <c r="E13" s="604">
        <v>1.0</v>
      </c>
      <c r="F13" s="605" t="s">
        <v>943</v>
      </c>
      <c r="G13" s="608"/>
      <c r="H13" s="10"/>
      <c r="I13" s="10"/>
      <c r="J13" s="10"/>
      <c r="K13" s="10"/>
      <c r="L13" s="10"/>
      <c r="M13" s="10"/>
      <c r="N13" s="10"/>
      <c r="O13" s="10"/>
      <c r="P13" s="10"/>
      <c r="Q13" s="10"/>
      <c r="R13" s="10"/>
      <c r="S13" s="10"/>
      <c r="T13" s="11"/>
    </row>
    <row r="14">
      <c r="B14" s="585" t="s">
        <v>559</v>
      </c>
      <c r="C14" s="154"/>
      <c r="D14" s="586" t="s">
        <v>1372</v>
      </c>
      <c r="E14" s="3"/>
      <c r="F14" s="4"/>
      <c r="G14" s="586" t="s">
        <v>1373</v>
      </c>
      <c r="H14" s="4"/>
      <c r="I14" s="602" t="b">
        <v>0</v>
      </c>
      <c r="J14" s="589" t="s">
        <v>1374</v>
      </c>
      <c r="K14" s="114"/>
      <c r="L14" s="3"/>
      <c r="M14" s="3"/>
      <c r="N14" s="3"/>
      <c r="O14" s="3"/>
      <c r="P14" s="3"/>
      <c r="Q14" s="3"/>
      <c r="R14" s="3"/>
      <c r="S14" s="3"/>
      <c r="T14" s="4"/>
    </row>
    <row r="15">
      <c r="B15" s="591"/>
      <c r="C15" s="174"/>
      <c r="D15" s="592" t="s">
        <v>1375</v>
      </c>
      <c r="E15" s="10"/>
      <c r="F15" s="11"/>
      <c r="G15" s="592"/>
      <c r="H15" s="10"/>
      <c r="I15" s="10"/>
      <c r="J15" s="10"/>
      <c r="K15" s="10"/>
      <c r="L15" s="10"/>
      <c r="M15" s="10"/>
      <c r="N15" s="10"/>
      <c r="O15" s="10"/>
      <c r="P15" s="10"/>
      <c r="Q15" s="10"/>
      <c r="R15" s="10"/>
      <c r="S15" s="10"/>
      <c r="T15" s="11"/>
    </row>
    <row r="16">
      <c r="B16" s="597" t="s">
        <v>555</v>
      </c>
      <c r="C16" s="154"/>
      <c r="D16" s="586" t="s">
        <v>1371</v>
      </c>
      <c r="E16" s="3"/>
      <c r="F16" s="4"/>
      <c r="G16" s="586" t="s">
        <v>1387</v>
      </c>
      <c r="H16" s="4"/>
      <c r="I16" s="602" t="b">
        <v>0</v>
      </c>
      <c r="J16" s="589" t="s">
        <v>1388</v>
      </c>
      <c r="K16" s="590"/>
      <c r="L16" s="3"/>
      <c r="M16" s="3"/>
      <c r="N16" s="3"/>
      <c r="O16" s="3"/>
      <c r="P16" s="3"/>
      <c r="Q16" s="3"/>
      <c r="R16" s="3"/>
      <c r="S16" s="3"/>
      <c r="T16" s="4"/>
    </row>
    <row r="17">
      <c r="B17" s="350"/>
      <c r="C17" s="302"/>
      <c r="D17" s="592" t="s">
        <v>1389</v>
      </c>
      <c r="E17" s="10"/>
      <c r="F17" s="11"/>
      <c r="G17" s="592" t="s">
        <v>1390</v>
      </c>
      <c r="H17" s="11"/>
      <c r="I17" s="593" t="b">
        <v>0</v>
      </c>
      <c r="J17" s="594" t="s">
        <v>1391</v>
      </c>
      <c r="K17" s="595"/>
      <c r="L17" s="10"/>
      <c r="M17" s="10"/>
      <c r="N17" s="10"/>
      <c r="O17" s="10"/>
      <c r="P17" s="10"/>
      <c r="Q17" s="10"/>
      <c r="R17" s="10"/>
      <c r="S17" s="10"/>
      <c r="T17" s="11"/>
    </row>
    <row r="18">
      <c r="B18" s="472"/>
      <c r="C18" s="473"/>
      <c r="D18" s="586" t="s">
        <v>1392</v>
      </c>
      <c r="E18" s="3"/>
      <c r="F18" s="4"/>
      <c r="G18" s="609" t="s">
        <v>1393</v>
      </c>
      <c r="H18" s="4"/>
      <c r="I18" s="602" t="b">
        <v>0</v>
      </c>
      <c r="J18" s="589" t="s">
        <v>1394</v>
      </c>
      <c r="K18" s="238" t="s">
        <v>1392</v>
      </c>
      <c r="L18" s="588" t="s">
        <v>1395</v>
      </c>
      <c r="M18" s="590"/>
      <c r="N18" s="3"/>
      <c r="O18" s="3"/>
      <c r="P18" s="3"/>
      <c r="Q18" s="3"/>
      <c r="R18" s="3"/>
      <c r="S18" s="3"/>
      <c r="T18" s="4"/>
    </row>
    <row r="19">
      <c r="B19" s="591"/>
      <c r="C19" s="174"/>
      <c r="D19" s="610"/>
      <c r="E19" s="610"/>
      <c r="F19" s="610"/>
      <c r="G19" s="592" t="s">
        <v>1384</v>
      </c>
      <c r="H19" s="11"/>
      <c r="I19" s="593" t="b">
        <v>0</v>
      </c>
      <c r="J19" s="594" t="s">
        <v>1385</v>
      </c>
      <c r="K19" s="107"/>
      <c r="L19" s="10"/>
      <c r="M19" s="10"/>
      <c r="N19" s="10"/>
      <c r="O19" s="10"/>
      <c r="P19" s="10"/>
      <c r="Q19" s="10"/>
      <c r="R19" s="10"/>
      <c r="S19" s="10"/>
      <c r="T19" s="11"/>
    </row>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sheetData>
  <mergeCells count="50">
    <mergeCell ref="D9:F9"/>
    <mergeCell ref="G9:H9"/>
    <mergeCell ref="K9:T9"/>
    <mergeCell ref="K10:T10"/>
    <mergeCell ref="K11:T11"/>
    <mergeCell ref="K12:T12"/>
    <mergeCell ref="G13:T13"/>
    <mergeCell ref="D14:F14"/>
    <mergeCell ref="G14:H14"/>
    <mergeCell ref="K14:T14"/>
    <mergeCell ref="D15:F15"/>
    <mergeCell ref="G15:T15"/>
    <mergeCell ref="G16:H16"/>
    <mergeCell ref="K16:T16"/>
    <mergeCell ref="J3:T3"/>
    <mergeCell ref="L4:T4"/>
    <mergeCell ref="K5:T5"/>
    <mergeCell ref="G6:T6"/>
    <mergeCell ref="K7:T7"/>
    <mergeCell ref="G8:T8"/>
    <mergeCell ref="B2:T2"/>
    <mergeCell ref="B3:C3"/>
    <mergeCell ref="D3:F3"/>
    <mergeCell ref="G3:I3"/>
    <mergeCell ref="B4:C5"/>
    <mergeCell ref="D4:F4"/>
    <mergeCell ref="G4:H4"/>
    <mergeCell ref="B7:C8"/>
    <mergeCell ref="B9:C13"/>
    <mergeCell ref="B14:C15"/>
    <mergeCell ref="B16:C19"/>
    <mergeCell ref="G10:H10"/>
    <mergeCell ref="G11:H11"/>
    <mergeCell ref="G12:H12"/>
    <mergeCell ref="G19:H19"/>
    <mergeCell ref="D5:F5"/>
    <mergeCell ref="G5:H5"/>
    <mergeCell ref="B6:C6"/>
    <mergeCell ref="D6:F6"/>
    <mergeCell ref="D7:F7"/>
    <mergeCell ref="G7:H7"/>
    <mergeCell ref="D8:F8"/>
    <mergeCell ref="D16:F16"/>
    <mergeCell ref="D17:F17"/>
    <mergeCell ref="G17:H17"/>
    <mergeCell ref="K17:T17"/>
    <mergeCell ref="D18:F18"/>
    <mergeCell ref="G18:H18"/>
    <mergeCell ref="M18:T18"/>
    <mergeCell ref="K19:T19"/>
  </mergeCells>
  <hyperlinks>
    <hyperlink r:id="rId2" ref="D10"/>
    <hyperlink r:id="rId3" ref="D11"/>
    <hyperlink r:id="rId4" ref="D12"/>
    <hyperlink r:id="rId5" ref="D13"/>
  </hyperlinks>
  <drawing r:id="rId6"/>
  <legacyDrawing r:id="rId7"/>
</worksheet>
</file>