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pared Spells" sheetId="1" r:id="rId4"/>
    <sheet state="hidden" name="Dupe" sheetId="2" r:id="rId5"/>
    <sheet state="hidden" name="Tables" sheetId="3" r:id="rId6"/>
    <sheet state="visible" name="Spell List" sheetId="4" r:id="rId7"/>
    <sheet state="hidden" name="DataSheet" sheetId="5" r:id="rId8"/>
  </sheets>
  <definedNames>
    <definedName name="base_spells">Tables!$A$2:$K$22</definedName>
    <definedName name="Level">'Prepared Spells'!$F$3</definedName>
    <definedName name="bonus_spells">Tables!$A$25:$J$48</definedName>
    <definedName name="SuperList">'Spell List'!$C$16:$X$184</definedName>
  </definedNames>
  <calcPr/>
</workbook>
</file>

<file path=xl/sharedStrings.xml><?xml version="1.0" encoding="utf-8"?>
<sst xmlns="http://schemas.openxmlformats.org/spreadsheetml/2006/main" count="1787" uniqueCount="544">
  <si>
    <t>Quick Links</t>
  </si>
  <si>
    <t>Level</t>
  </si>
  <si>
    <t>WIS Mod</t>
  </si>
  <si>
    <t>Orisons</t>
  </si>
  <si>
    <t>1st Level Spells</t>
  </si>
  <si>
    <t>2nd Level Spells</t>
  </si>
  <si>
    <t>3rd Level Spells</t>
  </si>
  <si>
    <t>4th Level Spells</t>
  </si>
  <si>
    <t>5th Level Spells</t>
  </si>
  <si>
    <t>6th Level Spells</t>
  </si>
  <si>
    <t>7th Level Spells</t>
  </si>
  <si>
    <t>8th Level Spells</t>
  </si>
  <si>
    <t>9th Level Spells</t>
  </si>
  <si>
    <t>Orisons Prepared</t>
  </si>
  <si>
    <t>Number Prepared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</si>
  <si>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</si>
  <si>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</si>
  <si>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</si>
  <si>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</si>
  <si>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</si>
  <si>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</si>
  <si>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</si>
  <si>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</si>
  <si>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</si>
  <si>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</si>
  <si>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</si>
  <si>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</si>
  <si>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Prepared</t>
  </si>
  <si>
    <t>1st Level Spells Prepared</t>
  </si>
  <si>
    <t>2nd Level Spells Prepared</t>
  </si>
  <si>
    <t>3rd Level Spells Prepared</t>
  </si>
  <si>
    <t>4th Level Spells Prepared</t>
  </si>
  <si>
    <t>5th Level Spells Prepared</t>
  </si>
  <si>
    <t>6th Level Spells Prepared</t>
  </si>
  <si>
    <t>7th Level Spells Prepared</t>
  </si>
  <si>
    <t>8th Level Spells Prepared</t>
  </si>
  <si>
    <t>9th Level Spells Prepared</t>
  </si>
  <si>
    <t xml:space="preserve"> Times Prepared</t>
  </si>
  <si>
    <t>Times Prepared</t>
  </si>
  <si>
    <t>0th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</si>
  <si>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</si>
  <si>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</si>
  <si>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</si>
  <si>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</si>
  <si>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</si>
  <si>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</si>
  <si>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</si>
  <si>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</si>
  <si>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</si>
  <si>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Cantrips</t>
  </si>
  <si>
    <t>Super List</t>
  </si>
  <si>
    <t>Create Water</t>
  </si>
  <si>
    <t>Conjuration
Creation
Water</t>
  </si>
  <si>
    <t>V, S</t>
  </si>
  <si>
    <t>1 standard action</t>
  </si>
  <si>
    <t>Instantaneous</t>
  </si>
  <si>
    <t>None</t>
  </si>
  <si>
    <t>No</t>
  </si>
  <si>
    <t>Cure Minor Wounds</t>
  </si>
  <si>
    <t>Conjuration
Healing</t>
  </si>
  <si>
    <t>Touch</t>
  </si>
  <si>
    <t>Creature Touched</t>
  </si>
  <si>
    <t>Will half
harmless
see text</t>
  </si>
  <si>
    <t>Yes
harmless
see text</t>
  </si>
  <si>
    <t>Cures 1 point of damage</t>
  </si>
  <si>
    <t>Detect Magic</t>
  </si>
  <si>
    <t>Divination</t>
  </si>
  <si>
    <t>60 ft</t>
  </si>
  <si>
    <t>Cone Shaped Emanation</t>
  </si>
  <si>
    <t>Detects spells and magic items within 60 ft</t>
  </si>
  <si>
    <t>Detect Poison</t>
  </si>
  <si>
    <t>One creature, one object, or a 5 ft cube</t>
  </si>
  <si>
    <t>Detects poison in one creature or small object</t>
  </si>
  <si>
    <t>Flare</t>
  </si>
  <si>
    <t>Evocation
Light</t>
  </si>
  <si>
    <t>V</t>
  </si>
  <si>
    <t>Burst of Light</t>
  </si>
  <si>
    <t>Fortitude negates</t>
  </si>
  <si>
    <t>Yes</t>
  </si>
  <si>
    <t>Dazzles one creature (-1 on attack rolls)</t>
  </si>
  <si>
    <t>Guidance</t>
  </si>
  <si>
    <t>1 minute or until discharged</t>
  </si>
  <si>
    <t>Will negates
harmless</t>
  </si>
  <si>
    <t>Grants +1 on one attack roll, saving throw, or skill check.</t>
  </si>
  <si>
    <t>Know Direction</t>
  </si>
  <si>
    <t>Personal</t>
  </si>
  <si>
    <t>You</t>
  </si>
  <si>
    <t>NA</t>
  </si>
  <si>
    <t>You discern north</t>
  </si>
  <si>
    <t>Light</t>
  </si>
  <si>
    <t xml:space="preserve">V, DF
</t>
  </si>
  <si>
    <t>Object Touched</t>
  </si>
  <si>
    <t>Object shines like a torch</t>
  </si>
  <si>
    <t>Mending</t>
  </si>
  <si>
    <t>Transmutation</t>
  </si>
  <si>
    <t>10 ft</t>
  </si>
  <si>
    <t>One object of up to 1 lb</t>
  </si>
  <si>
    <t>Will negates
harmless, object</t>
  </si>
  <si>
    <t>Yes
harmless, object</t>
  </si>
  <si>
    <t>Makes minor repairs on an object</t>
  </si>
  <si>
    <t>Purify Food and Drink</t>
  </si>
  <si>
    <t>Will negates
object</t>
  </si>
  <si>
    <t>Yes
object</t>
  </si>
  <si>
    <t>Read Magic</t>
  </si>
  <si>
    <t>V, S, F</t>
  </si>
  <si>
    <t>Read scrolls and spellbooks</t>
  </si>
  <si>
    <t>Resistance</t>
  </si>
  <si>
    <t>Abjuration</t>
  </si>
  <si>
    <t xml:space="preserve">V, S, DF
</t>
  </si>
  <si>
    <t>1 minute</t>
  </si>
  <si>
    <t>Yes
harmless</t>
  </si>
  <si>
    <t>Subject gains +1 on saving throws</t>
  </si>
  <si>
    <t>Virtue</t>
  </si>
  <si>
    <t>Subject gains 1 temporary hp</t>
  </si>
  <si>
    <t>Calm Animals</t>
  </si>
  <si>
    <t>Enchantment
Compulsion
Mind-Affecting</t>
  </si>
  <si>
    <t>Animals within 30 ft of each other</t>
  </si>
  <si>
    <t>Will negates
see text</t>
  </si>
  <si>
    <t>Charm Animal</t>
  </si>
  <si>
    <t>Enchantment
Charm
Mind Affecting</t>
  </si>
  <si>
    <t>One animal</t>
  </si>
  <si>
    <t>Will negates</t>
  </si>
  <si>
    <t>Makes one animal your friend.</t>
  </si>
  <si>
    <t>Cure Light Wounds</t>
  </si>
  <si>
    <t>Detect Animals or Plants</t>
  </si>
  <si>
    <t>Detects kinds of animals or plants.</t>
  </si>
  <si>
    <t>Detect Snares and Pits</t>
  </si>
  <si>
    <t>Reveals natural or primitive traps.</t>
  </si>
  <si>
    <t>Endure Elements</t>
  </si>
  <si>
    <t>Creature touched</t>
  </si>
  <si>
    <t>24 hours</t>
  </si>
  <si>
    <t>Exist comfortably in hot or cold environments</t>
  </si>
  <si>
    <t>Entangle</t>
  </si>
  <si>
    <t>V, S, DF</t>
  </si>
  <si>
    <t>Plants in a 40-ft.-radius spread</t>
  </si>
  <si>
    <t>Reflex partial
see text</t>
  </si>
  <si>
    <t>Plants entangle everyone in 40 ft radius.</t>
  </si>
  <si>
    <t>Faerie Fire</t>
  </si>
  <si>
    <t>Creatures and objects within a 5-ft.-radius burst</t>
  </si>
  <si>
    <t>Outlines subjects with light, canceling blur, concealment, and the like.</t>
  </si>
  <si>
    <t>Goodberry</t>
  </si>
  <si>
    <t>2d4 fresh berries touched</t>
  </si>
  <si>
    <t>2d4 berries each cure 1 hp (max 8 hp/24 hours).</t>
  </si>
  <si>
    <t>Hide from Animals</t>
  </si>
  <si>
    <t>S, DF</t>
  </si>
  <si>
    <t>Jump</t>
  </si>
  <si>
    <t>V, S, M
No Listed Cost</t>
  </si>
  <si>
    <t>Subject gets bonus on Jump checks.</t>
  </si>
  <si>
    <t>Longstrider</t>
  </si>
  <si>
    <t>Your speed increases by 10 ft.</t>
  </si>
  <si>
    <t>Magic Fang</t>
  </si>
  <si>
    <t>Living Creature touched</t>
  </si>
  <si>
    <t>One natural weapon of subject creature gets +1 on attack and damage rolls.</t>
  </si>
  <si>
    <t>Magic Stone</t>
  </si>
  <si>
    <t>Up to 3 pebbles touched</t>
  </si>
  <si>
    <t>30 minutes or until discharged</t>
  </si>
  <si>
    <t>Three stones gain +1 on attack rolls, deal 1d6+1 damage</t>
  </si>
  <si>
    <t>Obscuring Mist</t>
  </si>
  <si>
    <t>Conjuration
Creation</t>
  </si>
  <si>
    <t>20 ft</t>
  </si>
  <si>
    <t>Cloud spreads in 20 ft radius from you, 20 ft high</t>
  </si>
  <si>
    <t>Fog surrounds you</t>
  </si>
  <si>
    <t>Pass without Trace</t>
  </si>
  <si>
    <t>Produce Flame</t>
  </si>
  <si>
    <t>Evocation
Fire</t>
  </si>
  <si>
    <t>0 ft</t>
  </si>
  <si>
    <t>Flame in your palm</t>
  </si>
  <si>
    <t>Shillelagh</t>
  </si>
  <si>
    <t>One touched nonmagical oak club or quarterstaff</t>
  </si>
  <si>
    <t>Cudgel or quarterstaff becomes +1 weapon and deals damage as if two sizes larger</t>
  </si>
  <si>
    <t>Speak with Animals</t>
  </si>
  <si>
    <t>You can communicate with animals.</t>
  </si>
  <si>
    <t>Summon Nature's Ally I</t>
  </si>
  <si>
    <t>Conjuration
Summoning
See text</t>
  </si>
  <si>
    <t>1 round</t>
  </si>
  <si>
    <t>One summoned creature</t>
  </si>
  <si>
    <t>Calls creature to fight.</t>
  </si>
  <si>
    <t>Animal Messenger</t>
  </si>
  <si>
    <t>One Tiny animal</t>
  </si>
  <si>
    <t>None
see text</t>
  </si>
  <si>
    <t>Sends a Tiny animal to a specific place.</t>
  </si>
  <si>
    <t>Animal Trance</t>
  </si>
  <si>
    <t>Enchantment
Compulsion
Mind-Affecting
Sonic</t>
  </si>
  <si>
    <t>Animals or magical beasts with Intelligence 1 or 2</t>
  </si>
  <si>
    <t>Concentration</t>
  </si>
  <si>
    <t>Fascinates 2d6 HD of animals.</t>
  </si>
  <si>
    <t>Barkskin</t>
  </si>
  <si>
    <t>Living creature touched</t>
  </si>
  <si>
    <t>Grants +2 (or higher) enhancement to natural armor.</t>
  </si>
  <si>
    <t>Bear's Endurance</t>
  </si>
  <si>
    <t>Bull's Strength</t>
  </si>
  <si>
    <t>Cat's Grace</t>
  </si>
  <si>
    <t xml:space="preserve">Yes
</t>
  </si>
  <si>
    <t>Chill Metal</t>
  </si>
  <si>
    <t>Transmutation
Cold</t>
  </si>
  <si>
    <t>7 rounds</t>
  </si>
  <si>
    <t>Cold metal damages those who touch it.</t>
  </si>
  <si>
    <t>Delay Posion</t>
  </si>
  <si>
    <t>Fortitude negates
harmless</t>
  </si>
  <si>
    <t>Fire Trap</t>
  </si>
  <si>
    <t>Abjuration
Fire</t>
  </si>
  <si>
    <t>V, S, M
Cost: 25 gp</t>
  </si>
  <si>
    <t>10 minutes</t>
  </si>
  <si>
    <t>Object touched</t>
  </si>
  <si>
    <t>Permanent until discharged (D)</t>
  </si>
  <si>
    <t>Reflex half
see text</t>
  </si>
  <si>
    <t>Flame Blade</t>
  </si>
  <si>
    <t>Sword-like beam</t>
  </si>
  <si>
    <t>Flaming Sphere</t>
  </si>
  <si>
    <t>5 ft diameter sphere</t>
  </si>
  <si>
    <t>Reflex negates</t>
  </si>
  <si>
    <t>Fog Cloud</t>
  </si>
  <si>
    <t>Fog spreads in 20-ft. radius, 20 ft. high</t>
  </si>
  <si>
    <t>Fog obscures vision.</t>
  </si>
  <si>
    <t>Gust of Wind</t>
  </si>
  <si>
    <t>Evocation
Air</t>
  </si>
  <si>
    <t>Line-shaped gust of severe wind emanating out from you to the extreme of the range</t>
  </si>
  <si>
    <t>Blows away or knocks down smaller creatures.</t>
  </si>
  <si>
    <t>Heat Metal</t>
  </si>
  <si>
    <t>Transmutation
Fire</t>
  </si>
  <si>
    <t>Make metal so hot it damages those who touch it.</t>
  </si>
  <si>
    <t>Hold Animal</t>
  </si>
  <si>
    <t>Owl's Wisdom</t>
  </si>
  <si>
    <t>Reduce Animal</t>
  </si>
  <si>
    <t>One willing animal of Small, Medium, Large, or Huge size</t>
  </si>
  <si>
    <t>Shrinks one willing animal</t>
  </si>
  <si>
    <t>Resist Energy</t>
  </si>
  <si>
    <t>Ignores 10 (or more) points of damage/attack from specified energy type</t>
  </si>
  <si>
    <t>Lesser Restoration</t>
  </si>
  <si>
    <t>3 rounds</t>
  </si>
  <si>
    <t>Dispels magical ability penalty or repairs 1d4 ability damage</t>
  </si>
  <si>
    <t>Soften Earth and Stone</t>
  </si>
  <si>
    <t>Transmutation
Earth</t>
  </si>
  <si>
    <t>Turns stone to clay or dirt to sand or mud</t>
  </si>
  <si>
    <t>Spider Climb</t>
  </si>
  <si>
    <t>Grants ability to walk on walls and ceilings</t>
  </si>
  <si>
    <t>Summon Nature's Ally II</t>
  </si>
  <si>
    <t xml:space="preserve">One or more creatures, no two of which can be more than 30 ft. apart
</t>
  </si>
  <si>
    <t>Summon Swarm</t>
  </si>
  <si>
    <t>Conjuration
Summoning</t>
  </si>
  <si>
    <t>One swarm of bats, rats, or spiders</t>
  </si>
  <si>
    <t>Concentration
+2 rounds</t>
  </si>
  <si>
    <t>Summons swarm of bats, rats, or spiders</t>
  </si>
  <si>
    <t>Tree Shape</t>
  </si>
  <si>
    <t>Warp Wood</t>
  </si>
  <si>
    <t>Bends wood (shaft, handle, door, plank)</t>
  </si>
  <si>
    <t>Wood Shape</t>
  </si>
  <si>
    <t>Rearranges wooden objects to suit you</t>
  </si>
  <si>
    <t>Call Lightning</t>
  </si>
  <si>
    <t>Evocation
Electricity</t>
  </si>
  <si>
    <t>One or more 30-ft.-long vertical lines of lightning</t>
  </si>
  <si>
    <t>Reflex half</t>
  </si>
  <si>
    <t>Calls down lightning bolts (3d6 per bolt) from sky</t>
  </si>
  <si>
    <t>Contagion</t>
  </si>
  <si>
    <t>Necromancy
Evil</t>
  </si>
  <si>
    <t>Infects subject with chosen disease</t>
  </si>
  <si>
    <t>Cure Moderate Wounds</t>
  </si>
  <si>
    <t>Daylight</t>
  </si>
  <si>
    <t>60-ft. radius of bright light</t>
  </si>
  <si>
    <t>Diminish Plants</t>
  </si>
  <si>
    <t>See text</t>
  </si>
  <si>
    <t>Reduces size or blights growth of normal plants</t>
  </si>
  <si>
    <t>Dominate Animal</t>
  </si>
  <si>
    <t>Subject animal obeys silent mental commands</t>
  </si>
  <si>
    <t>Greater Magic Fang</t>
  </si>
  <si>
    <t>One living creature</t>
  </si>
  <si>
    <t>Meld into Stone</t>
  </si>
  <si>
    <t>You and your gear merge with stone</t>
  </si>
  <si>
    <t>Neutralize Poison</t>
  </si>
  <si>
    <t>Will negates
harmless
object</t>
  </si>
  <si>
    <t>Yes
harmless
object</t>
  </si>
  <si>
    <t>Immunizes subject against poison, detoxifies venom in or on subject</t>
  </si>
  <si>
    <t>Plant Growth</t>
  </si>
  <si>
    <t>Grows vegetation, improves crops</t>
  </si>
  <si>
    <t>Poison</t>
  </si>
  <si>
    <t>Necromancy</t>
  </si>
  <si>
    <t>Instantaneous
see text</t>
  </si>
  <si>
    <t>Fortitude negates
see text</t>
  </si>
  <si>
    <t>Touch deals 1d10 Con damage, repeats in 1 min</t>
  </si>
  <si>
    <t>Protection from Energy</t>
  </si>
  <si>
    <t>Quench</t>
  </si>
  <si>
    <t>None
or
Will negates
object</t>
  </si>
  <si>
    <t>No
or
Yes
object</t>
  </si>
  <si>
    <t>Extinguishes nonmagical fires or one magic item</t>
  </si>
  <si>
    <t>Remove Disease</t>
  </si>
  <si>
    <t>Cures all diseases affecting subject</t>
  </si>
  <si>
    <t>Sleet Storm</t>
  </si>
  <si>
    <t>Conjuration
Creation
Cold</t>
  </si>
  <si>
    <t>Cylinder (40 ft radius, 20 ft high)</t>
  </si>
  <si>
    <t>Hampers vision and movement</t>
  </si>
  <si>
    <t>Snare</t>
  </si>
  <si>
    <t>Until triggered or broken</t>
  </si>
  <si>
    <t>Creates a magic booby trap</t>
  </si>
  <si>
    <t>Speak with Plants</t>
  </si>
  <si>
    <t>You can talk to normal plants and plant creatures</t>
  </si>
  <si>
    <t>Spike Growth</t>
  </si>
  <si>
    <t>Reflex partial</t>
  </si>
  <si>
    <t>Creatures in area take 1d4 damage, may be slowed</t>
  </si>
  <si>
    <t>Stone Shape</t>
  </si>
  <si>
    <t>Sculpts stone into any shape</t>
  </si>
  <si>
    <t>Summon Nature's Ally III</t>
  </si>
  <si>
    <t>Water Breathing</t>
  </si>
  <si>
    <t>Living creatures touched</t>
  </si>
  <si>
    <t>Subjects can breathe underwater</t>
  </si>
  <si>
    <t>Wind Wall</t>
  </si>
  <si>
    <t>Deflects arrows, smaller creatures, and gases</t>
  </si>
  <si>
    <t>Air Walk</t>
  </si>
  <si>
    <t>Transmutation
Air</t>
  </si>
  <si>
    <t>Creature (Gargantuan or smaller) touched</t>
  </si>
  <si>
    <t>Subject treads on air as if solid (climb at 45-degree angle)</t>
  </si>
  <si>
    <t>Antiplant Shell</t>
  </si>
  <si>
    <t>10-ft.-radius emanation, centered on you</t>
  </si>
  <si>
    <t>Keeps animated plants at bay</t>
  </si>
  <si>
    <t>Blight</t>
  </si>
  <si>
    <t>Fortitude half
see text</t>
  </si>
  <si>
    <t>Command Plants</t>
  </si>
  <si>
    <t xml:space="preserve">V
</t>
  </si>
  <si>
    <t>Sway the actions of one or more plant creatures</t>
  </si>
  <si>
    <t>Control Water</t>
  </si>
  <si>
    <t>Transmutation
Water</t>
  </si>
  <si>
    <t>Raises or lowers bodies of water</t>
  </si>
  <si>
    <t>Cure Serious Wounds</t>
  </si>
  <si>
    <t>Dispel Magic</t>
  </si>
  <si>
    <t>One spellcaster, creature, or object; or 20-ft-radius burst</t>
  </si>
  <si>
    <t>Cancels magical spells and effects</t>
  </si>
  <si>
    <t>Flame Strike</t>
  </si>
  <si>
    <t>Cylinder (10 ft radius, 40 ft high)</t>
  </si>
  <si>
    <t>Freedom of Movement</t>
  </si>
  <si>
    <t>V, S, M, DF
No Listed Cost</t>
  </si>
  <si>
    <t>Personal or Touch</t>
  </si>
  <si>
    <t>You or creature touched</t>
  </si>
  <si>
    <t>Subject moves normally despite impediments</t>
  </si>
  <si>
    <t>Giant Vermin</t>
  </si>
  <si>
    <t>Up to three vermin, no two of which can be more than 30 ft. apart</t>
  </si>
  <si>
    <t>Turns centipedes, scorpions, or spiders into giant vermin</t>
  </si>
  <si>
    <t>Ice Storm</t>
  </si>
  <si>
    <t>Evocation
Cold</t>
  </si>
  <si>
    <t>Cylinder (20-ft. radius, 40 ft. high)</t>
  </si>
  <si>
    <t>1 full round</t>
  </si>
  <si>
    <t>Hail deals 5d6 damage in cylinder 40 ft. across</t>
  </si>
  <si>
    <t>Reincarnate</t>
  </si>
  <si>
    <t>V, S, M, DF
Cost: 1000 gp</t>
  </si>
  <si>
    <t>Dead creature touched</t>
  </si>
  <si>
    <t>Brings dead subject back in a random body</t>
  </si>
  <si>
    <t>Repel Vermin</t>
  </si>
  <si>
    <t>10 ft radius emanation centered on you</t>
  </si>
  <si>
    <t>None
or
Will negates
see text</t>
  </si>
  <si>
    <t>Insects, spiders, and other vermin stay 10 ft. away</t>
  </si>
  <si>
    <t>Rusting Grasp</t>
  </si>
  <si>
    <t>One nonmagical ferrous object (or the volume of the object within 3 ft. of the touched point) or one ferrous creature</t>
  </si>
  <si>
    <t>Your touch corrodes iron and alloys</t>
  </si>
  <si>
    <t>Scrying</t>
  </si>
  <si>
    <t>Divination
Scrying</t>
  </si>
  <si>
    <t>V, S, DF, F
Focus: A natural pool of water</t>
  </si>
  <si>
    <t>1 hour</t>
  </si>
  <si>
    <t>Magical sensor</t>
  </si>
  <si>
    <t>Spies on subject from a distance</t>
  </si>
  <si>
    <t>Spike Stones</t>
  </si>
  <si>
    <t>Creatures in area take 1d8 damage, may be slowed</t>
  </si>
  <si>
    <t>Summon Nature's Ally IV</t>
  </si>
  <si>
    <t>Animal Growth</t>
  </si>
  <si>
    <t>Atonement</t>
  </si>
  <si>
    <t>V, S, M, F, DF, XP
No Listed Cost
Focus: 500 gp</t>
  </si>
  <si>
    <t>Removes burden of misdeeds from subject</t>
  </si>
  <si>
    <t>Awaken</t>
  </si>
  <si>
    <t>V, S, DF, XP</t>
  </si>
  <si>
    <t>Animal or tree touched</t>
  </si>
  <si>
    <t>Animal or tree gains human intellect</t>
  </si>
  <si>
    <t>Baleful Polymorph</t>
  </si>
  <si>
    <t>One creature</t>
  </si>
  <si>
    <t>Permanent</t>
  </si>
  <si>
    <t>Fortitude negates
Will partial
see text</t>
  </si>
  <si>
    <t>Transforms subject into harmless animal</t>
  </si>
  <si>
    <t>Call Lightning Storm</t>
  </si>
  <si>
    <t>As call lightning, but 5d6 damage per bolt</t>
  </si>
  <si>
    <t>Commune with Nature</t>
  </si>
  <si>
    <t>Control Winds</t>
  </si>
  <si>
    <t>Change wind direction and speed</t>
  </si>
  <si>
    <t>Cure Critical Wounds</t>
  </si>
  <si>
    <t>Death Ward</t>
  </si>
  <si>
    <t>Grants immunity to all death spells and negative energy effects</t>
  </si>
  <si>
    <t>Hallow</t>
  </si>
  <si>
    <t>Evocation
Good</t>
  </si>
  <si>
    <t>V, S, M, DF
Cost: 1000+ gp</t>
  </si>
  <si>
    <t>40-ft. radius emanating from the touched point</t>
  </si>
  <si>
    <t>Designates location as holy</t>
  </si>
  <si>
    <t>Insect Plague</t>
  </si>
  <si>
    <t>Locust swarms attack creatures</t>
  </si>
  <si>
    <t>Stoneskin</t>
  </si>
  <si>
    <t>V, S, M
Cost: 250 gp</t>
  </si>
  <si>
    <t>Ignore 10 points of damage per attack</t>
  </si>
  <si>
    <t>Summon Nature's Ally V</t>
  </si>
  <si>
    <t>Transmute Mud to Rock</t>
  </si>
  <si>
    <t>V, S, DF
No Listed Cost</t>
  </si>
  <si>
    <t>Transmute Rock to Mud</t>
  </si>
  <si>
    <t>Tree Stride</t>
  </si>
  <si>
    <t>Conjuration
Teleportation</t>
  </si>
  <si>
    <t>Step from one tree to another far away</t>
  </si>
  <si>
    <t>Unhallow</t>
  </si>
  <si>
    <t>Evocation
Evil</t>
  </si>
  <si>
    <t>V, S, M
Cost: 1000+ gp</t>
  </si>
  <si>
    <t>Designates location as unholy</t>
  </si>
  <si>
    <t>Wall of Fire</t>
  </si>
  <si>
    <t>Wall of Thorns</t>
  </si>
  <si>
    <t>Thorns damage anyone who tries to pass</t>
  </si>
  <si>
    <t>Antilife Shell</t>
  </si>
  <si>
    <t>10-ft.-radius field hedges out living creatures</t>
  </si>
  <si>
    <t>Mass Bear's Endurance</t>
  </si>
  <si>
    <t>Mass Bull's Strength</t>
  </si>
  <si>
    <t>Mass Cat's Grace</t>
  </si>
  <si>
    <t>Mass Cure Light Wounds</t>
  </si>
  <si>
    <t>Will half
harmless
or
Will half
see text</t>
  </si>
  <si>
    <t>Yes
harmless
or
Yes
see text</t>
  </si>
  <si>
    <t>Greater Dispel Magic</t>
  </si>
  <si>
    <t>As dispel magic, but +20 on check</t>
  </si>
  <si>
    <t>Find the Path</t>
  </si>
  <si>
    <t>Personal or touch</t>
  </si>
  <si>
    <t>None
or
Will negates
harmless</t>
  </si>
  <si>
    <t>No
or
Yes
harmless</t>
  </si>
  <si>
    <t>Shows most direct way to a location</t>
  </si>
  <si>
    <t>Fire Seeds</t>
  </si>
  <si>
    <t>Conjuration</t>
  </si>
  <si>
    <t>Up to four touched acorns or up to eight touched holly berries</t>
  </si>
  <si>
    <t>None
or
Reflex half
see text</t>
  </si>
  <si>
    <t>Acorns and berries become grenades and bombs</t>
  </si>
  <si>
    <t>Ironwood</t>
  </si>
  <si>
    <t>1 minute/lb created</t>
  </si>
  <si>
    <t>Magic wood is strong as steel</t>
  </si>
  <si>
    <t>Liveoak</t>
  </si>
  <si>
    <t>Tree touched</t>
  </si>
  <si>
    <t>Oak becomes treant guardian</t>
  </si>
  <si>
    <t>Move Earth</t>
  </si>
  <si>
    <t>Dirt in an area up to 750 ft. square and up to 10 ft. deep</t>
  </si>
  <si>
    <t>Digs trenches and builds hills</t>
  </si>
  <si>
    <t>Mass Owl's Wisdom</t>
  </si>
  <si>
    <t>Repel Wood</t>
  </si>
  <si>
    <t>60-ft. line-shaped emanation from you</t>
  </si>
  <si>
    <t>Pushes away wooden objects</t>
  </si>
  <si>
    <t>Spellstaff</t>
  </si>
  <si>
    <t>Wooden quarterstaff touched</t>
  </si>
  <si>
    <t>Permanent until discharged</t>
  </si>
  <si>
    <t>Stores one spell in wooden quarterstaff</t>
  </si>
  <si>
    <t>Stone Tell</t>
  </si>
  <si>
    <t>Talk to natural or worked stone</t>
  </si>
  <si>
    <t>Summon Nature's Ally VI</t>
  </si>
  <si>
    <t>Transport via Plants</t>
  </si>
  <si>
    <t>Unlimited</t>
  </si>
  <si>
    <t>You and touched objects or other touched willing creatures</t>
  </si>
  <si>
    <t>Move instantly from one plant to another of the same kind</t>
  </si>
  <si>
    <t>Wall of Stone</t>
  </si>
  <si>
    <t>Conjuration
Creation
Earth</t>
  </si>
  <si>
    <t>Creates a stone wall that can be shaped</t>
  </si>
  <si>
    <t>Animate Plants</t>
  </si>
  <si>
    <t>One or more plants animate and fight for you</t>
  </si>
  <si>
    <t>Changestaff</t>
  </si>
  <si>
    <t>Your touched staff</t>
  </si>
  <si>
    <t>Your staff becomes a treant on command</t>
  </si>
  <si>
    <t>Control Weather</t>
  </si>
  <si>
    <t>10 minutes
see text</t>
  </si>
  <si>
    <t>2 miles</t>
  </si>
  <si>
    <t>2-mile-radius circle, centered on you; see text</t>
  </si>
  <si>
    <t>4d12 hours, see text</t>
  </si>
  <si>
    <t>Changes weather in local area</t>
  </si>
  <si>
    <t>Creeping Doom</t>
  </si>
  <si>
    <t>Swarms of centipedes attack at your command</t>
  </si>
  <si>
    <t>Mass Cure Moderate Wounds</t>
  </si>
  <si>
    <t>Fire Storm</t>
  </si>
  <si>
    <t>Heal</t>
  </si>
  <si>
    <t>Greater Scrying</t>
  </si>
  <si>
    <t>As scrying, but faster and longer</t>
  </si>
  <si>
    <t>Summon Nature's Ally VII</t>
  </si>
  <si>
    <t>Sunbeam</t>
  </si>
  <si>
    <t>Line from your hand</t>
  </si>
  <si>
    <t>Reflex negates
and
Reflex half
see text</t>
  </si>
  <si>
    <t>Beam blinds and deals 4d6 damage</t>
  </si>
  <si>
    <t>Transmute Metal to Wood</t>
  </si>
  <si>
    <t>All metal objects within a 40 ft radius burst</t>
  </si>
  <si>
    <t>Yes
object
see text</t>
  </si>
  <si>
    <t>Metal within 40 ft. becomes wood</t>
  </si>
  <si>
    <t>True Seeing</t>
  </si>
  <si>
    <t>Will negates
harmless</t>
  </si>
  <si>
    <t>Yes
harmless</t>
  </si>
  <si>
    <t>Lets you see all things as they really are</t>
  </si>
  <si>
    <t>Wind Walk</t>
  </si>
  <si>
    <t>None
and
Will negates
harmless</t>
  </si>
  <si>
    <t>No
and
Yes
harmless</t>
  </si>
  <si>
    <t>You and your allies turn vaporous and travel fast</t>
  </si>
  <si>
    <t>Animal Shapes</t>
  </si>
  <si>
    <t>Control Plants</t>
  </si>
  <si>
    <t>Control actions of one or more plant creatures</t>
  </si>
  <si>
    <t>Mass Cure Serious Wounds</t>
  </si>
  <si>
    <t>Earthquake</t>
  </si>
  <si>
    <t>Evocation
Earth</t>
  </si>
  <si>
    <t>80 ft radius spread</t>
  </si>
  <si>
    <t>Intense tremor shakes 80-ft.-radius</t>
  </si>
  <si>
    <t>Finger of Death</t>
  </si>
  <si>
    <t>Necromancy
Death</t>
  </si>
  <si>
    <t>Fortitude partial</t>
  </si>
  <si>
    <t>Kills one subject</t>
  </si>
  <si>
    <t>Repel Metal or Stone</t>
  </si>
  <si>
    <t>Abjuration
Earth</t>
  </si>
  <si>
    <t>60 ft line from you</t>
  </si>
  <si>
    <t>Pushes away metal and stone</t>
  </si>
  <si>
    <t>Reverse Gravity</t>
  </si>
  <si>
    <t>Objects and creatures fall upward</t>
  </si>
  <si>
    <t>Summon Nature's Ally VIII</t>
  </si>
  <si>
    <t>Sunburst</t>
  </si>
  <si>
    <t>80 ft radius burst</t>
  </si>
  <si>
    <t>Blinds all within 10 ft., deals 6d6 damage</t>
  </si>
  <si>
    <t>Whirlwind</t>
  </si>
  <si>
    <t>Cyclone 10 ft. wide at base, 30 ft. wide at top, and 30 ft. tall</t>
  </si>
  <si>
    <t>Reflex negates
see text</t>
  </si>
  <si>
    <t>Cyclone deals damage and can pick up creatures</t>
  </si>
  <si>
    <t>Word of Recall</t>
  </si>
  <si>
    <t>You and touched objects or other willing creatures</t>
  </si>
  <si>
    <t>None
or
Will negates
harmless, object</t>
  </si>
  <si>
    <t>No
or
Yes
harmless, object</t>
  </si>
  <si>
    <t>Teleports you back to designated place</t>
  </si>
  <si>
    <t>Antipathy</t>
  </si>
  <si>
    <t>Will partial</t>
  </si>
  <si>
    <t>Object or location affected by spell repels certain creatures</t>
  </si>
  <si>
    <t>Mass Cure Critical Wounds</t>
  </si>
  <si>
    <t>Elemental Swarm</t>
  </si>
  <si>
    <t>Two or more summoned creatures, no two of which can be more than 30 ft apart</t>
  </si>
  <si>
    <t>Summons multiple elementals</t>
  </si>
  <si>
    <t>Foresight</t>
  </si>
  <si>
    <t>“Sixth sense” warns of impending danger</t>
  </si>
  <si>
    <t>Regenerate</t>
  </si>
  <si>
    <t>3 full rounds</t>
  </si>
  <si>
    <t>Shambler</t>
  </si>
  <si>
    <t>Three or more shambling mounds, no two of which can be more than 30 ft. apart; see text</t>
  </si>
  <si>
    <t>Seven days or seven months (D); see text</t>
  </si>
  <si>
    <t>Summons 1d4+2 shambling mounds to fight for you</t>
  </si>
  <si>
    <t>Shapechange</t>
  </si>
  <si>
    <t>V, S, F
Cost: 1500 gp</t>
  </si>
  <si>
    <t>Transforms you into any creature, and change forms once per round</t>
  </si>
  <si>
    <t>Storm of Vengeance</t>
  </si>
  <si>
    <t>360 ft radius storm cloud</t>
  </si>
  <si>
    <t>Concentration (maximum 10 rounds) (D)</t>
  </si>
  <si>
    <t>Storm rains acid, lightning, and hail</t>
  </si>
  <si>
    <t>Summon Nature's Ally IX</t>
  </si>
  <si>
    <t>Sympathy</t>
  </si>
  <si>
    <t>V, S, M
Cost: 1500 gp</t>
  </si>
  <si>
    <t>Object or location attracts certain creatures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</si>
</sst>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25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u/>
      <sz val="12.0"/>
      <color rgb="FF1155CC"/>
    </font>
    <font>
      <sz val="24.0"/>
      <color theme="1"/>
      <name val="Arial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sz val="11.0"/>
      <color theme="1"/>
      <name val="Arial"/>
    </font>
    <font>
      <sz val="18.0"/>
      <color theme="1"/>
      <name val="Arial"/>
    </font>
    <font>
      <u/>
      <sz val="14.0"/>
      <color rgb="FF1155CC"/>
    </font>
    <font>
      <u/>
      <sz val="14.0"/>
      <color rgb="FF1155CC"/>
    </font>
    <font>
      <u/>
      <sz val="14.0"/>
      <color rgb="FF1155CC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2.0"/>
      <color rgb="FF1155CC"/>
    </font>
    <font>
      <u/>
      <sz val="12.0"/>
      <color rgb="FF1155CC"/>
    </font>
    <font>
      <u/>
      <sz val="12.0"/>
      <color rgb="FF1155CC"/>
      <name val="Arial"/>
    </font>
    <font>
      <u/>
      <sz val="12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top" wrapText="1"/>
    </xf>
    <xf borderId="4" fillId="0" fontId="4" numFmtId="164" xfId="0" applyAlignment="1" applyBorder="1" applyFont="1" applyNumberFormat="1">
      <alignment horizontal="center" readingOrder="0" shrinkToFit="0" vertical="top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3" fillId="3" fontId="3" numFmtId="0" xfId="0" applyBorder="1" applyFont="1"/>
    <xf borderId="0" fillId="0" fontId="2" numFmtId="0" xfId="0" applyAlignment="1" applyFont="1">
      <alignment horizontal="center" readingOrder="0" shrinkToFit="0" vertical="top" wrapText="1"/>
    </xf>
    <xf borderId="4" fillId="2" fontId="9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readingOrder="0" shrinkToFit="0" vertical="top" wrapText="1"/>
    </xf>
    <xf borderId="1" fillId="2" fontId="11" numFmtId="0" xfId="0" applyAlignment="1" applyBorder="1" applyFont="1">
      <alignment shrinkToFit="0" vertical="top" wrapText="1"/>
    </xf>
    <xf borderId="4" fillId="2" fontId="11" numFmtId="0" xfId="0" applyAlignment="1" applyBorder="1" applyFont="1">
      <alignment horizontal="center" readingOrder="0" shrinkToFit="0" vertical="top" wrapText="1"/>
    </xf>
    <xf borderId="4" fillId="3" fontId="9" numFmtId="0" xfId="0" applyAlignment="1" applyBorder="1" applyFont="1">
      <alignment horizontal="center" readingOrder="0" shrinkToFit="0" vertical="top" wrapText="1"/>
    </xf>
    <xf borderId="1" fillId="3" fontId="12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shrinkToFit="0" vertical="top" wrapText="1"/>
    </xf>
    <xf borderId="4" fillId="3" fontId="11" numFmtId="0" xfId="0" applyAlignment="1" applyBorder="1" applyFont="1">
      <alignment horizontal="center" shrinkToFit="0" vertical="top" wrapText="1"/>
    </xf>
    <xf borderId="4" fillId="2" fontId="9" numFmtId="0" xfId="0" applyAlignment="1" applyBorder="1" applyFont="1">
      <alignment horizontal="center" shrinkToFit="0" vertical="top" wrapText="1"/>
    </xf>
    <xf borderId="4" fillId="2" fontId="11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readingOrder="0" shrinkToFit="0" wrapText="1"/>
    </xf>
    <xf borderId="4" fillId="3" fontId="9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shrinkToFit="0" wrapText="1"/>
    </xf>
    <xf borderId="1" fillId="2" fontId="14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" fillId="3" fontId="15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top"/>
    </xf>
    <xf borderId="4" fillId="0" fontId="2" numFmtId="164" xfId="0" applyAlignment="1" applyBorder="1" applyFont="1" applyNumberFormat="1">
      <alignment horizontal="center" readingOrder="0" vertical="top"/>
    </xf>
    <xf borderId="1" fillId="2" fontId="16" numFmtId="0" xfId="0" applyAlignment="1" applyBorder="1" applyFont="1">
      <alignment horizontal="center" readingOrder="0" vertical="center"/>
    </xf>
    <xf borderId="1" fillId="3" fontId="17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top"/>
    </xf>
    <xf borderId="1" fillId="3" fontId="2" numFmtId="0" xfId="0" applyAlignment="1" applyBorder="1" applyFont="1">
      <alignment horizontal="center" readingOrder="0" vertical="top"/>
    </xf>
    <xf borderId="4" fillId="2" fontId="18" numFmtId="0" xfId="0" applyAlignment="1" applyBorder="1" applyFont="1">
      <alignment horizontal="center" readingOrder="0" shrinkToFit="0" vertical="top" wrapText="1"/>
    </xf>
    <xf borderId="1" fillId="2" fontId="19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shrinkToFit="0" vertical="top" wrapText="1"/>
    </xf>
    <xf borderId="4" fillId="2" fontId="4" numFmtId="0" xfId="0" applyAlignment="1" applyBorder="1" applyFont="1">
      <alignment horizontal="center" readingOrder="0" vertical="top"/>
    </xf>
    <xf borderId="4" fillId="3" fontId="18" numFmtId="0" xfId="0" applyAlignment="1" applyBorder="1" applyFont="1">
      <alignment horizontal="center" readingOrder="0" shrinkToFit="0" vertical="top" wrapText="1"/>
    </xf>
    <xf borderId="4" fillId="3" fontId="18" numFmtId="0" xfId="0" applyAlignment="1" applyBorder="1" applyFont="1">
      <alignment horizontal="center" readingOrder="0" shrinkToFit="0" vertical="top" wrapText="1"/>
    </xf>
    <xf borderId="1" fillId="3" fontId="20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horizontal="center" vertical="top"/>
    </xf>
    <xf borderId="4" fillId="2" fontId="18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vertical="top"/>
    </xf>
    <xf borderId="0" fillId="0" fontId="13" numFmtId="0" xfId="0" applyAlignment="1" applyFont="1">
      <alignment readingOrder="0"/>
    </xf>
    <xf borderId="4" fillId="3" fontId="18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0" fillId="0" fontId="13" numFmtId="0" xfId="0" applyFont="1"/>
    <xf borderId="4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readingOrder="0"/>
    </xf>
    <xf borderId="4" fillId="2" fontId="9" numFmtId="0" xfId="0" applyAlignment="1" applyBorder="1" applyFont="1">
      <alignment horizontal="center" readingOrder="0" shrinkToFit="0" vertical="top" wrapText="1"/>
    </xf>
    <xf borderId="1" fillId="2" fontId="21" numFmtId="0" xfId="0" applyAlignment="1" applyBorder="1" applyFont="1">
      <alignment horizontal="center" readingOrder="0" shrinkToFit="0" vertical="top" wrapText="1"/>
    </xf>
    <xf borderId="1" fillId="2" fontId="11" numFmtId="0" xfId="0" applyAlignment="1" applyBorder="1" applyFont="1">
      <alignment readingOrder="0" shrinkToFit="0" vertical="top" wrapText="1"/>
    </xf>
    <xf borderId="1" fillId="3" fontId="22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readingOrder="0" shrinkToFit="0" vertical="top" wrapText="1"/>
    </xf>
    <xf borderId="4" fillId="3" fontId="9" numFmtId="0" xfId="0" applyAlignment="1" applyBorder="1" applyFont="1">
      <alignment horizontal="center" readingOrder="0" shrinkToFit="0" vertical="top" wrapText="1"/>
    </xf>
    <xf borderId="1" fillId="3" fontId="23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horizontal="left" shrinkToFit="0" vertical="top" wrapText="1"/>
    </xf>
    <xf borderId="1" fillId="2" fontId="24" numFmtId="0" xfId="0" applyAlignment="1" applyBorder="1" applyFont="1">
      <alignment horizontal="center" readingOrder="0" shrinkToFit="0" vertical="top" wrapText="1"/>
    </xf>
    <xf borderId="1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2">
    <tableStyle count="3" pivot="0" name="Prepared Spells-style">
      <tableStyleElement dxfId="2" type="headerRow"/>
      <tableStyleElement dxfId="3" type="firstRowStripe"/>
      <tableStyleElement dxfId="2" type="secondRowStripe"/>
    </tableStyle>
    <tableStyle count="3" pivot="0" name="Dupe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2:H3" displayName="Table_1" id="1">
  <tableColumns count="1">
    <tableColumn name="WIS Mod" id="1"/>
  </tableColumns>
  <tableStyleInfo name="Prepared Spells-style" showColumnStripes="0" showFirstColumn="1" showLastColumn="1" showRowStripes="1"/>
</table>
</file>

<file path=xl/tables/table2.xml><?xml version="1.0" encoding="utf-8"?>
<table xmlns="http://schemas.openxmlformats.org/spreadsheetml/2006/main" ref="H2:H3" displayName="Table_2" id="2">
  <tableColumns count="1">
    <tableColumn name="WIS Mod" id="1"/>
  </tableColumns>
  <tableStyleInfo name="Dup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chillMetal.htm" TargetMode="External"/><Relationship Id="rId42" Type="http://schemas.openxmlformats.org/officeDocument/2006/relationships/hyperlink" Target="https://www.d20srd.org/srd/spells/fireTrap.htm" TargetMode="External"/><Relationship Id="rId41" Type="http://schemas.openxmlformats.org/officeDocument/2006/relationships/hyperlink" Target="https://www.d20srd.org/srd/spells/delayPoison.htm" TargetMode="External"/><Relationship Id="rId44" Type="http://schemas.openxmlformats.org/officeDocument/2006/relationships/hyperlink" Target="https://www.d20srd.org/srd/spells/flamingSphere.htm" TargetMode="External"/><Relationship Id="rId43" Type="http://schemas.openxmlformats.org/officeDocument/2006/relationships/hyperlink" Target="https://www.d20srd.org/srd/spells/flameBlade.htm" TargetMode="External"/><Relationship Id="rId46" Type="http://schemas.openxmlformats.org/officeDocument/2006/relationships/hyperlink" Target="https://www.d20srd.org/srd/spells/gustOfWind.htm" TargetMode="External"/><Relationship Id="rId45" Type="http://schemas.openxmlformats.org/officeDocument/2006/relationships/hyperlink" Target="https://www.d20srd.org/srd/spells/fogCloud.htm" TargetMode="External"/><Relationship Id="rId107" Type="http://schemas.openxmlformats.org/officeDocument/2006/relationships/hyperlink" Target="https://www.d20srd.org/srd/spells/deathWard.htm" TargetMode="External"/><Relationship Id="rId106" Type="http://schemas.openxmlformats.org/officeDocument/2006/relationships/hyperlink" Target="https://www.d20srd.org/srd/spells/cureCriticalWounds.htm" TargetMode="External"/><Relationship Id="rId105" Type="http://schemas.openxmlformats.org/officeDocument/2006/relationships/hyperlink" Target="https://www.d20srd.org/srd/spells/controlWinds.htm" TargetMode="External"/><Relationship Id="rId104" Type="http://schemas.openxmlformats.org/officeDocument/2006/relationships/hyperlink" Target="https://www.d20srd.org/srd/spells/communeWithNature.htm" TargetMode="External"/><Relationship Id="rId109" Type="http://schemas.openxmlformats.org/officeDocument/2006/relationships/hyperlink" Target="https://www.d20srd.org/srd/spells/insectPlague.htm" TargetMode="External"/><Relationship Id="rId108" Type="http://schemas.openxmlformats.org/officeDocument/2006/relationships/hyperlink" Target="https://www.d20srd.org/srd/spells/hallow.htm" TargetMode="External"/><Relationship Id="rId48" Type="http://schemas.openxmlformats.org/officeDocument/2006/relationships/hyperlink" Target="https://www.d20srd.org/srd/spells/holdAnimal.htm" TargetMode="External"/><Relationship Id="rId47" Type="http://schemas.openxmlformats.org/officeDocument/2006/relationships/hyperlink" Target="https://www.d20srd.org/srd/spells/heatMetal.htm" TargetMode="External"/><Relationship Id="rId49" Type="http://schemas.openxmlformats.org/officeDocument/2006/relationships/hyperlink" Target="https://www.d20srd.org/srd/spells/owlsWisdom.htm" TargetMode="External"/><Relationship Id="rId103" Type="http://schemas.openxmlformats.org/officeDocument/2006/relationships/hyperlink" Target="https://www.d20srd.org/srd/spells/callLightningStorm.htm" TargetMode="External"/><Relationship Id="rId102" Type="http://schemas.openxmlformats.org/officeDocument/2006/relationships/hyperlink" Target="https://www.d20srd.org/srd/spells/balefulPolymorph.htm" TargetMode="External"/><Relationship Id="rId101" Type="http://schemas.openxmlformats.org/officeDocument/2006/relationships/hyperlink" Target="https://www.d20srd.org/srd/spells/awaken.htm" TargetMode="External"/><Relationship Id="rId100" Type="http://schemas.openxmlformats.org/officeDocument/2006/relationships/hyperlink" Target="https://www.d20srd.org/srd/spells/atonement.htm" TargetMode="External"/><Relationship Id="rId31" Type="http://schemas.openxmlformats.org/officeDocument/2006/relationships/hyperlink" Target="https://www.d20srd.org/srd/spells/shillelagh.htm" TargetMode="External"/><Relationship Id="rId30" Type="http://schemas.openxmlformats.org/officeDocument/2006/relationships/hyperlink" Target="https://www.d20srd.org/srd/spells/produceFlame.htm" TargetMode="External"/><Relationship Id="rId33" Type="http://schemas.openxmlformats.org/officeDocument/2006/relationships/hyperlink" Target="https://www.d20srd.org/srd/spells/summonNaturesAllyI.htm" TargetMode="External"/><Relationship Id="rId32" Type="http://schemas.openxmlformats.org/officeDocument/2006/relationships/hyperlink" Target="https://www.d20srd.org/srd/spells/speakWithAnimals.htm" TargetMode="External"/><Relationship Id="rId35" Type="http://schemas.openxmlformats.org/officeDocument/2006/relationships/hyperlink" Target="https://www.d20srd.org/srd/spells/animalTrance.htm" TargetMode="External"/><Relationship Id="rId34" Type="http://schemas.openxmlformats.org/officeDocument/2006/relationships/hyperlink" Target="https://www.d20srd.org/srd/spells/animalMessenger.htm" TargetMode="External"/><Relationship Id="rId37" Type="http://schemas.openxmlformats.org/officeDocument/2006/relationships/hyperlink" Target="https://www.d20srd.org/srd/spells/bearsEndurance.htm" TargetMode="External"/><Relationship Id="rId36" Type="http://schemas.openxmlformats.org/officeDocument/2006/relationships/hyperlink" Target="https://www.d20srd.org/srd/spells/barkskin.htm" TargetMode="External"/><Relationship Id="rId39" Type="http://schemas.openxmlformats.org/officeDocument/2006/relationships/hyperlink" Target="https://www.d20srd.org/srd/spells/catsGrace.htm" TargetMode="External"/><Relationship Id="rId38" Type="http://schemas.openxmlformats.org/officeDocument/2006/relationships/hyperlink" Target="https://www.d20srd.org/srd/spells/bullsStrength.htm" TargetMode="External"/><Relationship Id="rId20" Type="http://schemas.openxmlformats.org/officeDocument/2006/relationships/hyperlink" Target="https://www.d20srd.org/srd/spells/entangle.htm" TargetMode="External"/><Relationship Id="rId22" Type="http://schemas.openxmlformats.org/officeDocument/2006/relationships/hyperlink" Target="https://www.d20srd.org/srd/spells/goodberry.htm" TargetMode="External"/><Relationship Id="rId21" Type="http://schemas.openxmlformats.org/officeDocument/2006/relationships/hyperlink" Target="https://www.d20srd.org/srd/spells/faerieFire.htm" TargetMode="External"/><Relationship Id="rId24" Type="http://schemas.openxmlformats.org/officeDocument/2006/relationships/hyperlink" Target="https://www.d20srd.org/srd/spells/jump.htm" TargetMode="External"/><Relationship Id="rId23" Type="http://schemas.openxmlformats.org/officeDocument/2006/relationships/hyperlink" Target="https://www.d20srd.org/srd/spells/hideFromAnimals.htm" TargetMode="External"/><Relationship Id="rId129" Type="http://schemas.openxmlformats.org/officeDocument/2006/relationships/hyperlink" Target="https://www.d20srd.org/srd/spells/owlsWisdomMass.htm" TargetMode="External"/><Relationship Id="rId128" Type="http://schemas.openxmlformats.org/officeDocument/2006/relationships/hyperlink" Target="https://www.d20srd.org/srd/spells/moveEarth.htm" TargetMode="External"/><Relationship Id="rId127" Type="http://schemas.openxmlformats.org/officeDocument/2006/relationships/hyperlink" Target="https://www.d20srd.org/srd/spells/liveoak.htm" TargetMode="External"/><Relationship Id="rId126" Type="http://schemas.openxmlformats.org/officeDocument/2006/relationships/hyperlink" Target="https://www.d20srd.org/srd/spells/ironwood.htm" TargetMode="External"/><Relationship Id="rId26" Type="http://schemas.openxmlformats.org/officeDocument/2006/relationships/hyperlink" Target="https://www.d20srd.org/srd/spells/magicFang.htm" TargetMode="External"/><Relationship Id="rId121" Type="http://schemas.openxmlformats.org/officeDocument/2006/relationships/hyperlink" Target="https://www.d20srd.org/srd/spells/catsGraceMass.htm" TargetMode="External"/><Relationship Id="rId25" Type="http://schemas.openxmlformats.org/officeDocument/2006/relationships/hyperlink" Target="https://www.d20srd.org/srd/spells/longstrider.htm" TargetMode="External"/><Relationship Id="rId120" Type="http://schemas.openxmlformats.org/officeDocument/2006/relationships/hyperlink" Target="https://www.d20srd.org/srd/spells/bullsStrengthMass.htm" TargetMode="External"/><Relationship Id="rId28" Type="http://schemas.openxmlformats.org/officeDocument/2006/relationships/hyperlink" Target="https://www.d20srd.org/srd/spells/obscuringMist.htm" TargetMode="External"/><Relationship Id="rId27" Type="http://schemas.openxmlformats.org/officeDocument/2006/relationships/hyperlink" Target="https://www.d20srd.org/srd/spells/magicStone.htm" TargetMode="External"/><Relationship Id="rId125" Type="http://schemas.openxmlformats.org/officeDocument/2006/relationships/hyperlink" Target="https://www.d20srd.org/srd/spells/fireSeeds.htm" TargetMode="External"/><Relationship Id="rId29" Type="http://schemas.openxmlformats.org/officeDocument/2006/relationships/hyperlink" Target="https://www.d20srd.org/srd/spells/passWithoutTrace.htm" TargetMode="External"/><Relationship Id="rId124" Type="http://schemas.openxmlformats.org/officeDocument/2006/relationships/hyperlink" Target="https://www.d20srd.org/srd/spells/findThePath.htm" TargetMode="External"/><Relationship Id="rId123" Type="http://schemas.openxmlformats.org/officeDocument/2006/relationships/hyperlink" Target="https://www.d20srd.org/srd/spells/dispelMagicGreater.htm" TargetMode="External"/><Relationship Id="rId122" Type="http://schemas.openxmlformats.org/officeDocument/2006/relationships/hyperlink" Target="https://www.d20srd.org/srd/spells/cureLightWoundsMass.htm" TargetMode="External"/><Relationship Id="rId95" Type="http://schemas.openxmlformats.org/officeDocument/2006/relationships/hyperlink" Target="https://www.d20srd.org/srd/spells/rustingGrasp.htm" TargetMode="External"/><Relationship Id="rId94" Type="http://schemas.openxmlformats.org/officeDocument/2006/relationships/hyperlink" Target="https://www.d20srd.org/srd/spells/repelVermin.htm" TargetMode="External"/><Relationship Id="rId97" Type="http://schemas.openxmlformats.org/officeDocument/2006/relationships/hyperlink" Target="https://www.d20srd.org/srd/spells/spikeStones.htm" TargetMode="External"/><Relationship Id="rId96" Type="http://schemas.openxmlformats.org/officeDocument/2006/relationships/hyperlink" Target="https://www.d20srd.org/srd/spells/scrying.htm" TargetMode="External"/><Relationship Id="rId11" Type="http://schemas.openxmlformats.org/officeDocument/2006/relationships/hyperlink" Target="https://www.d20srd.org/srd/spells/readMagic.htm" TargetMode="External"/><Relationship Id="rId99" Type="http://schemas.openxmlformats.org/officeDocument/2006/relationships/hyperlink" Target="https://www.d20srd.org/srd/spells/animalGrowth.htm" TargetMode="External"/><Relationship Id="rId10" Type="http://schemas.openxmlformats.org/officeDocument/2006/relationships/hyperlink" Target="https://www.d20srd.org/srd/spells/purifyFoodAndDrink.htm" TargetMode="External"/><Relationship Id="rId98" Type="http://schemas.openxmlformats.org/officeDocument/2006/relationships/hyperlink" Target="https://www.d20srd.org/srd/spells/summonNaturesAllyIV.htm" TargetMode="External"/><Relationship Id="rId13" Type="http://schemas.openxmlformats.org/officeDocument/2006/relationships/hyperlink" Target="https://www.d20srd.org/srd/spells/virtue.htm" TargetMode="External"/><Relationship Id="rId12" Type="http://schemas.openxmlformats.org/officeDocument/2006/relationships/hyperlink" Target="https://www.d20srd.org/srd/spells/resistance.htm" TargetMode="External"/><Relationship Id="rId91" Type="http://schemas.openxmlformats.org/officeDocument/2006/relationships/hyperlink" Target="https://www.d20srd.org/srd/spells/giantVermin.htm" TargetMode="External"/><Relationship Id="rId90" Type="http://schemas.openxmlformats.org/officeDocument/2006/relationships/hyperlink" Target="https://www.d20srd.org/srd/spells/freedomOfMovement.htm" TargetMode="External"/><Relationship Id="rId93" Type="http://schemas.openxmlformats.org/officeDocument/2006/relationships/hyperlink" Target="https://www.d20srd.org/srd/spells/reincarnate.htm" TargetMode="External"/><Relationship Id="rId92" Type="http://schemas.openxmlformats.org/officeDocument/2006/relationships/hyperlink" Target="https://www.d20srd.org/srd/spells/iceStorm.htm" TargetMode="External"/><Relationship Id="rId118" Type="http://schemas.openxmlformats.org/officeDocument/2006/relationships/hyperlink" Target="https://www.d20srd.org/srd/spells/antilifeShell.htm" TargetMode="External"/><Relationship Id="rId117" Type="http://schemas.openxmlformats.org/officeDocument/2006/relationships/hyperlink" Target="https://www.d20srd.org/srd/spells/wallOfThorns.htm" TargetMode="External"/><Relationship Id="rId116" Type="http://schemas.openxmlformats.org/officeDocument/2006/relationships/hyperlink" Target="https://www.d20srd.org/srd/spells/wallOfFire.htm" TargetMode="External"/><Relationship Id="rId115" Type="http://schemas.openxmlformats.org/officeDocument/2006/relationships/hyperlink" Target="https://www.d20srd.org/srd/spells/unhallow.htm" TargetMode="External"/><Relationship Id="rId119" Type="http://schemas.openxmlformats.org/officeDocument/2006/relationships/hyperlink" Target="https://www.d20srd.org/srd/spells/bearsEnduranceMass.htm" TargetMode="External"/><Relationship Id="rId15" Type="http://schemas.openxmlformats.org/officeDocument/2006/relationships/hyperlink" Target="https://www.d20srd.org/srd/spells/charmAnimal.htm" TargetMode="External"/><Relationship Id="rId110" Type="http://schemas.openxmlformats.org/officeDocument/2006/relationships/hyperlink" Target="https://www.d20srd.org/srd/spells/stoneskin.htm" TargetMode="External"/><Relationship Id="rId14" Type="http://schemas.openxmlformats.org/officeDocument/2006/relationships/hyperlink" Target="https://www.d20srd.org/srd/spells/calmAnimals.htm" TargetMode="External"/><Relationship Id="rId17" Type="http://schemas.openxmlformats.org/officeDocument/2006/relationships/hyperlink" Target="https://www.d20srd.org/srd/spells/detectAnimalsOrPlants.htm" TargetMode="External"/><Relationship Id="rId16" Type="http://schemas.openxmlformats.org/officeDocument/2006/relationships/hyperlink" Target="https://www.d20srd.org/srd/spells/cureLightWounds.htm" TargetMode="External"/><Relationship Id="rId19" Type="http://schemas.openxmlformats.org/officeDocument/2006/relationships/hyperlink" Target="https://www.d20srd.org/srd/spells/endureElements.htm" TargetMode="External"/><Relationship Id="rId114" Type="http://schemas.openxmlformats.org/officeDocument/2006/relationships/hyperlink" Target="https://www.d20srd.org/srd/spells/treeStride.htm" TargetMode="External"/><Relationship Id="rId18" Type="http://schemas.openxmlformats.org/officeDocument/2006/relationships/hyperlink" Target="https://www.d20srd.org/srd/spells/detectSnaresAndPits.htm" TargetMode="External"/><Relationship Id="rId113" Type="http://schemas.openxmlformats.org/officeDocument/2006/relationships/hyperlink" Target="https://www.d20srd.org/srd/spells/transmuteRockToMud.htm" TargetMode="External"/><Relationship Id="rId112" Type="http://schemas.openxmlformats.org/officeDocument/2006/relationships/hyperlink" Target="https://www.d20srd.org/srd/spells/transmuteMudToRock.htm" TargetMode="External"/><Relationship Id="rId111" Type="http://schemas.openxmlformats.org/officeDocument/2006/relationships/hyperlink" Target="https://www.d20srd.org/srd/spells/summonNaturesAllyV.htm" TargetMode="External"/><Relationship Id="rId84" Type="http://schemas.openxmlformats.org/officeDocument/2006/relationships/hyperlink" Target="https://www.d20srd.org/srd/spells/blight.htm" TargetMode="External"/><Relationship Id="rId83" Type="http://schemas.openxmlformats.org/officeDocument/2006/relationships/hyperlink" Target="https://www.d20srd.org/srd/spells/antiplantShell.htm" TargetMode="External"/><Relationship Id="rId86" Type="http://schemas.openxmlformats.org/officeDocument/2006/relationships/hyperlink" Target="https://www.d20srd.org/srd/spells/controlWater.htm" TargetMode="External"/><Relationship Id="rId85" Type="http://schemas.openxmlformats.org/officeDocument/2006/relationships/hyperlink" Target="https://www.d20srd.org/srd/spells/commandPlants.htm" TargetMode="External"/><Relationship Id="rId88" Type="http://schemas.openxmlformats.org/officeDocument/2006/relationships/hyperlink" Target="https://www.d20srd.org/srd/spells/dispelMagic.htm" TargetMode="External"/><Relationship Id="rId150" Type="http://schemas.openxmlformats.org/officeDocument/2006/relationships/hyperlink" Target="https://www.d20srd.org/srd/spells/controlPlants.htm" TargetMode="External"/><Relationship Id="rId87" Type="http://schemas.openxmlformats.org/officeDocument/2006/relationships/hyperlink" Target="https://www.d20srd.org/srd/spells/cureSeriousWounds.htm" TargetMode="External"/><Relationship Id="rId89" Type="http://schemas.openxmlformats.org/officeDocument/2006/relationships/hyperlink" Target="https://www.d20srd.org/srd/spells/flameStrike.htm" TargetMode="External"/><Relationship Id="rId80" Type="http://schemas.openxmlformats.org/officeDocument/2006/relationships/hyperlink" Target="https://www.d20srd.org/srd/spells/waterBreathing.htm" TargetMode="External"/><Relationship Id="rId82" Type="http://schemas.openxmlformats.org/officeDocument/2006/relationships/hyperlink" Target="https://www.d20srd.org/srd/spells/airWalk.htm" TargetMode="External"/><Relationship Id="rId81" Type="http://schemas.openxmlformats.org/officeDocument/2006/relationships/hyperlink" Target="https://www.d20srd.org/srd/spells/windWall.htm" TargetMode="External"/><Relationship Id="rId1" Type="http://schemas.openxmlformats.org/officeDocument/2006/relationships/hyperlink" Target="https://www.d20srd.org/srd/spells/createWater.htm" TargetMode="External"/><Relationship Id="rId2" Type="http://schemas.openxmlformats.org/officeDocument/2006/relationships/hyperlink" Target="https://www.d20srd.org/srd/spells/cureMinorWounds.htm" TargetMode="External"/><Relationship Id="rId3" Type="http://schemas.openxmlformats.org/officeDocument/2006/relationships/hyperlink" Target="https://www.d20srd.org/srd/spells/detectMagic.htm" TargetMode="External"/><Relationship Id="rId149" Type="http://schemas.openxmlformats.org/officeDocument/2006/relationships/hyperlink" Target="https://www.d20srd.org/srd/spells/animalShapes.htm" TargetMode="External"/><Relationship Id="rId4" Type="http://schemas.openxmlformats.org/officeDocument/2006/relationships/hyperlink" Target="https://www.d20srd.org/srd/spells/detectPoison.htm" TargetMode="External"/><Relationship Id="rId148" Type="http://schemas.openxmlformats.org/officeDocument/2006/relationships/hyperlink" Target="https://www.d20srd.org/srd/spells/windWalk.htm" TargetMode="External"/><Relationship Id="rId9" Type="http://schemas.openxmlformats.org/officeDocument/2006/relationships/hyperlink" Target="https://www.d20srd.org/srd/spells/mending.htm" TargetMode="External"/><Relationship Id="rId143" Type="http://schemas.openxmlformats.org/officeDocument/2006/relationships/hyperlink" Target="https://www.d20srd.org/srd/spells/scryingGreater.htm" TargetMode="External"/><Relationship Id="rId142" Type="http://schemas.openxmlformats.org/officeDocument/2006/relationships/hyperlink" Target="https://www.d20srd.org/srd/spells/heal.htm" TargetMode="External"/><Relationship Id="rId141" Type="http://schemas.openxmlformats.org/officeDocument/2006/relationships/hyperlink" Target="https://www.d20srd.org/srd/spells/fireStorm.htm" TargetMode="External"/><Relationship Id="rId140" Type="http://schemas.openxmlformats.org/officeDocument/2006/relationships/hyperlink" Target="https://www.d20srd.org/srd/spells/cureModerateWoundsMass.htm" TargetMode="External"/><Relationship Id="rId5" Type="http://schemas.openxmlformats.org/officeDocument/2006/relationships/hyperlink" Target="https://www.d20srd.org/srd/spells/flare.htm" TargetMode="External"/><Relationship Id="rId147" Type="http://schemas.openxmlformats.org/officeDocument/2006/relationships/hyperlink" Target="https://www.d20srd.org/srd/spells/trueSeeing.htm" TargetMode="External"/><Relationship Id="rId6" Type="http://schemas.openxmlformats.org/officeDocument/2006/relationships/hyperlink" Target="https://www.d20srd.org/srd/spells/guidance.htm" TargetMode="External"/><Relationship Id="rId146" Type="http://schemas.openxmlformats.org/officeDocument/2006/relationships/hyperlink" Target="https://www.d20srd.org/srd/spells/transmuteMetalToWood.htm" TargetMode="External"/><Relationship Id="rId7" Type="http://schemas.openxmlformats.org/officeDocument/2006/relationships/hyperlink" Target="https://www.d20srd.org/srd/spells/knowDirection.htm" TargetMode="External"/><Relationship Id="rId145" Type="http://schemas.openxmlformats.org/officeDocument/2006/relationships/hyperlink" Target="https://www.d20srd.org/srd/spells/sunbeam.htm" TargetMode="External"/><Relationship Id="rId8" Type="http://schemas.openxmlformats.org/officeDocument/2006/relationships/hyperlink" Target="https://www.d20srd.org/srd/spells/light.htm" TargetMode="External"/><Relationship Id="rId144" Type="http://schemas.openxmlformats.org/officeDocument/2006/relationships/hyperlink" Target="https://www.d20srd.org/srd/spells/summonNaturesAllyVII.htm" TargetMode="External"/><Relationship Id="rId73" Type="http://schemas.openxmlformats.org/officeDocument/2006/relationships/hyperlink" Target="https://www.d20srd.org/srd/spells/removeDisease.htm" TargetMode="External"/><Relationship Id="rId72" Type="http://schemas.openxmlformats.org/officeDocument/2006/relationships/hyperlink" Target="https://www.d20srd.org/srd/spells/quench.htm" TargetMode="External"/><Relationship Id="rId75" Type="http://schemas.openxmlformats.org/officeDocument/2006/relationships/hyperlink" Target="https://www.d20srd.org/srd/spells/snare.htm" TargetMode="External"/><Relationship Id="rId74" Type="http://schemas.openxmlformats.org/officeDocument/2006/relationships/hyperlink" Target="https://www.d20srd.org/srd/spells/sleetStorm.htm" TargetMode="External"/><Relationship Id="rId77" Type="http://schemas.openxmlformats.org/officeDocument/2006/relationships/hyperlink" Target="https://www.d20srd.org/srd/spells/spikeGrowth.htm" TargetMode="External"/><Relationship Id="rId76" Type="http://schemas.openxmlformats.org/officeDocument/2006/relationships/hyperlink" Target="https://www.d20srd.org/srd/spells/speakWithPlants.htm" TargetMode="External"/><Relationship Id="rId79" Type="http://schemas.openxmlformats.org/officeDocument/2006/relationships/hyperlink" Target="https://www.d20srd.org/srd/spells/summonNaturesAllyIII.htm" TargetMode="External"/><Relationship Id="rId78" Type="http://schemas.openxmlformats.org/officeDocument/2006/relationships/hyperlink" Target="https://www.d20srd.org/srd/spells/stoneShape.htm" TargetMode="External"/><Relationship Id="rId71" Type="http://schemas.openxmlformats.org/officeDocument/2006/relationships/hyperlink" Target="https://www.d20srd.org/srd/spells/protectionFromEnergy.htm" TargetMode="External"/><Relationship Id="rId70" Type="http://schemas.openxmlformats.org/officeDocument/2006/relationships/hyperlink" Target="https://www.d20srd.org/srd/spells/poison.htm" TargetMode="External"/><Relationship Id="rId139" Type="http://schemas.openxmlformats.org/officeDocument/2006/relationships/hyperlink" Target="https://www.d20srd.org/srd/spells/creepingDoom.htm" TargetMode="External"/><Relationship Id="rId138" Type="http://schemas.openxmlformats.org/officeDocument/2006/relationships/hyperlink" Target="https://www.d20srd.org/srd/spells/controlWeather.htm" TargetMode="External"/><Relationship Id="rId137" Type="http://schemas.openxmlformats.org/officeDocument/2006/relationships/hyperlink" Target="https://www.d20srd.org/srd/spells/changestaff.htm" TargetMode="External"/><Relationship Id="rId132" Type="http://schemas.openxmlformats.org/officeDocument/2006/relationships/hyperlink" Target="https://www.d20srd.org/srd/spells/stoneTell.htm" TargetMode="External"/><Relationship Id="rId131" Type="http://schemas.openxmlformats.org/officeDocument/2006/relationships/hyperlink" Target="https://www.d20srd.org/srd/spells/spellstaff.htm" TargetMode="External"/><Relationship Id="rId130" Type="http://schemas.openxmlformats.org/officeDocument/2006/relationships/hyperlink" Target="https://www.d20srd.org/srd/spells/repelWood.htm" TargetMode="External"/><Relationship Id="rId136" Type="http://schemas.openxmlformats.org/officeDocument/2006/relationships/hyperlink" Target="https://www.d20srd.org/srd/spells/animatePlants.htm" TargetMode="External"/><Relationship Id="rId135" Type="http://schemas.openxmlformats.org/officeDocument/2006/relationships/hyperlink" Target="https://www.d20srd.org/srd/spells/wallOfStone.htm" TargetMode="External"/><Relationship Id="rId134" Type="http://schemas.openxmlformats.org/officeDocument/2006/relationships/hyperlink" Target="https://www.d20srd.org/srd/spells/transportViaPlants.htm" TargetMode="External"/><Relationship Id="rId133" Type="http://schemas.openxmlformats.org/officeDocument/2006/relationships/hyperlink" Target="https://www.d20srd.org/srd/spells/summonNaturesAllyVI.htm" TargetMode="External"/><Relationship Id="rId62" Type="http://schemas.openxmlformats.org/officeDocument/2006/relationships/hyperlink" Target="https://www.d20srd.org/srd/spells/cureModerateWounds.htm" TargetMode="External"/><Relationship Id="rId61" Type="http://schemas.openxmlformats.org/officeDocument/2006/relationships/hyperlink" Target="https://www.d20srd.org/srd/spells/contagion.htm" TargetMode="External"/><Relationship Id="rId64" Type="http://schemas.openxmlformats.org/officeDocument/2006/relationships/hyperlink" Target="https://www.d20srd.org/srd/spells/diminishPlants.htm" TargetMode="External"/><Relationship Id="rId63" Type="http://schemas.openxmlformats.org/officeDocument/2006/relationships/hyperlink" Target="https://www.d20srd.org/srd/spells/daylight.htm" TargetMode="External"/><Relationship Id="rId66" Type="http://schemas.openxmlformats.org/officeDocument/2006/relationships/hyperlink" Target="https://www.d20srd.org/srd/spells/magicFangGreater.htm" TargetMode="External"/><Relationship Id="rId65" Type="http://schemas.openxmlformats.org/officeDocument/2006/relationships/hyperlink" Target="https://www.d20srd.org/srd/spells/dominateAnimal.htm" TargetMode="External"/><Relationship Id="rId68" Type="http://schemas.openxmlformats.org/officeDocument/2006/relationships/hyperlink" Target="https://www.d20srd.org/srd/spells/neutralizePoison.htm" TargetMode="External"/><Relationship Id="rId170" Type="http://schemas.openxmlformats.org/officeDocument/2006/relationships/drawing" Target="../drawings/drawing4.xml"/><Relationship Id="rId67" Type="http://schemas.openxmlformats.org/officeDocument/2006/relationships/hyperlink" Target="https://www.d20srd.org/srd/spells/meldIntoStone.htm" TargetMode="External"/><Relationship Id="rId60" Type="http://schemas.openxmlformats.org/officeDocument/2006/relationships/hyperlink" Target="https://www.d20srd.org/srd/spells/callLightning.htm" TargetMode="External"/><Relationship Id="rId165" Type="http://schemas.openxmlformats.org/officeDocument/2006/relationships/hyperlink" Target="https://www.d20srd.org/srd/spells/shambler.htm" TargetMode="External"/><Relationship Id="rId69" Type="http://schemas.openxmlformats.org/officeDocument/2006/relationships/hyperlink" Target="https://www.d20srd.org/srd/spells/plantGrowth.htm" TargetMode="External"/><Relationship Id="rId164" Type="http://schemas.openxmlformats.org/officeDocument/2006/relationships/hyperlink" Target="https://www.d20srd.org/srd/spells/regenerate.htm" TargetMode="External"/><Relationship Id="rId163" Type="http://schemas.openxmlformats.org/officeDocument/2006/relationships/hyperlink" Target="https://www.d20srd.org/srd/spells/foresight.htm" TargetMode="External"/><Relationship Id="rId162" Type="http://schemas.openxmlformats.org/officeDocument/2006/relationships/hyperlink" Target="https://www.d20srd.org/srd/spells/elementalSwarm.htm" TargetMode="External"/><Relationship Id="rId169" Type="http://schemas.openxmlformats.org/officeDocument/2006/relationships/hyperlink" Target="https://www.d20srd.org/srd/spells/sympathy.htm" TargetMode="External"/><Relationship Id="rId168" Type="http://schemas.openxmlformats.org/officeDocument/2006/relationships/hyperlink" Target="https://www.d20srd.org/srd/spells/summonNaturesAllyIX.htm" TargetMode="External"/><Relationship Id="rId167" Type="http://schemas.openxmlformats.org/officeDocument/2006/relationships/hyperlink" Target="https://www.d20srd.org/srd/spells/stormOfVengeance.htm" TargetMode="External"/><Relationship Id="rId166" Type="http://schemas.openxmlformats.org/officeDocument/2006/relationships/hyperlink" Target="https://www.d20srd.org/srd/spells/shapechange.htm" TargetMode="External"/><Relationship Id="rId51" Type="http://schemas.openxmlformats.org/officeDocument/2006/relationships/hyperlink" Target="https://www.d20srd.org/srd/spells/resistEnergy.htm" TargetMode="External"/><Relationship Id="rId50" Type="http://schemas.openxmlformats.org/officeDocument/2006/relationships/hyperlink" Target="https://www.d20srd.org/srd/spells/reduceAnimal.htm" TargetMode="External"/><Relationship Id="rId53" Type="http://schemas.openxmlformats.org/officeDocument/2006/relationships/hyperlink" Target="https://www.d20srd.org/srd/spells/softenEarthAndStone.htm" TargetMode="External"/><Relationship Id="rId52" Type="http://schemas.openxmlformats.org/officeDocument/2006/relationships/hyperlink" Target="https://www.d20srd.org/srd/spells/restorationLesser.htm" TargetMode="External"/><Relationship Id="rId55" Type="http://schemas.openxmlformats.org/officeDocument/2006/relationships/hyperlink" Target="https://www.d20srd.org/srd/spells/summonNaturesAllyII.htm" TargetMode="External"/><Relationship Id="rId161" Type="http://schemas.openxmlformats.org/officeDocument/2006/relationships/hyperlink" Target="https://www.d20srd.org/srd/spells/cureCriticalWoundsMass.htm" TargetMode="External"/><Relationship Id="rId54" Type="http://schemas.openxmlformats.org/officeDocument/2006/relationships/hyperlink" Target="https://www.d20srd.org/srd/spells/spiderClimb.htm" TargetMode="External"/><Relationship Id="rId160" Type="http://schemas.openxmlformats.org/officeDocument/2006/relationships/hyperlink" Target="https://www.d20srd.org/srd/spells/antipathy.htm" TargetMode="External"/><Relationship Id="rId57" Type="http://schemas.openxmlformats.org/officeDocument/2006/relationships/hyperlink" Target="https://www.d20srd.org/srd/spells/treeShape.htm" TargetMode="External"/><Relationship Id="rId56" Type="http://schemas.openxmlformats.org/officeDocument/2006/relationships/hyperlink" Target="https://www.d20srd.org/srd/spells/summonSwarm.htm" TargetMode="External"/><Relationship Id="rId159" Type="http://schemas.openxmlformats.org/officeDocument/2006/relationships/hyperlink" Target="https://www.d20srd.org/srd/spells/wordOfRecall.htm" TargetMode="External"/><Relationship Id="rId59" Type="http://schemas.openxmlformats.org/officeDocument/2006/relationships/hyperlink" Target="https://www.d20srd.org/srd/spells/woodShape.htm" TargetMode="External"/><Relationship Id="rId154" Type="http://schemas.openxmlformats.org/officeDocument/2006/relationships/hyperlink" Target="https://www.d20srd.org/srd/spells/repelMetalOrStone.htm" TargetMode="External"/><Relationship Id="rId58" Type="http://schemas.openxmlformats.org/officeDocument/2006/relationships/hyperlink" Target="https://www.d20srd.org/srd/spells/warpWood.htm" TargetMode="External"/><Relationship Id="rId153" Type="http://schemas.openxmlformats.org/officeDocument/2006/relationships/hyperlink" Target="https://www.d20srd.org/srd/spells/fingerOfDeath.htm" TargetMode="External"/><Relationship Id="rId152" Type="http://schemas.openxmlformats.org/officeDocument/2006/relationships/hyperlink" Target="https://www.d20srd.org/srd/spells/earthquake.htm" TargetMode="External"/><Relationship Id="rId151" Type="http://schemas.openxmlformats.org/officeDocument/2006/relationships/hyperlink" Target="https://www.d20srd.org/srd/spells/cureSeriousWoundsMass.htm" TargetMode="External"/><Relationship Id="rId158" Type="http://schemas.openxmlformats.org/officeDocument/2006/relationships/hyperlink" Target="https://www.d20srd.org/srd/spells/whirlwind.htm" TargetMode="External"/><Relationship Id="rId157" Type="http://schemas.openxmlformats.org/officeDocument/2006/relationships/hyperlink" Target="https://www.d20srd.org/srd/spells/sunburst.htm" TargetMode="External"/><Relationship Id="rId156" Type="http://schemas.openxmlformats.org/officeDocument/2006/relationships/hyperlink" Target="https://www.d20srd.org/srd/spells/summonNaturesAllyVIII.htm" TargetMode="External"/><Relationship Id="rId155" Type="http://schemas.openxmlformats.org/officeDocument/2006/relationships/hyperlink" Target="https://www.d20srd.org/srd/spells/reverseGravity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7.0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1" width="8.43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5" max="25" width="14.43"/>
    <col customWidth="1" min="26" max="26" width="10.57"/>
    <col customWidth="1" min="27" max="27" width="3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3"/>
      <c r="D2" s="4"/>
      <c r="E2" s="1"/>
      <c r="F2" s="5" t="s">
        <v>1</v>
      </c>
      <c r="G2" s="6"/>
      <c r="H2" s="7" t="s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8" t="s">
        <v>3</v>
      </c>
      <c r="C3" s="9"/>
      <c r="D3" s="4"/>
      <c r="E3" s="1"/>
      <c r="F3" s="10">
        <v>1.0</v>
      </c>
      <c r="G3" s="11"/>
      <c r="H3" s="12">
        <v>0.0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3" t="s">
        <v>4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4" t="s">
        <v>5</v>
      </c>
      <c r="C5" s="9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3" t="s">
        <v>6</v>
      </c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4" t="s">
        <v>7</v>
      </c>
      <c r="C7" s="9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3" t="s">
        <v>8</v>
      </c>
      <c r="C8" s="3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4" t="s">
        <v>9</v>
      </c>
      <c r="C9" s="9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3" t="s">
        <v>10</v>
      </c>
      <c r="C10" s="3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4" t="s">
        <v>11</v>
      </c>
      <c r="C11" s="9"/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3" t="s">
        <v>12</v>
      </c>
      <c r="C12" s="3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5" t="s">
        <v>13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6" t="s">
        <v>14</v>
      </c>
      <c r="W14" s="3"/>
      <c r="X14" s="17"/>
      <c r="Y14" s="18" t="str">
        <f>SUM(Z16:Z21)&amp;"/"&amp;dget(base_spells,"0th",F2:F3)</f>
        <v>0/3</v>
      </c>
      <c r="Z14" s="19"/>
      <c r="AA14" s="20"/>
    </row>
    <row r="15">
      <c r="A15" s="1"/>
      <c r="B15" s="21" t="s">
        <v>15</v>
      </c>
      <c r="C15" s="21" t="s">
        <v>16</v>
      </c>
      <c r="D15" s="22" t="s">
        <v>17</v>
      </c>
      <c r="E15" s="23"/>
      <c r="F15" s="22" t="s">
        <v>18</v>
      </c>
      <c r="G15" s="23"/>
      <c r="H15" s="22" t="s">
        <v>19</v>
      </c>
      <c r="I15" s="23"/>
      <c r="J15" s="22" t="s">
        <v>20</v>
      </c>
      <c r="K15" s="23"/>
      <c r="L15" s="22" t="s">
        <v>21</v>
      </c>
      <c r="M15" s="23"/>
      <c r="N15" s="22" t="s">
        <v>22</v>
      </c>
      <c r="O15" s="23"/>
      <c r="P15" s="22" t="s">
        <v>23</v>
      </c>
      <c r="Q15" s="23"/>
      <c r="R15" s="22" t="s">
        <v>24</v>
      </c>
      <c r="S15" s="23"/>
      <c r="T15" s="22" t="s">
        <v>25</v>
      </c>
      <c r="U15" s="23"/>
      <c r="V15" s="22" t="s">
        <v>26</v>
      </c>
      <c r="W15" s="9"/>
      <c r="X15" s="9"/>
      <c r="Y15" s="23"/>
      <c r="Z15" s="21" t="s">
        <v>27</v>
      </c>
      <c r="AA15" s="24"/>
    </row>
    <row r="16">
      <c r="A16" s="1"/>
      <c r="B16" s="25"/>
      <c r="C16" s="25"/>
      <c r="D16" s="26" t="str">
        <f t="shared" ref="D16:D21" si="1">indirect("Dupe!D"&amp;ROW())</f>
        <v/>
      </c>
      <c r="E16" s="17"/>
      <c r="F16" s="27" t="str">
        <f t="shared" ref="F16:F21" si="2">indirect("Dupe!F"&amp;ROW())</f>
        <v/>
      </c>
      <c r="G16" s="17"/>
      <c r="H16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" s="17"/>
      <c r="J16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" s="17"/>
      <c r="L16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" s="17"/>
      <c r="N16" s="27" t="str">
        <f>IFERROR(__xludf.DUMMYFUNCTION("indirect(""Dupe!N""&amp;row())&amp;if(regexmatch(indirect(""C""&amp;row()),""Widen""),""
Widened
Any numeric measurements of the spell’s area increase by 100%"","""")"),"")</f>
        <v/>
      </c>
      <c r="O16" s="17"/>
      <c r="P16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" s="17"/>
      <c r="R16" s="27" t="str">
        <f t="shared" ref="R16:R21" si="3">indirect("Dupe!R"&amp;row())</f>
        <v/>
      </c>
      <c r="S16" s="17"/>
      <c r="T16" s="27" t="str">
        <f t="shared" ref="T16:T21" si="4">indirect("Dupe!T"&amp;row())</f>
        <v/>
      </c>
      <c r="U16" s="17"/>
      <c r="V16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" s="3"/>
      <c r="X16" s="3"/>
      <c r="Y16" s="17"/>
      <c r="Z16" s="30"/>
      <c r="AA16" s="24"/>
    </row>
    <row r="17">
      <c r="A17" s="1"/>
      <c r="B17" s="31"/>
      <c r="C17" s="31"/>
      <c r="D17" s="32" t="str">
        <f t="shared" si="1"/>
        <v/>
      </c>
      <c r="E17" s="23"/>
      <c r="F17" s="33" t="str">
        <f t="shared" si="2"/>
        <v/>
      </c>
      <c r="G17" s="23"/>
      <c r="H17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" s="23"/>
      <c r="J17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" s="23"/>
      <c r="L17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" s="23"/>
      <c r="N17" s="33" t="str">
        <f>IFERROR(__xludf.DUMMYFUNCTION("indirect(""Dupe!N""&amp;row())&amp;if(regexmatch(indirect(""C""&amp;row()),""Widen""),""
Widened
Any numeric measurements of the spell’s area increase by 100%"","""")"),"")</f>
        <v/>
      </c>
      <c r="O17" s="23"/>
      <c r="P17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" s="23"/>
      <c r="R17" s="33" t="str">
        <f t="shared" si="3"/>
        <v/>
      </c>
      <c r="S17" s="23"/>
      <c r="T17" s="33" t="str">
        <f t="shared" si="4"/>
        <v/>
      </c>
      <c r="U17" s="23"/>
      <c r="V17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" s="9"/>
      <c r="X17" s="9"/>
      <c r="Y17" s="23"/>
      <c r="Z17" s="36"/>
      <c r="AA17" s="24"/>
    </row>
    <row r="18">
      <c r="A18" s="1"/>
      <c r="B18" s="37"/>
      <c r="C18" s="37"/>
      <c r="D18" s="26" t="str">
        <f t="shared" si="1"/>
        <v/>
      </c>
      <c r="E18" s="17"/>
      <c r="F18" s="27" t="str">
        <f t="shared" si="2"/>
        <v/>
      </c>
      <c r="G18" s="17"/>
      <c r="H18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" s="17"/>
      <c r="J18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" s="17"/>
      <c r="L18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" s="17"/>
      <c r="N18" s="27" t="str">
        <f>IFERROR(__xludf.DUMMYFUNCTION("indirect(""Dupe!N""&amp;row())&amp;if(regexmatch(indirect(""C""&amp;row()),""Widen""),""
Widened
Any numeric measurements of the spell’s area increase by 100%"","""")"),"")</f>
        <v/>
      </c>
      <c r="O18" s="17"/>
      <c r="P18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" s="17"/>
      <c r="R18" s="27" t="str">
        <f t="shared" si="3"/>
        <v/>
      </c>
      <c r="S18" s="17"/>
      <c r="T18" s="27" t="str">
        <f t="shared" si="4"/>
        <v/>
      </c>
      <c r="U18" s="17"/>
      <c r="V18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" s="3"/>
      <c r="X18" s="3"/>
      <c r="Y18" s="17"/>
      <c r="Z18" s="38"/>
      <c r="AA18" s="39"/>
    </row>
    <row r="19">
      <c r="A19" s="1"/>
      <c r="B19" s="40"/>
      <c r="C19" s="40"/>
      <c r="D19" s="32" t="str">
        <f t="shared" si="1"/>
        <v/>
      </c>
      <c r="E19" s="23"/>
      <c r="F19" s="33" t="str">
        <f t="shared" si="2"/>
        <v/>
      </c>
      <c r="G19" s="23"/>
      <c r="H19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23"/>
      <c r="J19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" s="23"/>
      <c r="L19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23"/>
      <c r="N19" s="33" t="str">
        <f>IFERROR(__xludf.DUMMYFUNCTION("indirect(""Dupe!N""&amp;row())&amp;if(regexmatch(indirect(""C""&amp;row()),""Widen""),""
Widened
Any numeric measurements of the spell’s area increase by 100%"","""")"),"")</f>
        <v/>
      </c>
      <c r="O19" s="23"/>
      <c r="P19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23"/>
      <c r="R19" s="33" t="str">
        <f t="shared" si="3"/>
        <v/>
      </c>
      <c r="S19" s="23"/>
      <c r="T19" s="33" t="str">
        <f t="shared" si="4"/>
        <v/>
      </c>
      <c r="U19" s="23"/>
      <c r="V19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9"/>
      <c r="X19" s="9"/>
      <c r="Y19" s="23"/>
      <c r="Z19" s="36"/>
      <c r="AA19" s="41"/>
    </row>
    <row r="20">
      <c r="A20" s="1"/>
      <c r="B20" s="37"/>
      <c r="C20" s="37"/>
      <c r="D20" s="26" t="str">
        <f t="shared" si="1"/>
        <v/>
      </c>
      <c r="E20" s="17"/>
      <c r="F20" s="27" t="str">
        <f t="shared" si="2"/>
        <v/>
      </c>
      <c r="G20" s="17"/>
      <c r="H20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17"/>
      <c r="J20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" s="17"/>
      <c r="L20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17"/>
      <c r="N20" s="27" t="str">
        <f>IFERROR(__xludf.DUMMYFUNCTION("indirect(""Dupe!N""&amp;row())&amp;if(regexmatch(indirect(""C""&amp;row()),""Widen""),""
Widened
Any numeric measurements of the spell’s area increase by 100%"","""")"),"")</f>
        <v/>
      </c>
      <c r="O20" s="17"/>
      <c r="P20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17"/>
      <c r="R20" s="27" t="str">
        <f t="shared" si="3"/>
        <v/>
      </c>
      <c r="S20" s="17"/>
      <c r="T20" s="27" t="str">
        <f t="shared" si="4"/>
        <v/>
      </c>
      <c r="U20" s="17"/>
      <c r="V20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3"/>
      <c r="X20" s="3"/>
      <c r="Y20" s="17"/>
      <c r="Z20" s="38"/>
      <c r="AA20" s="41"/>
    </row>
    <row r="21">
      <c r="A21" s="1"/>
      <c r="B21" s="40"/>
      <c r="C21" s="40"/>
      <c r="D21" s="32" t="str">
        <f t="shared" si="1"/>
        <v/>
      </c>
      <c r="E21" s="23"/>
      <c r="F21" s="33" t="str">
        <f t="shared" si="2"/>
        <v/>
      </c>
      <c r="G21" s="23"/>
      <c r="H21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" s="23"/>
      <c r="J21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" s="23"/>
      <c r="L21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23"/>
      <c r="N21" s="33" t="str">
        <f>IFERROR(__xludf.DUMMYFUNCTION("indirect(""Dupe!N""&amp;row())&amp;if(regexmatch(indirect(""C""&amp;row()),""Widen""),""
Widened
Any numeric measurements of the spell’s area increase by 100%"","""")"),"")</f>
        <v/>
      </c>
      <c r="O21" s="23"/>
      <c r="P21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23"/>
      <c r="R21" s="33" t="str">
        <f t="shared" si="3"/>
        <v/>
      </c>
      <c r="S21" s="23"/>
      <c r="T21" s="33" t="str">
        <f t="shared" si="4"/>
        <v/>
      </c>
      <c r="U21" s="23"/>
      <c r="V21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9"/>
      <c r="X21" s="9"/>
      <c r="Y21" s="23"/>
      <c r="Z21" s="36"/>
      <c r="AA21" s="4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5" t="s">
        <v>28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6" t="s">
        <v>14</v>
      </c>
      <c r="W23" s="3"/>
      <c r="X23" s="17"/>
      <c r="Y23" s="18" t="str">
        <f>SUM(Z25:Z34)&amp;"/"&amp;if(dget(base_spells,"1st",F2:F3),dget(base_spells,"1st",F2:F3)+dget(bonus_spells,"1st",H2:H3),0)</f>
        <v>0/1</v>
      </c>
      <c r="Z23" s="19"/>
      <c r="AA23" s="1"/>
    </row>
    <row r="24">
      <c r="A24" s="1"/>
      <c r="B24" s="21" t="s">
        <v>15</v>
      </c>
      <c r="C24" s="21" t="s">
        <v>16</v>
      </c>
      <c r="D24" s="22" t="s">
        <v>17</v>
      </c>
      <c r="E24" s="23"/>
      <c r="F24" s="22" t="s">
        <v>18</v>
      </c>
      <c r="G24" s="23"/>
      <c r="H24" s="22" t="s">
        <v>19</v>
      </c>
      <c r="I24" s="23"/>
      <c r="J24" s="22" t="s">
        <v>20</v>
      </c>
      <c r="K24" s="23"/>
      <c r="L24" s="22" t="s">
        <v>21</v>
      </c>
      <c r="M24" s="23"/>
      <c r="N24" s="22" t="s">
        <v>22</v>
      </c>
      <c r="O24" s="23"/>
      <c r="P24" s="22" t="s">
        <v>23</v>
      </c>
      <c r="Q24" s="23"/>
      <c r="R24" s="22" t="s">
        <v>24</v>
      </c>
      <c r="S24" s="23"/>
      <c r="T24" s="22" t="s">
        <v>25</v>
      </c>
      <c r="U24" s="23"/>
      <c r="V24" s="22" t="s">
        <v>26</v>
      </c>
      <c r="W24" s="9"/>
      <c r="X24" s="9"/>
      <c r="Y24" s="23"/>
      <c r="Z24" s="21" t="s">
        <v>27</v>
      </c>
      <c r="AA24" s="1"/>
    </row>
    <row r="25">
      <c r="A25" s="1"/>
      <c r="B25" s="25"/>
      <c r="C25" s="25"/>
      <c r="D25" s="26" t="str">
        <f t="shared" ref="D25:D34" si="5">indirect("Dupe!D"&amp;ROW())</f>
        <v/>
      </c>
      <c r="E25" s="17"/>
      <c r="F25" s="27" t="str">
        <f t="shared" ref="F25:F34" si="6">indirect("Dupe!F"&amp;ROW())</f>
        <v/>
      </c>
      <c r="G25" s="17"/>
      <c r="H2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" s="17"/>
      <c r="J2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5" s="17"/>
      <c r="L2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" s="17"/>
      <c r="N25" s="27" t="str">
        <f>IFERROR(__xludf.DUMMYFUNCTION("indirect(""Dupe!N""&amp;row())&amp;if(regexmatch(indirect(""C""&amp;row()),""Widen""),""
Widened
Any numeric measurements of the spell’s area increase by 100%"","""")"),"")</f>
        <v/>
      </c>
      <c r="O25" s="17"/>
      <c r="P2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" s="17"/>
      <c r="R25" s="27" t="str">
        <f t="shared" ref="R25:R34" si="7">indirect("Dupe!R"&amp;row())</f>
        <v/>
      </c>
      <c r="S25" s="17"/>
      <c r="T25" s="27" t="str">
        <f t="shared" ref="T25:T34" si="8">indirect("Dupe!T"&amp;row())</f>
        <v/>
      </c>
      <c r="U25" s="17"/>
      <c r="V2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" s="3"/>
      <c r="X25" s="3"/>
      <c r="Y25" s="17"/>
      <c r="Z25" s="38"/>
      <c r="AA25" s="1"/>
    </row>
    <row r="26">
      <c r="A26" s="1"/>
      <c r="B26" s="31"/>
      <c r="C26" s="31"/>
      <c r="D26" s="32" t="str">
        <f t="shared" si="5"/>
        <v/>
      </c>
      <c r="E26" s="23"/>
      <c r="F26" s="33" t="str">
        <f t="shared" si="6"/>
        <v/>
      </c>
      <c r="G26" s="23"/>
      <c r="H2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6" s="23"/>
      <c r="J2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6" s="23"/>
      <c r="L2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6" s="23"/>
      <c r="N26" s="33" t="str">
        <f>IFERROR(__xludf.DUMMYFUNCTION("indirect(""Dupe!N""&amp;row())&amp;if(regexmatch(indirect(""C""&amp;row()),""Widen""),""
Widened
Any numeric measurements of the spell’s area increase by 100%"","""")"),"")</f>
        <v/>
      </c>
      <c r="O26" s="23"/>
      <c r="P2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6" s="23"/>
      <c r="R26" s="33" t="str">
        <f t="shared" si="7"/>
        <v/>
      </c>
      <c r="S26" s="23"/>
      <c r="T26" s="33" t="str">
        <f t="shared" si="8"/>
        <v/>
      </c>
      <c r="U26" s="23"/>
      <c r="V2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6" s="9"/>
      <c r="X26" s="9"/>
      <c r="Y26" s="23"/>
      <c r="Z26" s="36"/>
      <c r="AA26" s="1"/>
    </row>
    <row r="27">
      <c r="A27" s="1"/>
      <c r="B27" s="37"/>
      <c r="C27" s="37"/>
      <c r="D27" s="26" t="str">
        <f t="shared" si="5"/>
        <v/>
      </c>
      <c r="E27" s="17"/>
      <c r="F27" s="27" t="str">
        <f t="shared" si="6"/>
        <v/>
      </c>
      <c r="G27" s="17"/>
      <c r="H2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7" s="17"/>
      <c r="J2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7" s="17"/>
      <c r="L2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7" s="17"/>
      <c r="N27" s="27" t="str">
        <f>IFERROR(__xludf.DUMMYFUNCTION("indirect(""Dupe!N""&amp;row())&amp;if(regexmatch(indirect(""C""&amp;row()),""Widen""),""
Widened
Any numeric measurements of the spell’s area increase by 100%"","""")"),"")</f>
        <v/>
      </c>
      <c r="O27" s="17"/>
      <c r="P2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7" s="17"/>
      <c r="R27" s="27" t="str">
        <f t="shared" si="7"/>
        <v/>
      </c>
      <c r="S27" s="17"/>
      <c r="T27" s="27" t="str">
        <f t="shared" si="8"/>
        <v/>
      </c>
      <c r="U27" s="17"/>
      <c r="V2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7" s="3"/>
      <c r="X27" s="3"/>
      <c r="Y27" s="17"/>
      <c r="Z27" s="38"/>
      <c r="AA27" s="1"/>
    </row>
    <row r="28">
      <c r="A28" s="1"/>
      <c r="B28" s="40"/>
      <c r="C28" s="40"/>
      <c r="D28" s="32" t="str">
        <f t="shared" si="5"/>
        <v/>
      </c>
      <c r="E28" s="23"/>
      <c r="F28" s="33" t="str">
        <f t="shared" si="6"/>
        <v/>
      </c>
      <c r="G28" s="23"/>
      <c r="H2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23"/>
      <c r="J2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8" s="23"/>
      <c r="L2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23"/>
      <c r="N28" s="33" t="str">
        <f>IFERROR(__xludf.DUMMYFUNCTION("indirect(""Dupe!N""&amp;row())&amp;if(regexmatch(indirect(""C""&amp;row()),""Widen""),""
Widened
Any numeric measurements of the spell’s area increase by 100%"","""")"),"")</f>
        <v/>
      </c>
      <c r="O28" s="23"/>
      <c r="P2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23"/>
      <c r="R28" s="33" t="str">
        <f t="shared" si="7"/>
        <v/>
      </c>
      <c r="S28" s="23"/>
      <c r="T28" s="33" t="str">
        <f t="shared" si="8"/>
        <v/>
      </c>
      <c r="U28" s="23"/>
      <c r="V2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9"/>
      <c r="X28" s="9"/>
      <c r="Y28" s="23"/>
      <c r="Z28" s="36"/>
      <c r="AA28" s="1"/>
    </row>
    <row r="29">
      <c r="A29" s="1"/>
      <c r="B29" s="25"/>
      <c r="C29" s="25"/>
      <c r="D29" s="26" t="str">
        <f t="shared" si="5"/>
        <v/>
      </c>
      <c r="E29" s="17"/>
      <c r="F29" s="27" t="str">
        <f t="shared" si="6"/>
        <v/>
      </c>
      <c r="G29" s="17"/>
      <c r="H2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17"/>
      <c r="J2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9" s="17"/>
      <c r="L2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17"/>
      <c r="N29" s="27" t="str">
        <f>IFERROR(__xludf.DUMMYFUNCTION("indirect(""Dupe!N""&amp;row())&amp;if(regexmatch(indirect(""C""&amp;row()),""Widen""),""
Widened
Any numeric measurements of the spell’s area increase by 100%"","""")"),"")</f>
        <v/>
      </c>
      <c r="O29" s="17"/>
      <c r="P2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17"/>
      <c r="R29" s="27" t="str">
        <f t="shared" si="7"/>
        <v/>
      </c>
      <c r="S29" s="17"/>
      <c r="T29" s="27" t="str">
        <f t="shared" si="8"/>
        <v/>
      </c>
      <c r="U29" s="17"/>
      <c r="V2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3"/>
      <c r="X29" s="3"/>
      <c r="Y29" s="17"/>
      <c r="Z29" s="38"/>
      <c r="AA29" s="1"/>
    </row>
    <row r="30">
      <c r="A30" s="1"/>
      <c r="B30" s="31"/>
      <c r="C30" s="31"/>
      <c r="D30" s="32" t="str">
        <f t="shared" si="5"/>
        <v/>
      </c>
      <c r="E30" s="23"/>
      <c r="F30" s="33" t="str">
        <f t="shared" si="6"/>
        <v/>
      </c>
      <c r="G30" s="23"/>
      <c r="H3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23"/>
      <c r="J3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0" s="23"/>
      <c r="L3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23"/>
      <c r="N30" s="33" t="str">
        <f>IFERROR(__xludf.DUMMYFUNCTION("indirect(""Dupe!N""&amp;row())&amp;if(regexmatch(indirect(""C""&amp;row()),""Widen""),""
Widened
Any numeric measurements of the spell’s area increase by 100%"","""")"),"")</f>
        <v/>
      </c>
      <c r="O30" s="23"/>
      <c r="P3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23"/>
      <c r="R30" s="33" t="str">
        <f t="shared" si="7"/>
        <v/>
      </c>
      <c r="S30" s="23"/>
      <c r="T30" s="33" t="str">
        <f t="shared" si="8"/>
        <v/>
      </c>
      <c r="U30" s="23"/>
      <c r="V3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9"/>
      <c r="X30" s="9"/>
      <c r="Y30" s="23"/>
      <c r="Z30" s="36"/>
      <c r="AA30" s="1"/>
    </row>
    <row r="31">
      <c r="A31" s="1"/>
      <c r="B31" s="37"/>
      <c r="C31" s="37"/>
      <c r="D31" s="26" t="str">
        <f t="shared" si="5"/>
        <v/>
      </c>
      <c r="E31" s="17"/>
      <c r="F31" s="27" t="str">
        <f t="shared" si="6"/>
        <v/>
      </c>
      <c r="G31" s="17"/>
      <c r="H3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17"/>
      <c r="J3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1" s="17"/>
      <c r="L3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17"/>
      <c r="N31" s="27" t="str">
        <f>IFERROR(__xludf.DUMMYFUNCTION("indirect(""Dupe!N""&amp;row())&amp;if(regexmatch(indirect(""C""&amp;row()),""Widen""),""
Widened
Any numeric measurements of the spell’s area increase by 100%"","""")"),"")</f>
        <v/>
      </c>
      <c r="O31" s="17"/>
      <c r="P3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17"/>
      <c r="R31" s="27" t="str">
        <f t="shared" si="7"/>
        <v/>
      </c>
      <c r="S31" s="17"/>
      <c r="T31" s="27" t="str">
        <f t="shared" si="8"/>
        <v/>
      </c>
      <c r="U31" s="17"/>
      <c r="V3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3"/>
      <c r="X31" s="3"/>
      <c r="Y31" s="17"/>
      <c r="Z31" s="38"/>
      <c r="AA31" s="1"/>
    </row>
    <row r="32">
      <c r="A32" s="1"/>
      <c r="B32" s="40"/>
      <c r="C32" s="40"/>
      <c r="D32" s="32" t="str">
        <f t="shared" si="5"/>
        <v/>
      </c>
      <c r="E32" s="23"/>
      <c r="F32" s="33" t="str">
        <f t="shared" si="6"/>
        <v/>
      </c>
      <c r="G32" s="23"/>
      <c r="H3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23"/>
      <c r="J3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2" s="23"/>
      <c r="L3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23"/>
      <c r="N32" s="33" t="str">
        <f>IFERROR(__xludf.DUMMYFUNCTION("indirect(""Dupe!N""&amp;row())&amp;if(regexmatch(indirect(""C""&amp;row()),""Widen""),""
Widened
Any numeric measurements of the spell’s area increase by 100%"","""")"),"")</f>
        <v/>
      </c>
      <c r="O32" s="23"/>
      <c r="P3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23"/>
      <c r="R32" s="33" t="str">
        <f t="shared" si="7"/>
        <v/>
      </c>
      <c r="S32" s="23"/>
      <c r="T32" s="33" t="str">
        <f t="shared" si="8"/>
        <v/>
      </c>
      <c r="U32" s="23"/>
      <c r="V3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9"/>
      <c r="X32" s="9"/>
      <c r="Y32" s="23"/>
      <c r="Z32" s="36"/>
      <c r="AA32" s="1"/>
    </row>
    <row r="33">
      <c r="A33" s="1"/>
      <c r="B33" s="37"/>
      <c r="C33" s="37"/>
      <c r="D33" s="26" t="str">
        <f t="shared" si="5"/>
        <v/>
      </c>
      <c r="E33" s="17"/>
      <c r="F33" s="27" t="str">
        <f t="shared" si="6"/>
        <v/>
      </c>
      <c r="G33" s="17"/>
      <c r="H3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17"/>
      <c r="J3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3" s="17"/>
      <c r="L3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17"/>
      <c r="N33" s="27" t="str">
        <f>IFERROR(__xludf.DUMMYFUNCTION("indirect(""Dupe!N""&amp;row())&amp;if(regexmatch(indirect(""C""&amp;row()),""Widen""),""
Widened
Any numeric measurements of the spell’s area increase by 100%"","""")"),"")</f>
        <v/>
      </c>
      <c r="O33" s="17"/>
      <c r="P3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17"/>
      <c r="R33" s="27" t="str">
        <f t="shared" si="7"/>
        <v/>
      </c>
      <c r="S33" s="17"/>
      <c r="T33" s="27" t="str">
        <f t="shared" si="8"/>
        <v/>
      </c>
      <c r="U33" s="17"/>
      <c r="V3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3"/>
      <c r="X33" s="3"/>
      <c r="Y33" s="17"/>
      <c r="Z33" s="38"/>
      <c r="AA33" s="1"/>
    </row>
    <row r="34">
      <c r="A34" s="1"/>
      <c r="B34" s="40"/>
      <c r="C34" s="40"/>
      <c r="D34" s="32" t="str">
        <f t="shared" si="5"/>
        <v/>
      </c>
      <c r="E34" s="23"/>
      <c r="F34" s="33" t="str">
        <f t="shared" si="6"/>
        <v/>
      </c>
      <c r="G34" s="23"/>
      <c r="H3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4" s="23"/>
      <c r="J3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4" s="23"/>
      <c r="L3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4" s="23"/>
      <c r="N34" s="33" t="str">
        <f>IFERROR(__xludf.DUMMYFUNCTION("indirect(""Dupe!N""&amp;row())&amp;if(regexmatch(indirect(""C""&amp;row()),""Widen""),""
Widened
Any numeric measurements of the spell’s area increase by 100%"","""")"),"")</f>
        <v/>
      </c>
      <c r="O34" s="23"/>
      <c r="P3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4" s="23"/>
      <c r="R34" s="33" t="str">
        <f t="shared" si="7"/>
        <v/>
      </c>
      <c r="S34" s="23"/>
      <c r="T34" s="33" t="str">
        <f t="shared" si="8"/>
        <v/>
      </c>
      <c r="U34" s="23"/>
      <c r="V3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4" s="9"/>
      <c r="X34" s="9"/>
      <c r="Y34" s="23"/>
      <c r="Z34" s="36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5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6" t="s">
        <v>14</v>
      </c>
      <c r="W36" s="3"/>
      <c r="X36" s="17"/>
      <c r="Y36" s="18" t="str">
        <f>SUM(Z38:Z47)&amp;"/"&amp;if(dget(base_spells,"2nd",F2:F3),dget(base_spells,"2nd",F2:F3)+dget(bonus_spells,"2nd",H2:H3),0)</f>
        <v>0/0</v>
      </c>
      <c r="Z36" s="19"/>
      <c r="AA36" s="1"/>
    </row>
    <row r="37">
      <c r="A37" s="1"/>
      <c r="B37" s="21" t="s">
        <v>15</v>
      </c>
      <c r="C37" s="21" t="s">
        <v>16</v>
      </c>
      <c r="D37" s="22" t="s">
        <v>17</v>
      </c>
      <c r="E37" s="23"/>
      <c r="F37" s="22" t="s">
        <v>18</v>
      </c>
      <c r="G37" s="23"/>
      <c r="H37" s="22" t="s">
        <v>19</v>
      </c>
      <c r="I37" s="23"/>
      <c r="J37" s="22" t="s">
        <v>20</v>
      </c>
      <c r="K37" s="23"/>
      <c r="L37" s="22" t="s">
        <v>21</v>
      </c>
      <c r="M37" s="23"/>
      <c r="N37" s="22" t="s">
        <v>22</v>
      </c>
      <c r="O37" s="23"/>
      <c r="P37" s="22" t="s">
        <v>23</v>
      </c>
      <c r="Q37" s="23"/>
      <c r="R37" s="22" t="s">
        <v>24</v>
      </c>
      <c r="S37" s="23"/>
      <c r="T37" s="22" t="s">
        <v>25</v>
      </c>
      <c r="U37" s="23"/>
      <c r="V37" s="22" t="s">
        <v>26</v>
      </c>
      <c r="W37" s="9"/>
      <c r="X37" s="9"/>
      <c r="Y37" s="23"/>
      <c r="Z37" s="21" t="s">
        <v>27</v>
      </c>
      <c r="AA37" s="1"/>
    </row>
    <row r="38">
      <c r="A38" s="1"/>
      <c r="B38" s="25"/>
      <c r="C38" s="25"/>
      <c r="D38" s="26" t="str">
        <f t="shared" ref="D38:D47" si="9">indirect("Dupe!D"&amp;ROW())</f>
        <v/>
      </c>
      <c r="E38" s="17"/>
      <c r="F38" s="27" t="str">
        <f t="shared" ref="F38:F47" si="10">indirect("Dupe!F"&amp;ROW())</f>
        <v/>
      </c>
      <c r="G38" s="17"/>
      <c r="H38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8" s="17"/>
      <c r="J38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8" s="17"/>
      <c r="L38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8" s="17"/>
      <c r="N38" s="27" t="str">
        <f>IFERROR(__xludf.DUMMYFUNCTION("indirect(""Dupe!N""&amp;row())&amp;if(regexmatch(indirect(""C""&amp;row()),""Widen""),""
Widened
Any numeric measurements of the spell’s area increase by 100%"","""")"),"")</f>
        <v/>
      </c>
      <c r="O38" s="17"/>
      <c r="P38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8" s="17"/>
      <c r="R38" s="27" t="str">
        <f t="shared" ref="R38:R47" si="11">indirect("Dupe!R"&amp;row())</f>
        <v/>
      </c>
      <c r="S38" s="17"/>
      <c r="T38" s="27" t="str">
        <f t="shared" ref="T38:T47" si="12">indirect("Dupe!T"&amp;row())</f>
        <v/>
      </c>
      <c r="U38" s="17"/>
      <c r="V38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8" s="3"/>
      <c r="X38" s="3"/>
      <c r="Y38" s="17"/>
      <c r="Z38" s="38"/>
      <c r="AA38" s="1"/>
    </row>
    <row r="39">
      <c r="A39" s="1"/>
      <c r="B39" s="31"/>
      <c r="C39" s="31"/>
      <c r="D39" s="32" t="str">
        <f t="shared" si="9"/>
        <v/>
      </c>
      <c r="E39" s="23"/>
      <c r="F39" s="33" t="str">
        <f t="shared" si="10"/>
        <v/>
      </c>
      <c r="G39" s="23"/>
      <c r="H39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9" s="23"/>
      <c r="J39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9" s="23"/>
      <c r="L39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9" s="23"/>
      <c r="N39" s="33" t="str">
        <f>IFERROR(__xludf.DUMMYFUNCTION("indirect(""Dupe!N""&amp;row())&amp;if(regexmatch(indirect(""C""&amp;row()),""Widen""),""
Widened
Any numeric measurements of the spell’s area increase by 100%"","""")"),"")</f>
        <v/>
      </c>
      <c r="O39" s="23"/>
      <c r="P39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9" s="23"/>
      <c r="R39" s="33" t="str">
        <f t="shared" si="11"/>
        <v/>
      </c>
      <c r="S39" s="23"/>
      <c r="T39" s="33" t="str">
        <f t="shared" si="12"/>
        <v/>
      </c>
      <c r="U39" s="23"/>
      <c r="V39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9" s="9"/>
      <c r="X39" s="9"/>
      <c r="Y39" s="23"/>
      <c r="Z39" s="36"/>
      <c r="AA39" s="1"/>
    </row>
    <row r="40">
      <c r="A40" s="1"/>
      <c r="B40" s="37"/>
      <c r="C40" s="37"/>
      <c r="D40" s="26" t="str">
        <f t="shared" si="9"/>
        <v/>
      </c>
      <c r="E40" s="17"/>
      <c r="F40" s="27" t="str">
        <f t="shared" si="10"/>
        <v/>
      </c>
      <c r="G40" s="17"/>
      <c r="H40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0" s="17"/>
      <c r="J40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0" s="17"/>
      <c r="L40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0" s="17"/>
      <c r="N40" s="27" t="str">
        <f>IFERROR(__xludf.DUMMYFUNCTION("indirect(""Dupe!N""&amp;row())&amp;if(regexmatch(indirect(""C""&amp;row()),""Widen""),""
Widened
Any numeric measurements of the spell’s area increase by 100%"","""")"),"")</f>
        <v/>
      </c>
      <c r="O40" s="17"/>
      <c r="P40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0" s="17"/>
      <c r="R40" s="27" t="str">
        <f t="shared" si="11"/>
        <v/>
      </c>
      <c r="S40" s="17"/>
      <c r="T40" s="27" t="str">
        <f t="shared" si="12"/>
        <v/>
      </c>
      <c r="U40" s="17"/>
      <c r="V40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0" s="3"/>
      <c r="X40" s="3"/>
      <c r="Y40" s="17"/>
      <c r="Z40" s="38"/>
      <c r="AA40" s="1"/>
    </row>
    <row r="41">
      <c r="A41" s="1"/>
      <c r="B41" s="40"/>
      <c r="C41" s="40"/>
      <c r="D41" s="32" t="str">
        <f t="shared" si="9"/>
        <v/>
      </c>
      <c r="E41" s="23"/>
      <c r="F41" s="33" t="str">
        <f t="shared" si="10"/>
        <v/>
      </c>
      <c r="G41" s="23"/>
      <c r="H41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23"/>
      <c r="J41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1" s="23"/>
      <c r="L41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23"/>
      <c r="N41" s="33" t="str">
        <f>IFERROR(__xludf.DUMMYFUNCTION("indirect(""Dupe!N""&amp;row())&amp;if(regexmatch(indirect(""C""&amp;row()),""Widen""),""
Widened
Any numeric measurements of the spell’s area increase by 100%"","""")"),"")</f>
        <v/>
      </c>
      <c r="O41" s="23"/>
      <c r="P41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23"/>
      <c r="R41" s="33" t="str">
        <f t="shared" si="11"/>
        <v/>
      </c>
      <c r="S41" s="23"/>
      <c r="T41" s="33" t="str">
        <f t="shared" si="12"/>
        <v/>
      </c>
      <c r="U41" s="23"/>
      <c r="V41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9"/>
      <c r="X41" s="9"/>
      <c r="Y41" s="23"/>
      <c r="Z41" s="36"/>
      <c r="AA41" s="1"/>
    </row>
    <row r="42">
      <c r="A42" s="1"/>
      <c r="B42" s="25"/>
      <c r="C42" s="25"/>
      <c r="D42" s="26" t="str">
        <f t="shared" si="9"/>
        <v/>
      </c>
      <c r="E42" s="17"/>
      <c r="F42" s="27" t="str">
        <f t="shared" si="10"/>
        <v/>
      </c>
      <c r="G42" s="17"/>
      <c r="H42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17"/>
      <c r="J42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2" s="17"/>
      <c r="L42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17"/>
      <c r="N42" s="27" t="str">
        <f>IFERROR(__xludf.DUMMYFUNCTION("indirect(""Dupe!N""&amp;row())&amp;if(regexmatch(indirect(""C""&amp;row()),""Widen""),""
Widened
Any numeric measurements of the spell’s area increase by 100%"","""")"),"")</f>
        <v/>
      </c>
      <c r="O42" s="17"/>
      <c r="P42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17"/>
      <c r="R42" s="27" t="str">
        <f t="shared" si="11"/>
        <v/>
      </c>
      <c r="S42" s="17"/>
      <c r="T42" s="27" t="str">
        <f t="shared" si="12"/>
        <v/>
      </c>
      <c r="U42" s="17"/>
      <c r="V42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3"/>
      <c r="X42" s="3"/>
      <c r="Y42" s="17"/>
      <c r="Z42" s="38"/>
      <c r="AA42" s="1"/>
    </row>
    <row r="43">
      <c r="A43" s="1"/>
      <c r="B43" s="31"/>
      <c r="C43" s="31"/>
      <c r="D43" s="32" t="str">
        <f t="shared" si="9"/>
        <v/>
      </c>
      <c r="E43" s="23"/>
      <c r="F43" s="33" t="str">
        <f t="shared" si="10"/>
        <v/>
      </c>
      <c r="G43" s="23"/>
      <c r="H43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3" s="23"/>
      <c r="J43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3" s="23"/>
      <c r="L43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3" s="23"/>
      <c r="N43" s="33" t="str">
        <f>IFERROR(__xludf.DUMMYFUNCTION("indirect(""Dupe!N""&amp;row())&amp;if(regexmatch(indirect(""C""&amp;row()),""Widen""),""
Widened
Any numeric measurements of the spell’s area increase by 100%"","""")"),"")</f>
        <v/>
      </c>
      <c r="O43" s="23"/>
      <c r="P43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3" s="23"/>
      <c r="R43" s="33" t="str">
        <f t="shared" si="11"/>
        <v/>
      </c>
      <c r="S43" s="23"/>
      <c r="T43" s="33" t="str">
        <f t="shared" si="12"/>
        <v/>
      </c>
      <c r="U43" s="23"/>
      <c r="V43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3" s="9"/>
      <c r="X43" s="9"/>
      <c r="Y43" s="23"/>
      <c r="Z43" s="36"/>
      <c r="AA43" s="1"/>
    </row>
    <row r="44">
      <c r="A44" s="1"/>
      <c r="B44" s="37"/>
      <c r="C44" s="37"/>
      <c r="D44" s="26" t="str">
        <f t="shared" si="9"/>
        <v/>
      </c>
      <c r="E44" s="17"/>
      <c r="F44" s="27" t="str">
        <f t="shared" si="10"/>
        <v/>
      </c>
      <c r="G44" s="17"/>
      <c r="H44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4" s="17"/>
      <c r="J44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4" s="17"/>
      <c r="L44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4" s="17"/>
      <c r="N44" s="27" t="str">
        <f>IFERROR(__xludf.DUMMYFUNCTION("indirect(""Dupe!N""&amp;row())&amp;if(regexmatch(indirect(""C""&amp;row()),""Widen""),""
Widened
Any numeric measurements of the spell’s area increase by 100%"","""")"),"")</f>
        <v/>
      </c>
      <c r="O44" s="17"/>
      <c r="P44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4" s="17"/>
      <c r="R44" s="27" t="str">
        <f t="shared" si="11"/>
        <v/>
      </c>
      <c r="S44" s="17"/>
      <c r="T44" s="27" t="str">
        <f t="shared" si="12"/>
        <v/>
      </c>
      <c r="U44" s="17"/>
      <c r="V44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4" s="3"/>
      <c r="X44" s="3"/>
      <c r="Y44" s="17"/>
      <c r="Z44" s="38"/>
      <c r="AA44" s="1"/>
    </row>
    <row r="45">
      <c r="A45" s="1"/>
      <c r="B45" s="40"/>
      <c r="C45" s="40"/>
      <c r="D45" s="32" t="str">
        <f t="shared" si="9"/>
        <v/>
      </c>
      <c r="E45" s="23"/>
      <c r="F45" s="33" t="str">
        <f t="shared" si="10"/>
        <v/>
      </c>
      <c r="G45" s="23"/>
      <c r="H45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5" s="23"/>
      <c r="J45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5" s="23"/>
      <c r="L45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5" s="23"/>
      <c r="N45" s="33" t="str">
        <f>IFERROR(__xludf.DUMMYFUNCTION("indirect(""Dupe!N""&amp;row())&amp;if(regexmatch(indirect(""C""&amp;row()),""Widen""),""
Widened
Any numeric measurements of the spell’s area increase by 100%"","""")"),"")</f>
        <v/>
      </c>
      <c r="O45" s="23"/>
      <c r="P45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5" s="23"/>
      <c r="R45" s="33" t="str">
        <f t="shared" si="11"/>
        <v/>
      </c>
      <c r="S45" s="23"/>
      <c r="T45" s="33" t="str">
        <f t="shared" si="12"/>
        <v/>
      </c>
      <c r="U45" s="23"/>
      <c r="V45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5" s="9"/>
      <c r="X45" s="9"/>
      <c r="Y45" s="23"/>
      <c r="Z45" s="36"/>
      <c r="AA45" s="1"/>
    </row>
    <row r="46">
      <c r="A46" s="1"/>
      <c r="B46" s="37"/>
      <c r="C46" s="37"/>
      <c r="D46" s="26" t="str">
        <f t="shared" si="9"/>
        <v/>
      </c>
      <c r="E46" s="17"/>
      <c r="F46" s="27" t="str">
        <f t="shared" si="10"/>
        <v/>
      </c>
      <c r="G46" s="17"/>
      <c r="H46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6" s="17"/>
      <c r="J46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6" s="17"/>
      <c r="L46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6" s="17"/>
      <c r="N46" s="27" t="str">
        <f>IFERROR(__xludf.DUMMYFUNCTION("indirect(""Dupe!N""&amp;row())&amp;if(regexmatch(indirect(""C""&amp;row()),""Widen""),""
Widened
Any numeric measurements of the spell’s area increase by 100%"","""")"),"")</f>
        <v/>
      </c>
      <c r="O46" s="17"/>
      <c r="P46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6" s="17"/>
      <c r="R46" s="27" t="str">
        <f t="shared" si="11"/>
        <v/>
      </c>
      <c r="S46" s="17"/>
      <c r="T46" s="27" t="str">
        <f t="shared" si="12"/>
        <v/>
      </c>
      <c r="U46" s="17"/>
      <c r="V46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6" s="3"/>
      <c r="X46" s="3"/>
      <c r="Y46" s="17"/>
      <c r="Z46" s="38"/>
      <c r="AA46" s="1"/>
    </row>
    <row r="47">
      <c r="A47" s="1"/>
      <c r="B47" s="40"/>
      <c r="C47" s="40"/>
      <c r="D47" s="32" t="str">
        <f t="shared" si="9"/>
        <v/>
      </c>
      <c r="E47" s="23"/>
      <c r="F47" s="33" t="str">
        <f t="shared" si="10"/>
        <v/>
      </c>
      <c r="G47" s="23"/>
      <c r="H47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7" s="23"/>
      <c r="J47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7" s="23"/>
      <c r="L47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7" s="23"/>
      <c r="N47" s="33" t="str">
        <f>IFERROR(__xludf.DUMMYFUNCTION("indirect(""Dupe!N""&amp;row())&amp;if(regexmatch(indirect(""C""&amp;row()),""Widen""),""
Widened
Any numeric measurements of the spell’s area increase by 100%"","""")"),"")</f>
        <v/>
      </c>
      <c r="O47" s="23"/>
      <c r="P47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7" s="23"/>
      <c r="R47" s="33" t="str">
        <f t="shared" si="11"/>
        <v/>
      </c>
      <c r="S47" s="23"/>
      <c r="T47" s="33" t="str">
        <f t="shared" si="12"/>
        <v/>
      </c>
      <c r="U47" s="23"/>
      <c r="V47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7" s="9"/>
      <c r="X47" s="9"/>
      <c r="Y47" s="23"/>
      <c r="Z47" s="36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5" t="s">
        <v>30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16" t="s">
        <v>14</v>
      </c>
      <c r="W49" s="3"/>
      <c r="X49" s="17"/>
      <c r="Y49" s="18" t="str">
        <f>SUM(Z51:Z60)&amp;"/"&amp;if(dget(base_spells,"3rd",F2:F3),dget(base_spells,"3rd",F2:F3)+dget(bonus_spells,"3rd",H2:H3),0)</f>
        <v>0/0</v>
      </c>
      <c r="Z49" s="19"/>
      <c r="AA49" s="1"/>
    </row>
    <row r="50">
      <c r="A50" s="1"/>
      <c r="B50" s="21" t="s">
        <v>15</v>
      </c>
      <c r="C50" s="21" t="s">
        <v>16</v>
      </c>
      <c r="D50" s="22" t="s">
        <v>17</v>
      </c>
      <c r="E50" s="23"/>
      <c r="F50" s="22" t="s">
        <v>18</v>
      </c>
      <c r="G50" s="23"/>
      <c r="H50" s="22" t="s">
        <v>19</v>
      </c>
      <c r="I50" s="23"/>
      <c r="J50" s="22" t="s">
        <v>20</v>
      </c>
      <c r="K50" s="23"/>
      <c r="L50" s="22" t="s">
        <v>21</v>
      </c>
      <c r="M50" s="23"/>
      <c r="N50" s="22" t="s">
        <v>22</v>
      </c>
      <c r="O50" s="23"/>
      <c r="P50" s="22" t="s">
        <v>23</v>
      </c>
      <c r="Q50" s="23"/>
      <c r="R50" s="22" t="s">
        <v>24</v>
      </c>
      <c r="S50" s="23"/>
      <c r="T50" s="22" t="s">
        <v>25</v>
      </c>
      <c r="U50" s="23"/>
      <c r="V50" s="22" t="s">
        <v>26</v>
      </c>
      <c r="W50" s="9"/>
      <c r="X50" s="9"/>
      <c r="Y50" s="23"/>
      <c r="Z50" s="21" t="s">
        <v>27</v>
      </c>
      <c r="AA50" s="1"/>
    </row>
    <row r="51">
      <c r="A51" s="1"/>
      <c r="B51" s="25"/>
      <c r="C51" s="25"/>
      <c r="D51" s="26" t="str">
        <f t="shared" ref="D51:D60" si="13">indirect("Dupe!D"&amp;ROW())</f>
        <v/>
      </c>
      <c r="E51" s="17"/>
      <c r="F51" s="27" t="str">
        <f t="shared" ref="F51:F60" si="14">indirect("Dupe!F"&amp;ROW())</f>
        <v/>
      </c>
      <c r="G51" s="17"/>
      <c r="H5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1" s="17"/>
      <c r="J5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1" s="17"/>
      <c r="L5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1" s="17"/>
      <c r="N51" s="27" t="str">
        <f>IFERROR(__xludf.DUMMYFUNCTION("indirect(""Dupe!N""&amp;row())&amp;if(regexmatch(indirect(""C""&amp;row()),""Widen""),""
Widened
Any numeric measurements of the spell’s area increase by 100%"","""")"),"")</f>
        <v/>
      </c>
      <c r="O51" s="17"/>
      <c r="P5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1" s="17"/>
      <c r="R51" s="27" t="str">
        <f t="shared" ref="R51:R60" si="15">indirect("Dupe!R"&amp;row())</f>
        <v/>
      </c>
      <c r="S51" s="17"/>
      <c r="T51" s="27" t="str">
        <f t="shared" ref="T51:T60" si="16">indirect("Dupe!T"&amp;row())</f>
        <v/>
      </c>
      <c r="U51" s="17"/>
      <c r="V5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1" s="3"/>
      <c r="X51" s="3"/>
      <c r="Y51" s="17"/>
      <c r="Z51" s="38"/>
      <c r="AA51" s="1"/>
    </row>
    <row r="52">
      <c r="A52" s="1"/>
      <c r="B52" s="31"/>
      <c r="C52" s="31"/>
      <c r="D52" s="32" t="str">
        <f t="shared" si="13"/>
        <v/>
      </c>
      <c r="E52" s="23"/>
      <c r="F52" s="33" t="str">
        <f t="shared" si="14"/>
        <v/>
      </c>
      <c r="G52" s="23"/>
      <c r="H5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2" s="23"/>
      <c r="J5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2" s="23"/>
      <c r="L5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2" s="23"/>
      <c r="N52" s="33" t="str">
        <f>IFERROR(__xludf.DUMMYFUNCTION("indirect(""Dupe!N""&amp;row())&amp;if(regexmatch(indirect(""C""&amp;row()),""Widen""),""
Widened
Any numeric measurements of the spell’s area increase by 100%"","""")"),"")</f>
        <v/>
      </c>
      <c r="O52" s="23"/>
      <c r="P5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2" s="23"/>
      <c r="R52" s="33" t="str">
        <f t="shared" si="15"/>
        <v/>
      </c>
      <c r="S52" s="23"/>
      <c r="T52" s="33" t="str">
        <f t="shared" si="16"/>
        <v/>
      </c>
      <c r="U52" s="23"/>
      <c r="V5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2" s="9"/>
      <c r="X52" s="9"/>
      <c r="Y52" s="23"/>
      <c r="Z52" s="36"/>
      <c r="AA52" s="1"/>
    </row>
    <row r="53">
      <c r="A53" s="1"/>
      <c r="B53" s="37"/>
      <c r="C53" s="37"/>
      <c r="D53" s="26" t="str">
        <f t="shared" si="13"/>
        <v/>
      </c>
      <c r="E53" s="17"/>
      <c r="F53" s="27" t="str">
        <f t="shared" si="14"/>
        <v/>
      </c>
      <c r="G53" s="17"/>
      <c r="H5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3" s="17"/>
      <c r="J5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3" s="17"/>
      <c r="L5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3" s="17"/>
      <c r="N53" s="27" t="str">
        <f>IFERROR(__xludf.DUMMYFUNCTION("indirect(""Dupe!N""&amp;row())&amp;if(regexmatch(indirect(""C""&amp;row()),""Widen""),""
Widened
Any numeric measurements of the spell’s area increase by 100%"","""")"),"")</f>
        <v/>
      </c>
      <c r="O53" s="17"/>
      <c r="P5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3" s="17"/>
      <c r="R53" s="27" t="str">
        <f t="shared" si="15"/>
        <v/>
      </c>
      <c r="S53" s="17"/>
      <c r="T53" s="27" t="str">
        <f t="shared" si="16"/>
        <v/>
      </c>
      <c r="U53" s="17"/>
      <c r="V5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3" s="3"/>
      <c r="X53" s="3"/>
      <c r="Y53" s="17"/>
      <c r="Z53" s="38"/>
      <c r="AA53" s="1"/>
    </row>
    <row r="54">
      <c r="A54" s="1"/>
      <c r="B54" s="40"/>
      <c r="C54" s="40"/>
      <c r="D54" s="32" t="str">
        <f t="shared" si="13"/>
        <v/>
      </c>
      <c r="E54" s="23"/>
      <c r="F54" s="33" t="str">
        <f t="shared" si="14"/>
        <v/>
      </c>
      <c r="G54" s="23"/>
      <c r="H5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4" s="23"/>
      <c r="J5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4" s="23"/>
      <c r="L5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4" s="23"/>
      <c r="N54" s="33" t="str">
        <f>IFERROR(__xludf.DUMMYFUNCTION("indirect(""Dupe!N""&amp;row())&amp;if(regexmatch(indirect(""C""&amp;row()),""Widen""),""
Widened
Any numeric measurements of the spell’s area increase by 100%"","""")"),"")</f>
        <v/>
      </c>
      <c r="O54" s="23"/>
      <c r="P5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4" s="23"/>
      <c r="R54" s="33" t="str">
        <f t="shared" si="15"/>
        <v/>
      </c>
      <c r="S54" s="23"/>
      <c r="T54" s="33" t="str">
        <f t="shared" si="16"/>
        <v/>
      </c>
      <c r="U54" s="23"/>
      <c r="V5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4" s="9"/>
      <c r="X54" s="9"/>
      <c r="Y54" s="23"/>
      <c r="Z54" s="36"/>
      <c r="AA54" s="1"/>
    </row>
    <row r="55">
      <c r="A55" s="1"/>
      <c r="B55" s="25"/>
      <c r="C55" s="25"/>
      <c r="D55" s="26" t="str">
        <f t="shared" si="13"/>
        <v/>
      </c>
      <c r="E55" s="17"/>
      <c r="F55" s="27" t="str">
        <f t="shared" si="14"/>
        <v/>
      </c>
      <c r="G55" s="17"/>
      <c r="H5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5" s="17"/>
      <c r="J5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5" s="17"/>
      <c r="L5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5" s="17"/>
      <c r="N55" s="27" t="str">
        <f>IFERROR(__xludf.DUMMYFUNCTION("indirect(""Dupe!N""&amp;row())&amp;if(regexmatch(indirect(""C""&amp;row()),""Widen""),""
Widened
Any numeric measurements of the spell’s area increase by 100%"","""")"),"")</f>
        <v/>
      </c>
      <c r="O55" s="17"/>
      <c r="P5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5" s="17"/>
      <c r="R55" s="27" t="str">
        <f t="shared" si="15"/>
        <v/>
      </c>
      <c r="S55" s="17"/>
      <c r="T55" s="27" t="str">
        <f t="shared" si="16"/>
        <v/>
      </c>
      <c r="U55" s="17"/>
      <c r="V5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5" s="3"/>
      <c r="X55" s="3"/>
      <c r="Y55" s="17"/>
      <c r="Z55" s="38"/>
      <c r="AA55" s="1"/>
    </row>
    <row r="56">
      <c r="A56" s="1"/>
      <c r="B56" s="31"/>
      <c r="C56" s="31"/>
      <c r="D56" s="32" t="str">
        <f t="shared" si="13"/>
        <v/>
      </c>
      <c r="E56" s="23"/>
      <c r="F56" s="33" t="str">
        <f t="shared" si="14"/>
        <v/>
      </c>
      <c r="G56" s="23"/>
      <c r="H5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6" s="23"/>
      <c r="J5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6" s="23"/>
      <c r="L5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6" s="23"/>
      <c r="N56" s="33" t="str">
        <f>IFERROR(__xludf.DUMMYFUNCTION("indirect(""Dupe!N""&amp;row())&amp;if(regexmatch(indirect(""C""&amp;row()),""Widen""),""
Widened
Any numeric measurements of the spell’s area increase by 100%"","""")"),"")</f>
        <v/>
      </c>
      <c r="O56" s="23"/>
      <c r="P5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6" s="23"/>
      <c r="R56" s="33" t="str">
        <f t="shared" si="15"/>
        <v/>
      </c>
      <c r="S56" s="23"/>
      <c r="T56" s="33" t="str">
        <f t="shared" si="16"/>
        <v/>
      </c>
      <c r="U56" s="23"/>
      <c r="V5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6" s="9"/>
      <c r="X56" s="9"/>
      <c r="Y56" s="23"/>
      <c r="Z56" s="36"/>
      <c r="AA56" s="1"/>
    </row>
    <row r="57">
      <c r="A57" s="1"/>
      <c r="B57" s="37"/>
      <c r="C57" s="37"/>
      <c r="D57" s="26" t="str">
        <f t="shared" si="13"/>
        <v/>
      </c>
      <c r="E57" s="17"/>
      <c r="F57" s="27" t="str">
        <f t="shared" si="14"/>
        <v/>
      </c>
      <c r="G57" s="17"/>
      <c r="H5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7" s="17"/>
      <c r="J5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7" s="17"/>
      <c r="L5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7" s="17"/>
      <c r="N57" s="27" t="str">
        <f>IFERROR(__xludf.DUMMYFUNCTION("indirect(""Dupe!N""&amp;row())&amp;if(regexmatch(indirect(""C""&amp;row()),""Widen""),""
Widened
Any numeric measurements of the spell’s area increase by 100%"","""")"),"")</f>
        <v/>
      </c>
      <c r="O57" s="17"/>
      <c r="P5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7" s="17"/>
      <c r="R57" s="27" t="str">
        <f t="shared" si="15"/>
        <v/>
      </c>
      <c r="S57" s="17"/>
      <c r="T57" s="27" t="str">
        <f t="shared" si="16"/>
        <v/>
      </c>
      <c r="U57" s="17"/>
      <c r="V5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7" s="3"/>
      <c r="X57" s="3"/>
      <c r="Y57" s="17"/>
      <c r="Z57" s="38"/>
      <c r="AA57" s="1"/>
    </row>
    <row r="58">
      <c r="A58" s="1"/>
      <c r="B58" s="40"/>
      <c r="C58" s="40"/>
      <c r="D58" s="32" t="str">
        <f t="shared" si="13"/>
        <v/>
      </c>
      <c r="E58" s="23"/>
      <c r="F58" s="33" t="str">
        <f t="shared" si="14"/>
        <v/>
      </c>
      <c r="G58" s="23"/>
      <c r="H5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8" s="23"/>
      <c r="J5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8" s="23"/>
      <c r="L5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8" s="23"/>
      <c r="N58" s="33" t="str">
        <f>IFERROR(__xludf.DUMMYFUNCTION("indirect(""Dupe!N""&amp;row())&amp;if(regexmatch(indirect(""C""&amp;row()),""Widen""),""
Widened
Any numeric measurements of the spell’s area increase by 100%"","""")"),"")</f>
        <v/>
      </c>
      <c r="O58" s="23"/>
      <c r="P5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8" s="23"/>
      <c r="R58" s="33" t="str">
        <f t="shared" si="15"/>
        <v/>
      </c>
      <c r="S58" s="23"/>
      <c r="T58" s="33" t="str">
        <f t="shared" si="16"/>
        <v/>
      </c>
      <c r="U58" s="23"/>
      <c r="V5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8" s="9"/>
      <c r="X58" s="9"/>
      <c r="Y58" s="23"/>
      <c r="Z58" s="36"/>
      <c r="AA58" s="1"/>
    </row>
    <row r="59">
      <c r="A59" s="1"/>
      <c r="B59" s="37"/>
      <c r="C59" s="37"/>
      <c r="D59" s="26" t="str">
        <f t="shared" si="13"/>
        <v/>
      </c>
      <c r="E59" s="17"/>
      <c r="F59" s="27" t="str">
        <f t="shared" si="14"/>
        <v/>
      </c>
      <c r="G59" s="17"/>
      <c r="H5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9" s="17"/>
      <c r="J5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9" s="17"/>
      <c r="L5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9" s="17"/>
      <c r="N59" s="27" t="str">
        <f>IFERROR(__xludf.DUMMYFUNCTION("indirect(""Dupe!N""&amp;row())&amp;if(regexmatch(indirect(""C""&amp;row()),""Widen""),""
Widened
Any numeric measurements of the spell’s area increase by 100%"","""")"),"")</f>
        <v/>
      </c>
      <c r="O59" s="17"/>
      <c r="P5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9" s="17"/>
      <c r="R59" s="27" t="str">
        <f t="shared" si="15"/>
        <v/>
      </c>
      <c r="S59" s="17"/>
      <c r="T59" s="27" t="str">
        <f t="shared" si="16"/>
        <v/>
      </c>
      <c r="U59" s="17"/>
      <c r="V5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9" s="3"/>
      <c r="X59" s="3"/>
      <c r="Y59" s="17"/>
      <c r="Z59" s="38"/>
      <c r="AA59" s="1"/>
    </row>
    <row r="60">
      <c r="A60" s="1"/>
      <c r="B60" s="40"/>
      <c r="C60" s="40"/>
      <c r="D60" s="32" t="str">
        <f t="shared" si="13"/>
        <v/>
      </c>
      <c r="E60" s="23"/>
      <c r="F60" s="33" t="str">
        <f t="shared" si="14"/>
        <v/>
      </c>
      <c r="G60" s="23"/>
      <c r="H6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0" s="23"/>
      <c r="J6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0" s="23"/>
      <c r="L6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0" s="23"/>
      <c r="N60" s="33" t="str">
        <f>IFERROR(__xludf.DUMMYFUNCTION("indirect(""Dupe!N""&amp;row())&amp;if(regexmatch(indirect(""C""&amp;row()),""Widen""),""
Widened
Any numeric measurements of the spell’s area increase by 100%"","""")"),"")</f>
        <v/>
      </c>
      <c r="O60" s="23"/>
      <c r="P6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0" s="23"/>
      <c r="R60" s="33" t="str">
        <f t="shared" si="15"/>
        <v/>
      </c>
      <c r="S60" s="23"/>
      <c r="T60" s="33" t="str">
        <f t="shared" si="16"/>
        <v/>
      </c>
      <c r="U60" s="23"/>
      <c r="V6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0" s="9"/>
      <c r="X60" s="9"/>
      <c r="Y60" s="23"/>
      <c r="Z60" s="36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5" t="s">
        <v>31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6" t="s">
        <v>14</v>
      </c>
      <c r="W62" s="3"/>
      <c r="X62" s="17"/>
      <c r="Y62" s="18" t="str">
        <f>SUM(Z64:Z73)&amp;"/"&amp;if(dget(base_spells,"4th",F2:F3),dget(base_spells,"4th",F2:F3)+dget(bonus_spells,"4th",H2:H3),0)</f>
        <v>0/0</v>
      </c>
      <c r="Z62" s="19"/>
      <c r="AA62" s="1"/>
    </row>
    <row r="63">
      <c r="A63" s="1"/>
      <c r="B63" s="21" t="s">
        <v>15</v>
      </c>
      <c r="C63" s="21" t="s">
        <v>16</v>
      </c>
      <c r="D63" s="22" t="s">
        <v>17</v>
      </c>
      <c r="E63" s="23"/>
      <c r="F63" s="22" t="s">
        <v>18</v>
      </c>
      <c r="G63" s="23"/>
      <c r="H63" s="22" t="s">
        <v>19</v>
      </c>
      <c r="I63" s="23"/>
      <c r="J63" s="22" t="s">
        <v>20</v>
      </c>
      <c r="K63" s="23"/>
      <c r="L63" s="22" t="s">
        <v>21</v>
      </c>
      <c r="M63" s="23"/>
      <c r="N63" s="22" t="s">
        <v>22</v>
      </c>
      <c r="O63" s="23"/>
      <c r="P63" s="22" t="s">
        <v>23</v>
      </c>
      <c r="Q63" s="23"/>
      <c r="R63" s="22" t="s">
        <v>24</v>
      </c>
      <c r="S63" s="23"/>
      <c r="T63" s="22" t="s">
        <v>25</v>
      </c>
      <c r="U63" s="23"/>
      <c r="V63" s="22" t="s">
        <v>26</v>
      </c>
      <c r="W63" s="9"/>
      <c r="X63" s="9"/>
      <c r="Y63" s="23"/>
      <c r="Z63" s="21" t="s">
        <v>27</v>
      </c>
      <c r="AA63" s="1"/>
    </row>
    <row r="64">
      <c r="A64" s="1"/>
      <c r="B64" s="25"/>
      <c r="C64" s="25"/>
      <c r="D64" s="26" t="str">
        <f t="shared" ref="D64:D73" si="17">indirect("Dupe!D"&amp;ROW())</f>
        <v/>
      </c>
      <c r="E64" s="17"/>
      <c r="F64" s="27" t="str">
        <f t="shared" ref="F64:F73" si="18">indirect("Dupe!F"&amp;ROW())</f>
        <v/>
      </c>
      <c r="G64" s="17"/>
      <c r="H64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4" s="17"/>
      <c r="J64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4" s="17"/>
      <c r="L64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4" s="17"/>
      <c r="N64" s="27" t="str">
        <f>IFERROR(__xludf.DUMMYFUNCTION("indirect(""Dupe!N""&amp;row())&amp;if(regexmatch(indirect(""C""&amp;row()),""Widen""),""
Widened
Any numeric measurements of the spell’s area increase by 100%"","""")"),"")</f>
        <v/>
      </c>
      <c r="O64" s="17"/>
      <c r="P64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4" s="17"/>
      <c r="R64" s="27" t="str">
        <f t="shared" ref="R64:R73" si="19">indirect("Dupe!R"&amp;row())</f>
        <v/>
      </c>
      <c r="S64" s="17"/>
      <c r="T64" s="27" t="str">
        <f t="shared" ref="T64:T73" si="20">indirect("Dupe!T"&amp;row())</f>
        <v/>
      </c>
      <c r="U64" s="17"/>
      <c r="V64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4" s="3"/>
      <c r="X64" s="3"/>
      <c r="Y64" s="17"/>
      <c r="Z64" s="38"/>
      <c r="AA64" s="1"/>
    </row>
    <row r="65">
      <c r="A65" s="1"/>
      <c r="B65" s="31"/>
      <c r="C65" s="31"/>
      <c r="D65" s="32" t="str">
        <f t="shared" si="17"/>
        <v/>
      </c>
      <c r="E65" s="23"/>
      <c r="F65" s="33" t="str">
        <f t="shared" si="18"/>
        <v/>
      </c>
      <c r="G65" s="23"/>
      <c r="H65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5" s="23"/>
      <c r="J65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5" s="23"/>
      <c r="L65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5" s="23"/>
      <c r="N65" s="33" t="str">
        <f>IFERROR(__xludf.DUMMYFUNCTION("indirect(""Dupe!N""&amp;row())&amp;if(regexmatch(indirect(""C""&amp;row()),""Widen""),""
Widened
Any numeric measurements of the spell’s area increase by 100%"","""")"),"")</f>
        <v/>
      </c>
      <c r="O65" s="23"/>
      <c r="P65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5" s="23"/>
      <c r="R65" s="33" t="str">
        <f t="shared" si="19"/>
        <v/>
      </c>
      <c r="S65" s="23"/>
      <c r="T65" s="33" t="str">
        <f t="shared" si="20"/>
        <v/>
      </c>
      <c r="U65" s="23"/>
      <c r="V65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5" s="9"/>
      <c r="X65" s="9"/>
      <c r="Y65" s="23"/>
      <c r="Z65" s="36"/>
      <c r="AA65" s="1"/>
    </row>
    <row r="66">
      <c r="A66" s="1"/>
      <c r="B66" s="37"/>
      <c r="C66" s="37"/>
      <c r="D66" s="26" t="str">
        <f t="shared" si="17"/>
        <v/>
      </c>
      <c r="E66" s="17"/>
      <c r="F66" s="27" t="str">
        <f t="shared" si="18"/>
        <v/>
      </c>
      <c r="G66" s="17"/>
      <c r="H66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6" s="17"/>
      <c r="J66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6" s="17"/>
      <c r="L66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6" s="17"/>
      <c r="N66" s="27" t="str">
        <f>IFERROR(__xludf.DUMMYFUNCTION("indirect(""Dupe!N""&amp;row())&amp;if(regexmatch(indirect(""C""&amp;row()),""Widen""),""
Widened
Any numeric measurements of the spell’s area increase by 100%"","""")"),"")</f>
        <v/>
      </c>
      <c r="O66" s="17"/>
      <c r="P66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6" s="17"/>
      <c r="R66" s="27" t="str">
        <f t="shared" si="19"/>
        <v/>
      </c>
      <c r="S66" s="17"/>
      <c r="T66" s="27" t="str">
        <f t="shared" si="20"/>
        <v/>
      </c>
      <c r="U66" s="17"/>
      <c r="V66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6" s="3"/>
      <c r="X66" s="3"/>
      <c r="Y66" s="17"/>
      <c r="Z66" s="38"/>
      <c r="AA66" s="1"/>
    </row>
    <row r="67">
      <c r="A67" s="1"/>
      <c r="B67" s="40"/>
      <c r="C67" s="40"/>
      <c r="D67" s="32" t="str">
        <f t="shared" si="17"/>
        <v/>
      </c>
      <c r="E67" s="23"/>
      <c r="F67" s="33" t="str">
        <f t="shared" si="18"/>
        <v/>
      </c>
      <c r="G67" s="23"/>
      <c r="H67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7" s="23"/>
      <c r="J67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7" s="23"/>
      <c r="L67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7" s="23"/>
      <c r="N67" s="33" t="str">
        <f>IFERROR(__xludf.DUMMYFUNCTION("indirect(""Dupe!N""&amp;row())&amp;if(regexmatch(indirect(""C""&amp;row()),""Widen""),""
Widened
Any numeric measurements of the spell’s area increase by 100%"","""")"),"")</f>
        <v/>
      </c>
      <c r="O67" s="23"/>
      <c r="P67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7" s="23"/>
      <c r="R67" s="33" t="str">
        <f t="shared" si="19"/>
        <v/>
      </c>
      <c r="S67" s="23"/>
      <c r="T67" s="33" t="str">
        <f t="shared" si="20"/>
        <v/>
      </c>
      <c r="U67" s="23"/>
      <c r="V67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7" s="9"/>
      <c r="X67" s="9"/>
      <c r="Y67" s="23"/>
      <c r="Z67" s="36"/>
      <c r="AA67" s="1"/>
    </row>
    <row r="68">
      <c r="A68" s="1"/>
      <c r="B68" s="25"/>
      <c r="C68" s="25"/>
      <c r="D68" s="26" t="str">
        <f t="shared" si="17"/>
        <v/>
      </c>
      <c r="E68" s="17"/>
      <c r="F68" s="27" t="str">
        <f t="shared" si="18"/>
        <v/>
      </c>
      <c r="G68" s="17"/>
      <c r="H68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8" s="17"/>
      <c r="J68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8" s="17"/>
      <c r="L68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8" s="17"/>
      <c r="N68" s="27" t="str">
        <f>IFERROR(__xludf.DUMMYFUNCTION("indirect(""Dupe!N""&amp;row())&amp;if(regexmatch(indirect(""C""&amp;row()),""Widen""),""
Widened
Any numeric measurements of the spell’s area increase by 100%"","""")"),"")</f>
        <v/>
      </c>
      <c r="O68" s="17"/>
      <c r="P68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8" s="17"/>
      <c r="R68" s="27" t="str">
        <f t="shared" si="19"/>
        <v/>
      </c>
      <c r="S68" s="17"/>
      <c r="T68" s="27" t="str">
        <f t="shared" si="20"/>
        <v/>
      </c>
      <c r="U68" s="17"/>
      <c r="V68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8" s="3"/>
      <c r="X68" s="3"/>
      <c r="Y68" s="17"/>
      <c r="Z68" s="38"/>
      <c r="AA68" s="1"/>
    </row>
    <row r="69">
      <c r="A69" s="1"/>
      <c r="B69" s="31"/>
      <c r="C69" s="31"/>
      <c r="D69" s="32" t="str">
        <f t="shared" si="17"/>
        <v/>
      </c>
      <c r="E69" s="23"/>
      <c r="F69" s="33" t="str">
        <f t="shared" si="18"/>
        <v/>
      </c>
      <c r="G69" s="23"/>
      <c r="H69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9" s="23"/>
      <c r="J69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9" s="23"/>
      <c r="L69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9" s="23"/>
      <c r="N69" s="33" t="str">
        <f>IFERROR(__xludf.DUMMYFUNCTION("indirect(""Dupe!N""&amp;row())&amp;if(regexmatch(indirect(""C""&amp;row()),""Widen""),""
Widened
Any numeric measurements of the spell’s area increase by 100%"","""")"),"")</f>
        <v/>
      </c>
      <c r="O69" s="23"/>
      <c r="P69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9" s="23"/>
      <c r="R69" s="33" t="str">
        <f t="shared" si="19"/>
        <v/>
      </c>
      <c r="S69" s="23"/>
      <c r="T69" s="33" t="str">
        <f t="shared" si="20"/>
        <v/>
      </c>
      <c r="U69" s="23"/>
      <c r="V69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9" s="9"/>
      <c r="X69" s="9"/>
      <c r="Y69" s="23"/>
      <c r="Z69" s="36"/>
      <c r="AA69" s="1"/>
    </row>
    <row r="70">
      <c r="A70" s="1"/>
      <c r="B70" s="37"/>
      <c r="C70" s="37"/>
      <c r="D70" s="26" t="str">
        <f t="shared" si="17"/>
        <v/>
      </c>
      <c r="E70" s="17"/>
      <c r="F70" s="27" t="str">
        <f t="shared" si="18"/>
        <v/>
      </c>
      <c r="G70" s="17"/>
      <c r="H70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0" s="17"/>
      <c r="J70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0" s="17"/>
      <c r="L70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0" s="17"/>
      <c r="N70" s="27" t="str">
        <f>IFERROR(__xludf.DUMMYFUNCTION("indirect(""Dupe!N""&amp;row())&amp;if(regexmatch(indirect(""C""&amp;row()),""Widen""),""
Widened
Any numeric measurements of the spell’s area increase by 100%"","""")"),"")</f>
        <v/>
      </c>
      <c r="O70" s="17"/>
      <c r="P70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0" s="17"/>
      <c r="R70" s="27" t="str">
        <f t="shared" si="19"/>
        <v/>
      </c>
      <c r="S70" s="17"/>
      <c r="T70" s="27" t="str">
        <f t="shared" si="20"/>
        <v/>
      </c>
      <c r="U70" s="17"/>
      <c r="V70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0" s="3"/>
      <c r="X70" s="3"/>
      <c r="Y70" s="17"/>
      <c r="Z70" s="38"/>
      <c r="AA70" s="1"/>
    </row>
    <row r="71">
      <c r="A71" s="1"/>
      <c r="B71" s="40"/>
      <c r="C71" s="40"/>
      <c r="D71" s="32" t="str">
        <f t="shared" si="17"/>
        <v/>
      </c>
      <c r="E71" s="23"/>
      <c r="F71" s="33" t="str">
        <f t="shared" si="18"/>
        <v/>
      </c>
      <c r="G71" s="23"/>
      <c r="H71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1" s="23"/>
      <c r="J71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1" s="23"/>
      <c r="L71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1" s="23"/>
      <c r="N71" s="33" t="str">
        <f>IFERROR(__xludf.DUMMYFUNCTION("indirect(""Dupe!N""&amp;row())&amp;if(regexmatch(indirect(""C""&amp;row()),""Widen""),""
Widened
Any numeric measurements of the spell’s area increase by 100%"","""")"),"")</f>
        <v/>
      </c>
      <c r="O71" s="23"/>
      <c r="P71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1" s="23"/>
      <c r="R71" s="33" t="str">
        <f t="shared" si="19"/>
        <v/>
      </c>
      <c r="S71" s="23"/>
      <c r="T71" s="33" t="str">
        <f t="shared" si="20"/>
        <v/>
      </c>
      <c r="U71" s="23"/>
      <c r="V71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1" s="9"/>
      <c r="X71" s="9"/>
      <c r="Y71" s="23"/>
      <c r="Z71" s="36"/>
      <c r="AA71" s="1"/>
    </row>
    <row r="72">
      <c r="A72" s="1"/>
      <c r="B72" s="37"/>
      <c r="C72" s="37"/>
      <c r="D72" s="26" t="str">
        <f t="shared" si="17"/>
        <v/>
      </c>
      <c r="E72" s="17"/>
      <c r="F72" s="27" t="str">
        <f t="shared" si="18"/>
        <v/>
      </c>
      <c r="G72" s="17"/>
      <c r="H72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2" s="17"/>
      <c r="J72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2" s="17"/>
      <c r="L72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2" s="17"/>
      <c r="N72" s="27" t="str">
        <f>IFERROR(__xludf.DUMMYFUNCTION("indirect(""Dupe!N""&amp;row())&amp;if(regexmatch(indirect(""C""&amp;row()),""Widen""),""
Widened
Any numeric measurements of the spell’s area increase by 100%"","""")"),"")</f>
        <v/>
      </c>
      <c r="O72" s="17"/>
      <c r="P72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2" s="17"/>
      <c r="R72" s="27" t="str">
        <f t="shared" si="19"/>
        <v/>
      </c>
      <c r="S72" s="17"/>
      <c r="T72" s="27" t="str">
        <f t="shared" si="20"/>
        <v/>
      </c>
      <c r="U72" s="17"/>
      <c r="V72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2" s="3"/>
      <c r="X72" s="3"/>
      <c r="Y72" s="17"/>
      <c r="Z72" s="38"/>
      <c r="AA72" s="1"/>
    </row>
    <row r="73">
      <c r="A73" s="1"/>
      <c r="B73" s="40"/>
      <c r="C73" s="40"/>
      <c r="D73" s="32" t="str">
        <f t="shared" si="17"/>
        <v/>
      </c>
      <c r="E73" s="23"/>
      <c r="F73" s="33" t="str">
        <f t="shared" si="18"/>
        <v/>
      </c>
      <c r="G73" s="23"/>
      <c r="H73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3" s="23"/>
      <c r="J73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3" s="23"/>
      <c r="L73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3" s="23"/>
      <c r="N73" s="33" t="str">
        <f>IFERROR(__xludf.DUMMYFUNCTION("indirect(""Dupe!N""&amp;row())&amp;if(regexmatch(indirect(""C""&amp;row()),""Widen""),""
Widened
Any numeric measurements of the spell’s area increase by 100%"","""")"),"")</f>
        <v/>
      </c>
      <c r="O73" s="23"/>
      <c r="P73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3" s="23"/>
      <c r="R73" s="33" t="str">
        <f t="shared" si="19"/>
        <v/>
      </c>
      <c r="S73" s="23"/>
      <c r="T73" s="33" t="str">
        <f t="shared" si="20"/>
        <v/>
      </c>
      <c r="U73" s="23"/>
      <c r="V73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3" s="9"/>
      <c r="X73" s="9"/>
      <c r="Y73" s="23"/>
      <c r="Z73" s="36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5" t="s">
        <v>32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6" t="s">
        <v>14</v>
      </c>
      <c r="W75" s="3"/>
      <c r="X75" s="17"/>
      <c r="Y75" s="18" t="str">
        <f>SUM(Z77:Z86)&amp;"/"&amp;if(dget(base_spells,"5th",F2:F3),dget(base_spells,"5th",F2:F3)+dget(bonus_spells,"5th",H2:H3),0)</f>
        <v>0/0</v>
      </c>
      <c r="Z75" s="19"/>
      <c r="AA75" s="1"/>
    </row>
    <row r="76">
      <c r="A76" s="1"/>
      <c r="B76" s="21" t="s">
        <v>15</v>
      </c>
      <c r="C76" s="21" t="s">
        <v>16</v>
      </c>
      <c r="D76" s="22" t="s">
        <v>17</v>
      </c>
      <c r="E76" s="23"/>
      <c r="F76" s="22" t="s">
        <v>18</v>
      </c>
      <c r="G76" s="23"/>
      <c r="H76" s="22" t="s">
        <v>19</v>
      </c>
      <c r="I76" s="23"/>
      <c r="J76" s="22" t="s">
        <v>20</v>
      </c>
      <c r="K76" s="23"/>
      <c r="L76" s="22" t="s">
        <v>21</v>
      </c>
      <c r="M76" s="23"/>
      <c r="N76" s="22" t="s">
        <v>22</v>
      </c>
      <c r="O76" s="23"/>
      <c r="P76" s="22" t="s">
        <v>23</v>
      </c>
      <c r="Q76" s="23"/>
      <c r="R76" s="22" t="s">
        <v>24</v>
      </c>
      <c r="S76" s="23"/>
      <c r="T76" s="22" t="s">
        <v>25</v>
      </c>
      <c r="U76" s="23"/>
      <c r="V76" s="22" t="s">
        <v>26</v>
      </c>
      <c r="W76" s="9"/>
      <c r="X76" s="9"/>
      <c r="Y76" s="23"/>
      <c r="Z76" s="21" t="s">
        <v>27</v>
      </c>
      <c r="AA76" s="1"/>
    </row>
    <row r="77">
      <c r="A77" s="1"/>
      <c r="B77" s="25"/>
      <c r="C77" s="25"/>
      <c r="D77" s="26" t="str">
        <f t="shared" ref="D77:D86" si="21">indirect("Dupe!D"&amp;ROW())</f>
        <v/>
      </c>
      <c r="E77" s="17"/>
      <c r="F77" s="27" t="str">
        <f t="shared" ref="F77:F86" si="22">indirect("Dupe!F"&amp;ROW())</f>
        <v/>
      </c>
      <c r="G77" s="17"/>
      <c r="H7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7" s="17"/>
      <c r="J7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7" s="17"/>
      <c r="L7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7" s="17"/>
      <c r="N77" s="27" t="str">
        <f>IFERROR(__xludf.DUMMYFUNCTION("indirect(""Dupe!N""&amp;row())&amp;if(regexmatch(indirect(""C""&amp;row()),""Widen""),""
Widened
Any numeric measurements of the spell’s area increase by 100%"","""")"),"")</f>
        <v/>
      </c>
      <c r="O77" s="17"/>
      <c r="P7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7" s="17"/>
      <c r="R77" s="27" t="str">
        <f t="shared" ref="R77:R86" si="23">indirect("Dupe!R"&amp;row())</f>
        <v/>
      </c>
      <c r="S77" s="17"/>
      <c r="T77" s="27" t="str">
        <f t="shared" ref="T77:T86" si="24">indirect("Dupe!T"&amp;row())</f>
        <v/>
      </c>
      <c r="U77" s="17"/>
      <c r="V7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7" s="3"/>
      <c r="X77" s="3"/>
      <c r="Y77" s="17"/>
      <c r="Z77" s="38"/>
      <c r="AA77" s="1"/>
    </row>
    <row r="78">
      <c r="A78" s="1"/>
      <c r="B78" s="31"/>
      <c r="C78" s="31"/>
      <c r="D78" s="32" t="str">
        <f t="shared" si="21"/>
        <v/>
      </c>
      <c r="E78" s="23"/>
      <c r="F78" s="33" t="str">
        <f t="shared" si="22"/>
        <v/>
      </c>
      <c r="G78" s="23"/>
      <c r="H7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8" s="23"/>
      <c r="J7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8" s="23"/>
      <c r="L7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8" s="23"/>
      <c r="N78" s="33" t="str">
        <f>IFERROR(__xludf.DUMMYFUNCTION("indirect(""Dupe!N""&amp;row())&amp;if(regexmatch(indirect(""C""&amp;row()),""Widen""),""
Widened
Any numeric measurements of the spell’s area increase by 100%"","""")"),"")</f>
        <v/>
      </c>
      <c r="O78" s="23"/>
      <c r="P7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8" s="23"/>
      <c r="R78" s="33" t="str">
        <f t="shared" si="23"/>
        <v/>
      </c>
      <c r="S78" s="23"/>
      <c r="T78" s="33" t="str">
        <f t="shared" si="24"/>
        <v/>
      </c>
      <c r="U78" s="23"/>
      <c r="V7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8" s="9"/>
      <c r="X78" s="9"/>
      <c r="Y78" s="23"/>
      <c r="Z78" s="36"/>
      <c r="AA78" s="1"/>
    </row>
    <row r="79">
      <c r="A79" s="1"/>
      <c r="B79" s="37"/>
      <c r="C79" s="37"/>
      <c r="D79" s="26" t="str">
        <f t="shared" si="21"/>
        <v/>
      </c>
      <c r="E79" s="17"/>
      <c r="F79" s="27" t="str">
        <f t="shared" si="22"/>
        <v/>
      </c>
      <c r="G79" s="17"/>
      <c r="H7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9" s="17"/>
      <c r="J7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9" s="17"/>
      <c r="L7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9" s="17"/>
      <c r="N79" s="27" t="str">
        <f>IFERROR(__xludf.DUMMYFUNCTION("indirect(""Dupe!N""&amp;row())&amp;if(regexmatch(indirect(""C""&amp;row()),""Widen""),""
Widened
Any numeric measurements of the spell’s area increase by 100%"","""")"),"")</f>
        <v/>
      </c>
      <c r="O79" s="17"/>
      <c r="P7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9" s="17"/>
      <c r="R79" s="27" t="str">
        <f t="shared" si="23"/>
        <v/>
      </c>
      <c r="S79" s="17"/>
      <c r="T79" s="27" t="str">
        <f t="shared" si="24"/>
        <v/>
      </c>
      <c r="U79" s="17"/>
      <c r="V7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9" s="3"/>
      <c r="X79" s="3"/>
      <c r="Y79" s="17"/>
      <c r="Z79" s="38"/>
      <c r="AA79" s="1"/>
    </row>
    <row r="80">
      <c r="A80" s="1"/>
      <c r="B80" s="40"/>
      <c r="C80" s="40"/>
      <c r="D80" s="32" t="str">
        <f t="shared" si="21"/>
        <v/>
      </c>
      <c r="E80" s="23"/>
      <c r="F80" s="33" t="str">
        <f t="shared" si="22"/>
        <v/>
      </c>
      <c r="G80" s="23"/>
      <c r="H8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0" s="23"/>
      <c r="J8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0" s="23"/>
      <c r="L8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0" s="23"/>
      <c r="N80" s="33" t="str">
        <f>IFERROR(__xludf.DUMMYFUNCTION("indirect(""Dupe!N""&amp;row())&amp;if(regexmatch(indirect(""C""&amp;row()),""Widen""),""
Widened
Any numeric measurements of the spell’s area increase by 100%"","""")"),"")</f>
        <v/>
      </c>
      <c r="O80" s="23"/>
      <c r="P8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0" s="23"/>
      <c r="R80" s="33" t="str">
        <f t="shared" si="23"/>
        <v/>
      </c>
      <c r="S80" s="23"/>
      <c r="T80" s="33" t="str">
        <f t="shared" si="24"/>
        <v/>
      </c>
      <c r="U80" s="23"/>
      <c r="V8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0" s="9"/>
      <c r="X80" s="9"/>
      <c r="Y80" s="23"/>
      <c r="Z80" s="36"/>
      <c r="AA80" s="1"/>
    </row>
    <row r="81">
      <c r="A81" s="1"/>
      <c r="B81" s="25"/>
      <c r="C81" s="25"/>
      <c r="D81" s="26" t="str">
        <f t="shared" si="21"/>
        <v/>
      </c>
      <c r="E81" s="17"/>
      <c r="F81" s="27" t="str">
        <f t="shared" si="22"/>
        <v/>
      </c>
      <c r="G81" s="17"/>
      <c r="H8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1" s="17"/>
      <c r="J8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1" s="17"/>
      <c r="L8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1" s="17"/>
      <c r="N81" s="27" t="str">
        <f>IFERROR(__xludf.DUMMYFUNCTION("indirect(""Dupe!N""&amp;row())&amp;if(regexmatch(indirect(""C""&amp;row()),""Widen""),""
Widened
Any numeric measurements of the spell’s area increase by 100%"","""")"),"")</f>
        <v/>
      </c>
      <c r="O81" s="17"/>
      <c r="P8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1" s="17"/>
      <c r="R81" s="27" t="str">
        <f t="shared" si="23"/>
        <v/>
      </c>
      <c r="S81" s="17"/>
      <c r="T81" s="27" t="str">
        <f t="shared" si="24"/>
        <v/>
      </c>
      <c r="U81" s="17"/>
      <c r="V8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1" s="3"/>
      <c r="X81" s="3"/>
      <c r="Y81" s="17"/>
      <c r="Z81" s="38"/>
      <c r="AA81" s="1"/>
    </row>
    <row r="82">
      <c r="A82" s="1"/>
      <c r="B82" s="31"/>
      <c r="C82" s="31"/>
      <c r="D82" s="32" t="str">
        <f t="shared" si="21"/>
        <v/>
      </c>
      <c r="E82" s="23"/>
      <c r="F82" s="33" t="str">
        <f t="shared" si="22"/>
        <v/>
      </c>
      <c r="G82" s="23"/>
      <c r="H8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2" s="23"/>
      <c r="J8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2" s="23"/>
      <c r="L8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2" s="23"/>
      <c r="N82" s="33" t="str">
        <f>IFERROR(__xludf.DUMMYFUNCTION("indirect(""Dupe!N""&amp;row())&amp;if(regexmatch(indirect(""C""&amp;row()),""Widen""),""
Widened
Any numeric measurements of the spell’s area increase by 100%"","""")"),"")</f>
        <v/>
      </c>
      <c r="O82" s="23"/>
      <c r="P8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2" s="23"/>
      <c r="R82" s="33" t="str">
        <f t="shared" si="23"/>
        <v/>
      </c>
      <c r="S82" s="23"/>
      <c r="T82" s="33" t="str">
        <f t="shared" si="24"/>
        <v/>
      </c>
      <c r="U82" s="23"/>
      <c r="V8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2" s="9"/>
      <c r="X82" s="9"/>
      <c r="Y82" s="23"/>
      <c r="Z82" s="36"/>
      <c r="AA82" s="1"/>
    </row>
    <row r="83">
      <c r="A83" s="1"/>
      <c r="B83" s="37"/>
      <c r="C83" s="37"/>
      <c r="D83" s="26" t="str">
        <f t="shared" si="21"/>
        <v/>
      </c>
      <c r="E83" s="17"/>
      <c r="F83" s="27" t="str">
        <f t="shared" si="22"/>
        <v/>
      </c>
      <c r="G83" s="17"/>
      <c r="H8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3" s="17"/>
      <c r="J8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3" s="17"/>
      <c r="L8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3" s="17"/>
      <c r="N83" s="27" t="str">
        <f>IFERROR(__xludf.DUMMYFUNCTION("indirect(""Dupe!N""&amp;row())&amp;if(regexmatch(indirect(""C""&amp;row()),""Widen""),""
Widened
Any numeric measurements of the spell’s area increase by 100%"","""")"),"")</f>
        <v/>
      </c>
      <c r="O83" s="17"/>
      <c r="P8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3" s="17"/>
      <c r="R83" s="27" t="str">
        <f t="shared" si="23"/>
        <v/>
      </c>
      <c r="S83" s="17"/>
      <c r="T83" s="27" t="str">
        <f t="shared" si="24"/>
        <v/>
      </c>
      <c r="U83" s="17"/>
      <c r="V8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3" s="3"/>
      <c r="X83" s="3"/>
      <c r="Y83" s="17"/>
      <c r="Z83" s="38"/>
      <c r="AA83" s="1"/>
    </row>
    <row r="84">
      <c r="A84" s="1"/>
      <c r="B84" s="40"/>
      <c r="C84" s="40"/>
      <c r="D84" s="32" t="str">
        <f t="shared" si="21"/>
        <v/>
      </c>
      <c r="E84" s="23"/>
      <c r="F84" s="33" t="str">
        <f t="shared" si="22"/>
        <v/>
      </c>
      <c r="G84" s="23"/>
      <c r="H8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4" s="23"/>
      <c r="J8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4" s="23"/>
      <c r="L8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4" s="23"/>
      <c r="N84" s="33" t="str">
        <f>IFERROR(__xludf.DUMMYFUNCTION("indirect(""Dupe!N""&amp;row())&amp;if(regexmatch(indirect(""C""&amp;row()),""Widen""),""
Widened
Any numeric measurements of the spell’s area increase by 100%"","""")"),"")</f>
        <v/>
      </c>
      <c r="O84" s="23"/>
      <c r="P8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4" s="23"/>
      <c r="R84" s="33" t="str">
        <f t="shared" si="23"/>
        <v/>
      </c>
      <c r="S84" s="23"/>
      <c r="T84" s="33" t="str">
        <f t="shared" si="24"/>
        <v/>
      </c>
      <c r="U84" s="23"/>
      <c r="V8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4" s="9"/>
      <c r="X84" s="9"/>
      <c r="Y84" s="23"/>
      <c r="Z84" s="36"/>
      <c r="AA84" s="1"/>
    </row>
    <row r="85">
      <c r="A85" s="1"/>
      <c r="B85" s="37"/>
      <c r="C85" s="37"/>
      <c r="D85" s="26" t="str">
        <f t="shared" si="21"/>
        <v/>
      </c>
      <c r="E85" s="17"/>
      <c r="F85" s="27" t="str">
        <f t="shared" si="22"/>
        <v/>
      </c>
      <c r="G85" s="17"/>
      <c r="H8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5" s="17"/>
      <c r="J8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5" s="17"/>
      <c r="L8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5" s="17"/>
      <c r="N85" s="27" t="str">
        <f>IFERROR(__xludf.DUMMYFUNCTION("indirect(""Dupe!N""&amp;row())&amp;if(regexmatch(indirect(""C""&amp;row()),""Widen""),""
Widened
Any numeric measurements of the spell’s area increase by 100%"","""")"),"")</f>
        <v/>
      </c>
      <c r="O85" s="17"/>
      <c r="P8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5" s="17"/>
      <c r="R85" s="27" t="str">
        <f t="shared" si="23"/>
        <v/>
      </c>
      <c r="S85" s="17"/>
      <c r="T85" s="27" t="str">
        <f t="shared" si="24"/>
        <v/>
      </c>
      <c r="U85" s="17"/>
      <c r="V8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5" s="3"/>
      <c r="X85" s="3"/>
      <c r="Y85" s="17"/>
      <c r="Z85" s="38"/>
      <c r="AA85" s="1"/>
    </row>
    <row r="86">
      <c r="A86" s="1"/>
      <c r="B86" s="40"/>
      <c r="C86" s="40"/>
      <c r="D86" s="32" t="str">
        <f t="shared" si="21"/>
        <v/>
      </c>
      <c r="E86" s="23"/>
      <c r="F86" s="33" t="str">
        <f t="shared" si="22"/>
        <v/>
      </c>
      <c r="G86" s="23"/>
      <c r="H8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6" s="23"/>
      <c r="J8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6" s="23"/>
      <c r="L8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6" s="23"/>
      <c r="N86" s="33" t="str">
        <f>IFERROR(__xludf.DUMMYFUNCTION("indirect(""Dupe!N""&amp;row())&amp;if(regexmatch(indirect(""C""&amp;row()),""Widen""),""
Widened
Any numeric measurements of the spell’s area increase by 100%"","""")"),"")</f>
        <v/>
      </c>
      <c r="O86" s="23"/>
      <c r="P8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6" s="23"/>
      <c r="R86" s="33" t="str">
        <f t="shared" si="23"/>
        <v/>
      </c>
      <c r="S86" s="23"/>
      <c r="T86" s="33" t="str">
        <f t="shared" si="24"/>
        <v/>
      </c>
      <c r="U86" s="23"/>
      <c r="V8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6" s="9"/>
      <c r="X86" s="9"/>
      <c r="Y86" s="23"/>
      <c r="Z86" s="36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5" t="s">
        <v>33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16" t="s">
        <v>14</v>
      </c>
      <c r="W88" s="3"/>
      <c r="X88" s="17"/>
      <c r="Y88" s="18" t="str">
        <f>SUM(Z90:Z99)&amp;"/"&amp;if(dget(base_spells,"6th",F2:F3),dget(base_spells,"6th",F2:F3)+dget(bonus_spells,"6th",H2:H3),0)</f>
        <v>0/0</v>
      </c>
      <c r="Z88" s="19"/>
      <c r="AA88" s="1"/>
    </row>
    <row r="89">
      <c r="A89" s="1"/>
      <c r="B89" s="21" t="s">
        <v>15</v>
      </c>
      <c r="C89" s="21" t="s">
        <v>16</v>
      </c>
      <c r="D89" s="22" t="s">
        <v>17</v>
      </c>
      <c r="E89" s="23"/>
      <c r="F89" s="22" t="s">
        <v>18</v>
      </c>
      <c r="G89" s="23"/>
      <c r="H89" s="22" t="s">
        <v>19</v>
      </c>
      <c r="I89" s="23"/>
      <c r="J89" s="22" t="s">
        <v>20</v>
      </c>
      <c r="K89" s="23"/>
      <c r="L89" s="22" t="s">
        <v>21</v>
      </c>
      <c r="M89" s="23"/>
      <c r="N89" s="22" t="s">
        <v>22</v>
      </c>
      <c r="O89" s="23"/>
      <c r="P89" s="22" t="s">
        <v>23</v>
      </c>
      <c r="Q89" s="23"/>
      <c r="R89" s="22" t="s">
        <v>24</v>
      </c>
      <c r="S89" s="23"/>
      <c r="T89" s="22" t="s">
        <v>25</v>
      </c>
      <c r="U89" s="23"/>
      <c r="V89" s="22" t="s">
        <v>26</v>
      </c>
      <c r="W89" s="9"/>
      <c r="X89" s="9"/>
      <c r="Y89" s="23"/>
      <c r="Z89" s="21" t="s">
        <v>27</v>
      </c>
      <c r="AA89" s="1"/>
    </row>
    <row r="90">
      <c r="A90" s="1"/>
      <c r="B90" s="25"/>
      <c r="C90" s="25"/>
      <c r="D90" s="26" t="str">
        <f t="shared" ref="D90:D99" si="25">indirect("Dupe!D"&amp;ROW())</f>
        <v/>
      </c>
      <c r="E90" s="17"/>
      <c r="F90" s="27" t="str">
        <f t="shared" ref="F90:F99" si="26">indirect("Dupe!F"&amp;ROW())</f>
        <v/>
      </c>
      <c r="G90" s="17"/>
      <c r="H90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0" s="17"/>
      <c r="J90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0" s="17"/>
      <c r="L90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0" s="17"/>
      <c r="N90" s="27" t="str">
        <f>IFERROR(__xludf.DUMMYFUNCTION("indirect(""Dupe!N""&amp;row())&amp;if(regexmatch(indirect(""C""&amp;row()),""Widen""),""
Widened
Any numeric measurements of the spell’s area increase by 100%"","""")"),"")</f>
        <v/>
      </c>
      <c r="O90" s="17"/>
      <c r="P90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0" s="17"/>
      <c r="R90" s="27" t="str">
        <f t="shared" ref="R90:R99" si="27">indirect("Dupe!R"&amp;row())</f>
        <v/>
      </c>
      <c r="S90" s="17"/>
      <c r="T90" s="27" t="str">
        <f t="shared" ref="T90:T99" si="28">indirect("Dupe!T"&amp;row())</f>
        <v/>
      </c>
      <c r="U90" s="17"/>
      <c r="V90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0" s="3"/>
      <c r="X90" s="3"/>
      <c r="Y90" s="17"/>
      <c r="Z90" s="38"/>
      <c r="AA90" s="1"/>
    </row>
    <row r="91">
      <c r="A91" s="1"/>
      <c r="B91" s="31"/>
      <c r="C91" s="31"/>
      <c r="D91" s="32" t="str">
        <f t="shared" si="25"/>
        <v/>
      </c>
      <c r="E91" s="23"/>
      <c r="F91" s="33" t="str">
        <f t="shared" si="26"/>
        <v/>
      </c>
      <c r="G91" s="23"/>
      <c r="H91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1" s="23"/>
      <c r="J91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1" s="23"/>
      <c r="L91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1" s="23"/>
      <c r="N91" s="33" t="str">
        <f>IFERROR(__xludf.DUMMYFUNCTION("indirect(""Dupe!N""&amp;row())&amp;if(regexmatch(indirect(""C""&amp;row()),""Widen""),""
Widened
Any numeric measurements of the spell’s area increase by 100%"","""")"),"")</f>
        <v/>
      </c>
      <c r="O91" s="23"/>
      <c r="P91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1" s="23"/>
      <c r="R91" s="33" t="str">
        <f t="shared" si="27"/>
        <v/>
      </c>
      <c r="S91" s="23"/>
      <c r="T91" s="33" t="str">
        <f t="shared" si="28"/>
        <v/>
      </c>
      <c r="U91" s="23"/>
      <c r="V91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1" s="9"/>
      <c r="X91" s="9"/>
      <c r="Y91" s="23"/>
      <c r="Z91" s="36"/>
      <c r="AA91" s="1"/>
    </row>
    <row r="92">
      <c r="A92" s="1"/>
      <c r="B92" s="37"/>
      <c r="C92" s="37"/>
      <c r="D92" s="26" t="str">
        <f t="shared" si="25"/>
        <v/>
      </c>
      <c r="E92" s="17"/>
      <c r="F92" s="27" t="str">
        <f t="shared" si="26"/>
        <v/>
      </c>
      <c r="G92" s="17"/>
      <c r="H92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2" s="17"/>
      <c r="J92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2" s="17"/>
      <c r="L92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2" s="17"/>
      <c r="N92" s="27" t="str">
        <f>IFERROR(__xludf.DUMMYFUNCTION("indirect(""Dupe!N""&amp;row())&amp;if(regexmatch(indirect(""C""&amp;row()),""Widen""),""
Widened
Any numeric measurements of the spell’s area increase by 100%"","""")"),"")</f>
        <v/>
      </c>
      <c r="O92" s="17"/>
      <c r="P92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2" s="17"/>
      <c r="R92" s="27" t="str">
        <f t="shared" si="27"/>
        <v/>
      </c>
      <c r="S92" s="17"/>
      <c r="T92" s="27" t="str">
        <f t="shared" si="28"/>
        <v/>
      </c>
      <c r="U92" s="17"/>
      <c r="V92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2" s="3"/>
      <c r="X92" s="3"/>
      <c r="Y92" s="17"/>
      <c r="Z92" s="38"/>
      <c r="AA92" s="1"/>
    </row>
    <row r="93">
      <c r="A93" s="1"/>
      <c r="B93" s="40"/>
      <c r="C93" s="40"/>
      <c r="D93" s="32" t="str">
        <f t="shared" si="25"/>
        <v/>
      </c>
      <c r="E93" s="23"/>
      <c r="F93" s="33" t="str">
        <f t="shared" si="26"/>
        <v/>
      </c>
      <c r="G93" s="23"/>
      <c r="H93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3" s="23"/>
      <c r="J93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3" s="23"/>
      <c r="L93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3" s="23"/>
      <c r="N93" s="33" t="str">
        <f>IFERROR(__xludf.DUMMYFUNCTION("indirect(""Dupe!N""&amp;row())&amp;if(regexmatch(indirect(""C""&amp;row()),""Widen""),""
Widened
Any numeric measurements of the spell’s area increase by 100%"","""")"),"")</f>
        <v/>
      </c>
      <c r="O93" s="23"/>
      <c r="P93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3" s="23"/>
      <c r="R93" s="33" t="str">
        <f t="shared" si="27"/>
        <v/>
      </c>
      <c r="S93" s="23"/>
      <c r="T93" s="33" t="str">
        <f t="shared" si="28"/>
        <v/>
      </c>
      <c r="U93" s="23"/>
      <c r="V93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3" s="9"/>
      <c r="X93" s="9"/>
      <c r="Y93" s="23"/>
      <c r="Z93" s="36"/>
      <c r="AA93" s="1"/>
    </row>
    <row r="94">
      <c r="A94" s="1"/>
      <c r="B94" s="25"/>
      <c r="C94" s="25"/>
      <c r="D94" s="26" t="str">
        <f t="shared" si="25"/>
        <v/>
      </c>
      <c r="E94" s="17"/>
      <c r="F94" s="27" t="str">
        <f t="shared" si="26"/>
        <v/>
      </c>
      <c r="G94" s="17"/>
      <c r="H94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4" s="17"/>
      <c r="J94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4" s="17"/>
      <c r="L94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4" s="17"/>
      <c r="N94" s="27" t="str">
        <f>IFERROR(__xludf.DUMMYFUNCTION("indirect(""Dupe!N""&amp;row())&amp;if(regexmatch(indirect(""C""&amp;row()),""Widen""),""
Widened
Any numeric measurements of the spell’s area increase by 100%"","""")"),"")</f>
        <v/>
      </c>
      <c r="O94" s="17"/>
      <c r="P94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4" s="17"/>
      <c r="R94" s="27" t="str">
        <f t="shared" si="27"/>
        <v/>
      </c>
      <c r="S94" s="17"/>
      <c r="T94" s="27" t="str">
        <f t="shared" si="28"/>
        <v/>
      </c>
      <c r="U94" s="17"/>
      <c r="V94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4" s="3"/>
      <c r="X94" s="3"/>
      <c r="Y94" s="17"/>
      <c r="Z94" s="38"/>
      <c r="AA94" s="1"/>
    </row>
    <row r="95">
      <c r="A95" s="1"/>
      <c r="B95" s="31"/>
      <c r="C95" s="31"/>
      <c r="D95" s="32" t="str">
        <f t="shared" si="25"/>
        <v/>
      </c>
      <c r="E95" s="23"/>
      <c r="F95" s="33" t="str">
        <f t="shared" si="26"/>
        <v/>
      </c>
      <c r="G95" s="23"/>
      <c r="H95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5" s="23"/>
      <c r="J95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5" s="23"/>
      <c r="L95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5" s="23"/>
      <c r="N95" s="33" t="str">
        <f>IFERROR(__xludf.DUMMYFUNCTION("indirect(""Dupe!N""&amp;row())&amp;if(regexmatch(indirect(""C""&amp;row()),""Widen""),""
Widened
Any numeric measurements of the spell’s area increase by 100%"","""")"),"")</f>
        <v/>
      </c>
      <c r="O95" s="23"/>
      <c r="P95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5" s="23"/>
      <c r="R95" s="33" t="str">
        <f t="shared" si="27"/>
        <v/>
      </c>
      <c r="S95" s="23"/>
      <c r="T95" s="33" t="str">
        <f t="shared" si="28"/>
        <v/>
      </c>
      <c r="U95" s="23"/>
      <c r="V95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5" s="9"/>
      <c r="X95" s="9"/>
      <c r="Y95" s="23"/>
      <c r="Z95" s="36"/>
      <c r="AA95" s="1"/>
    </row>
    <row r="96">
      <c r="A96" s="1"/>
      <c r="B96" s="37"/>
      <c r="C96" s="37"/>
      <c r="D96" s="26" t="str">
        <f t="shared" si="25"/>
        <v/>
      </c>
      <c r="E96" s="17"/>
      <c r="F96" s="27" t="str">
        <f t="shared" si="26"/>
        <v/>
      </c>
      <c r="G96" s="17"/>
      <c r="H96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6" s="17"/>
      <c r="J96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6" s="17"/>
      <c r="L96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6" s="17"/>
      <c r="N96" s="27" t="str">
        <f>IFERROR(__xludf.DUMMYFUNCTION("indirect(""Dupe!N""&amp;row())&amp;if(regexmatch(indirect(""C""&amp;row()),""Widen""),""
Widened
Any numeric measurements of the spell’s area increase by 100%"","""")"),"")</f>
        <v/>
      </c>
      <c r="O96" s="17"/>
      <c r="P96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6" s="17"/>
      <c r="R96" s="27" t="str">
        <f t="shared" si="27"/>
        <v/>
      </c>
      <c r="S96" s="17"/>
      <c r="T96" s="27" t="str">
        <f t="shared" si="28"/>
        <v/>
      </c>
      <c r="U96" s="17"/>
      <c r="V96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6" s="3"/>
      <c r="X96" s="3"/>
      <c r="Y96" s="17"/>
      <c r="Z96" s="38"/>
      <c r="AA96" s="1"/>
    </row>
    <row r="97">
      <c r="A97" s="1"/>
      <c r="B97" s="40"/>
      <c r="C97" s="40"/>
      <c r="D97" s="32" t="str">
        <f t="shared" si="25"/>
        <v/>
      </c>
      <c r="E97" s="23"/>
      <c r="F97" s="33" t="str">
        <f t="shared" si="26"/>
        <v/>
      </c>
      <c r="G97" s="23"/>
      <c r="H97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7" s="23"/>
      <c r="J97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7" s="23"/>
      <c r="L97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7" s="23"/>
      <c r="N97" s="33" t="str">
        <f>IFERROR(__xludf.DUMMYFUNCTION("indirect(""Dupe!N""&amp;row())&amp;if(regexmatch(indirect(""C""&amp;row()),""Widen""),""
Widened
Any numeric measurements of the spell’s area increase by 100%"","""")"),"")</f>
        <v/>
      </c>
      <c r="O97" s="23"/>
      <c r="P97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7" s="23"/>
      <c r="R97" s="33" t="str">
        <f t="shared" si="27"/>
        <v/>
      </c>
      <c r="S97" s="23"/>
      <c r="T97" s="33" t="str">
        <f t="shared" si="28"/>
        <v/>
      </c>
      <c r="U97" s="23"/>
      <c r="V97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7" s="9"/>
      <c r="X97" s="9"/>
      <c r="Y97" s="23"/>
      <c r="Z97" s="36"/>
      <c r="AA97" s="1"/>
    </row>
    <row r="98">
      <c r="A98" s="1"/>
      <c r="B98" s="37"/>
      <c r="C98" s="37"/>
      <c r="D98" s="26" t="str">
        <f t="shared" si="25"/>
        <v/>
      </c>
      <c r="E98" s="17"/>
      <c r="F98" s="27" t="str">
        <f t="shared" si="26"/>
        <v/>
      </c>
      <c r="G98" s="17"/>
      <c r="H98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8" s="17"/>
      <c r="J98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8" s="17"/>
      <c r="L98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8" s="17"/>
      <c r="N98" s="27" t="str">
        <f>IFERROR(__xludf.DUMMYFUNCTION("indirect(""Dupe!N""&amp;row())&amp;if(regexmatch(indirect(""C""&amp;row()),""Widen""),""
Widened
Any numeric measurements of the spell’s area increase by 100%"","""")"),"")</f>
        <v/>
      </c>
      <c r="O98" s="17"/>
      <c r="P98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8" s="17"/>
      <c r="R98" s="27" t="str">
        <f t="shared" si="27"/>
        <v/>
      </c>
      <c r="S98" s="17"/>
      <c r="T98" s="27" t="str">
        <f t="shared" si="28"/>
        <v/>
      </c>
      <c r="U98" s="17"/>
      <c r="V98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8" s="3"/>
      <c r="X98" s="3"/>
      <c r="Y98" s="17"/>
      <c r="Z98" s="38"/>
      <c r="AA98" s="1"/>
    </row>
    <row r="99">
      <c r="A99" s="1"/>
      <c r="B99" s="40"/>
      <c r="C99" s="40"/>
      <c r="D99" s="32" t="str">
        <f t="shared" si="25"/>
        <v/>
      </c>
      <c r="E99" s="23"/>
      <c r="F99" s="33" t="str">
        <f t="shared" si="26"/>
        <v/>
      </c>
      <c r="G99" s="23"/>
      <c r="H99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9" s="23"/>
      <c r="J99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9" s="23"/>
      <c r="L99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9" s="23"/>
      <c r="N99" s="33" t="str">
        <f>IFERROR(__xludf.DUMMYFUNCTION("indirect(""Dupe!N""&amp;row())&amp;if(regexmatch(indirect(""C""&amp;row()),""Widen""),""
Widened
Any numeric measurements of the spell’s area increase by 100%"","""")"),"")</f>
        <v/>
      </c>
      <c r="O99" s="23"/>
      <c r="P99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9" s="23"/>
      <c r="R99" s="33" t="str">
        <f t="shared" si="27"/>
        <v/>
      </c>
      <c r="S99" s="23"/>
      <c r="T99" s="33" t="str">
        <f t="shared" si="28"/>
        <v/>
      </c>
      <c r="U99" s="23"/>
      <c r="V99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9" s="9"/>
      <c r="X99" s="9"/>
      <c r="Y99" s="23"/>
      <c r="Z99" s="36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5" t="s">
        <v>34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6" t="s">
        <v>14</v>
      </c>
      <c r="W101" s="3"/>
      <c r="X101" s="17"/>
      <c r="Y101" s="18" t="str">
        <f>SUM(Z103:Z112)&amp;"/"&amp;if(dget(base_spells,"7th",F2:F3),dget(base_spells,"7th",F2:F3)+dget(bonus_spells,"7th",H2:H3),0)</f>
        <v>0/0</v>
      </c>
      <c r="Z101" s="19"/>
      <c r="AA101" s="1"/>
    </row>
    <row r="102">
      <c r="A102" s="1"/>
      <c r="B102" s="21" t="s">
        <v>15</v>
      </c>
      <c r="C102" s="21" t="s">
        <v>16</v>
      </c>
      <c r="D102" s="22" t="s">
        <v>17</v>
      </c>
      <c r="E102" s="23"/>
      <c r="F102" s="22" t="s">
        <v>18</v>
      </c>
      <c r="G102" s="23"/>
      <c r="H102" s="22" t="s">
        <v>19</v>
      </c>
      <c r="I102" s="23"/>
      <c r="J102" s="22" t="s">
        <v>20</v>
      </c>
      <c r="K102" s="23"/>
      <c r="L102" s="22" t="s">
        <v>21</v>
      </c>
      <c r="M102" s="23"/>
      <c r="N102" s="22" t="s">
        <v>22</v>
      </c>
      <c r="O102" s="23"/>
      <c r="P102" s="22" t="s">
        <v>23</v>
      </c>
      <c r="Q102" s="23"/>
      <c r="R102" s="22" t="s">
        <v>24</v>
      </c>
      <c r="S102" s="23"/>
      <c r="T102" s="22" t="s">
        <v>25</v>
      </c>
      <c r="U102" s="23"/>
      <c r="V102" s="22" t="s">
        <v>26</v>
      </c>
      <c r="W102" s="9"/>
      <c r="X102" s="9"/>
      <c r="Y102" s="23"/>
      <c r="Z102" s="21" t="s">
        <v>27</v>
      </c>
      <c r="AA102" s="1"/>
    </row>
    <row r="103">
      <c r="A103" s="1"/>
      <c r="B103" s="25"/>
      <c r="C103" s="25"/>
      <c r="D103" s="26" t="str">
        <f t="shared" ref="D103:D112" si="29">indirect("Dupe!D"&amp;ROW())</f>
        <v/>
      </c>
      <c r="E103" s="17"/>
      <c r="F103" s="27" t="str">
        <f t="shared" ref="F103:F112" si="30">indirect("Dupe!F"&amp;ROW())</f>
        <v/>
      </c>
      <c r="G103" s="17"/>
      <c r="H10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3" s="17"/>
      <c r="J10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3" s="17"/>
      <c r="L10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3" s="17"/>
      <c r="N103" s="27" t="str">
        <f>IFERROR(__xludf.DUMMYFUNCTION("indirect(""Dupe!N""&amp;row())&amp;if(regexmatch(indirect(""C""&amp;row()),""Widen""),""
Widened
Any numeric measurements of the spell’s area increase by 100%"","""")"),"")</f>
        <v/>
      </c>
      <c r="O103" s="17"/>
      <c r="P10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3" s="17"/>
      <c r="R103" s="27" t="str">
        <f t="shared" ref="R103:R112" si="31">indirect("Dupe!R"&amp;row())</f>
        <v/>
      </c>
      <c r="S103" s="17"/>
      <c r="T103" s="27" t="str">
        <f t="shared" ref="T103:T112" si="32">indirect("Dupe!T"&amp;row())</f>
        <v/>
      </c>
      <c r="U103" s="17"/>
      <c r="V10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3" s="3"/>
      <c r="X103" s="3"/>
      <c r="Y103" s="17"/>
      <c r="Z103" s="30"/>
      <c r="AA103" s="1"/>
    </row>
    <row r="104">
      <c r="A104" s="1"/>
      <c r="B104" s="31"/>
      <c r="C104" s="31"/>
      <c r="D104" s="32" t="str">
        <f t="shared" si="29"/>
        <v/>
      </c>
      <c r="E104" s="23"/>
      <c r="F104" s="33" t="str">
        <f t="shared" si="30"/>
        <v/>
      </c>
      <c r="G104" s="23"/>
      <c r="H10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4" s="23"/>
      <c r="J10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4" s="23"/>
      <c r="L10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4" s="23"/>
      <c r="N104" s="33" t="str">
        <f>IFERROR(__xludf.DUMMYFUNCTION("indirect(""Dupe!N""&amp;row())&amp;if(regexmatch(indirect(""C""&amp;row()),""Widen""),""
Widened
Any numeric measurements of the spell’s area increase by 100%"","""")"),"")</f>
        <v/>
      </c>
      <c r="O104" s="23"/>
      <c r="P10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4" s="23"/>
      <c r="R104" s="33" t="str">
        <f t="shared" si="31"/>
        <v/>
      </c>
      <c r="S104" s="23"/>
      <c r="T104" s="33" t="str">
        <f t="shared" si="32"/>
        <v/>
      </c>
      <c r="U104" s="23"/>
      <c r="V10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4" s="9"/>
      <c r="X104" s="9"/>
      <c r="Y104" s="23"/>
      <c r="Z104" s="36"/>
      <c r="AA104" s="1"/>
    </row>
    <row r="105">
      <c r="A105" s="1"/>
      <c r="B105" s="37"/>
      <c r="C105" s="37"/>
      <c r="D105" s="26" t="str">
        <f t="shared" si="29"/>
        <v/>
      </c>
      <c r="E105" s="17"/>
      <c r="F105" s="27" t="str">
        <f t="shared" si="30"/>
        <v/>
      </c>
      <c r="G105" s="17"/>
      <c r="H10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5" s="17"/>
      <c r="J10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5" s="17"/>
      <c r="L10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5" s="17"/>
      <c r="N105" s="27" t="str">
        <f>IFERROR(__xludf.DUMMYFUNCTION("indirect(""Dupe!N""&amp;row())&amp;if(regexmatch(indirect(""C""&amp;row()),""Widen""),""
Widened
Any numeric measurements of the spell’s area increase by 100%"","""")"),"")</f>
        <v/>
      </c>
      <c r="O105" s="17"/>
      <c r="P10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5" s="17"/>
      <c r="R105" s="27" t="str">
        <f t="shared" si="31"/>
        <v/>
      </c>
      <c r="S105" s="17"/>
      <c r="T105" s="27" t="str">
        <f t="shared" si="32"/>
        <v/>
      </c>
      <c r="U105" s="17"/>
      <c r="V10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5" s="3"/>
      <c r="X105" s="3"/>
      <c r="Y105" s="17"/>
      <c r="Z105" s="38"/>
      <c r="AA105" s="1"/>
    </row>
    <row r="106">
      <c r="A106" s="1"/>
      <c r="B106" s="40"/>
      <c r="C106" s="40"/>
      <c r="D106" s="32" t="str">
        <f t="shared" si="29"/>
        <v/>
      </c>
      <c r="E106" s="23"/>
      <c r="F106" s="33" t="str">
        <f t="shared" si="30"/>
        <v/>
      </c>
      <c r="G106" s="23"/>
      <c r="H10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6" s="23"/>
      <c r="J10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6" s="23"/>
      <c r="L10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6" s="23"/>
      <c r="N106" s="33" t="str">
        <f>IFERROR(__xludf.DUMMYFUNCTION("indirect(""Dupe!N""&amp;row())&amp;if(regexmatch(indirect(""C""&amp;row()),""Widen""),""
Widened
Any numeric measurements of the spell’s area increase by 100%"","""")"),"")</f>
        <v/>
      </c>
      <c r="O106" s="23"/>
      <c r="P10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6" s="23"/>
      <c r="R106" s="33" t="str">
        <f t="shared" si="31"/>
        <v/>
      </c>
      <c r="S106" s="23"/>
      <c r="T106" s="33" t="str">
        <f t="shared" si="32"/>
        <v/>
      </c>
      <c r="U106" s="23"/>
      <c r="V10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6" s="9"/>
      <c r="X106" s="9"/>
      <c r="Y106" s="23"/>
      <c r="Z106" s="36"/>
      <c r="AA106" s="1"/>
    </row>
    <row r="107">
      <c r="A107" s="1"/>
      <c r="B107" s="25"/>
      <c r="C107" s="25"/>
      <c r="D107" s="26" t="str">
        <f t="shared" si="29"/>
        <v/>
      </c>
      <c r="E107" s="17"/>
      <c r="F107" s="27" t="str">
        <f t="shared" si="30"/>
        <v/>
      </c>
      <c r="G107" s="17"/>
      <c r="H10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7" s="17"/>
      <c r="J10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7" s="17"/>
      <c r="L10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7" s="17"/>
      <c r="N107" s="27" t="str">
        <f>IFERROR(__xludf.DUMMYFUNCTION("indirect(""Dupe!N""&amp;row())&amp;if(regexmatch(indirect(""C""&amp;row()),""Widen""),""
Widened
Any numeric measurements of the spell’s area increase by 100%"","""")"),"")</f>
        <v/>
      </c>
      <c r="O107" s="17"/>
      <c r="P10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7" s="17"/>
      <c r="R107" s="27" t="str">
        <f t="shared" si="31"/>
        <v/>
      </c>
      <c r="S107" s="17"/>
      <c r="T107" s="27" t="str">
        <f t="shared" si="32"/>
        <v/>
      </c>
      <c r="U107" s="17"/>
      <c r="V10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7" s="3"/>
      <c r="X107" s="3"/>
      <c r="Y107" s="17"/>
      <c r="Z107" s="38"/>
      <c r="AA107" s="1"/>
    </row>
    <row r="108">
      <c r="A108" s="1"/>
      <c r="B108" s="31"/>
      <c r="C108" s="31"/>
      <c r="D108" s="32" t="str">
        <f t="shared" si="29"/>
        <v/>
      </c>
      <c r="E108" s="23"/>
      <c r="F108" s="33" t="str">
        <f t="shared" si="30"/>
        <v/>
      </c>
      <c r="G108" s="23"/>
      <c r="H10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8" s="23"/>
      <c r="J10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8" s="23"/>
      <c r="L10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8" s="23"/>
      <c r="N108" s="33" t="str">
        <f>IFERROR(__xludf.DUMMYFUNCTION("indirect(""Dupe!N""&amp;row())&amp;if(regexmatch(indirect(""C""&amp;row()),""Widen""),""
Widened
Any numeric measurements of the spell’s area increase by 100%"","""")"),"")</f>
        <v/>
      </c>
      <c r="O108" s="23"/>
      <c r="P10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8" s="23"/>
      <c r="R108" s="33" t="str">
        <f t="shared" si="31"/>
        <v/>
      </c>
      <c r="S108" s="23"/>
      <c r="T108" s="33" t="str">
        <f t="shared" si="32"/>
        <v/>
      </c>
      <c r="U108" s="23"/>
      <c r="V10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8" s="9"/>
      <c r="X108" s="9"/>
      <c r="Y108" s="23"/>
      <c r="Z108" s="36"/>
      <c r="AA108" s="1"/>
    </row>
    <row r="109">
      <c r="A109" s="1"/>
      <c r="B109" s="37"/>
      <c r="C109" s="37"/>
      <c r="D109" s="26" t="str">
        <f t="shared" si="29"/>
        <v/>
      </c>
      <c r="E109" s="17"/>
      <c r="F109" s="27" t="str">
        <f t="shared" si="30"/>
        <v/>
      </c>
      <c r="G109" s="17"/>
      <c r="H10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9" s="17"/>
      <c r="J10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9" s="17"/>
      <c r="L10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9" s="17"/>
      <c r="N109" s="27" t="str">
        <f>IFERROR(__xludf.DUMMYFUNCTION("indirect(""Dupe!N""&amp;row())&amp;if(regexmatch(indirect(""C""&amp;row()),""Widen""),""
Widened
Any numeric measurements of the spell’s area increase by 100%"","""")"),"")</f>
        <v/>
      </c>
      <c r="O109" s="17"/>
      <c r="P10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9" s="17"/>
      <c r="R109" s="27" t="str">
        <f t="shared" si="31"/>
        <v/>
      </c>
      <c r="S109" s="17"/>
      <c r="T109" s="27" t="str">
        <f t="shared" si="32"/>
        <v/>
      </c>
      <c r="U109" s="17"/>
      <c r="V10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9" s="3"/>
      <c r="X109" s="3"/>
      <c r="Y109" s="17"/>
      <c r="Z109" s="38"/>
      <c r="AA109" s="1"/>
    </row>
    <row r="110">
      <c r="A110" s="1"/>
      <c r="B110" s="40"/>
      <c r="C110" s="40"/>
      <c r="D110" s="32" t="str">
        <f t="shared" si="29"/>
        <v/>
      </c>
      <c r="E110" s="23"/>
      <c r="F110" s="33" t="str">
        <f t="shared" si="30"/>
        <v/>
      </c>
      <c r="G110" s="23"/>
      <c r="H11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0" s="23"/>
      <c r="J11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0" s="23"/>
      <c r="L11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0" s="23"/>
      <c r="N110" s="33" t="str">
        <f>IFERROR(__xludf.DUMMYFUNCTION("indirect(""Dupe!N""&amp;row())&amp;if(regexmatch(indirect(""C""&amp;row()),""Widen""),""
Widened
Any numeric measurements of the spell’s area increase by 100%"","""")"),"")</f>
        <v/>
      </c>
      <c r="O110" s="23"/>
      <c r="P11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0" s="23"/>
      <c r="R110" s="33" t="str">
        <f t="shared" si="31"/>
        <v/>
      </c>
      <c r="S110" s="23"/>
      <c r="T110" s="33" t="str">
        <f t="shared" si="32"/>
        <v/>
      </c>
      <c r="U110" s="23"/>
      <c r="V11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0" s="9"/>
      <c r="X110" s="9"/>
      <c r="Y110" s="23"/>
      <c r="Z110" s="36"/>
      <c r="AA110" s="1"/>
    </row>
    <row r="111">
      <c r="A111" s="1"/>
      <c r="B111" s="37"/>
      <c r="C111" s="37"/>
      <c r="D111" s="26" t="str">
        <f t="shared" si="29"/>
        <v/>
      </c>
      <c r="E111" s="17"/>
      <c r="F111" s="27" t="str">
        <f t="shared" si="30"/>
        <v/>
      </c>
      <c r="G111" s="17"/>
      <c r="H11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1" s="17"/>
      <c r="J11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1" s="17"/>
      <c r="L11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1" s="17"/>
      <c r="N111" s="27" t="str">
        <f>IFERROR(__xludf.DUMMYFUNCTION("indirect(""Dupe!N""&amp;row())&amp;if(regexmatch(indirect(""C""&amp;row()),""Widen""),""
Widened
Any numeric measurements of the spell’s area increase by 100%"","""")"),"")</f>
        <v/>
      </c>
      <c r="O111" s="17"/>
      <c r="P11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1" s="17"/>
      <c r="R111" s="27" t="str">
        <f t="shared" si="31"/>
        <v/>
      </c>
      <c r="S111" s="17"/>
      <c r="T111" s="27" t="str">
        <f t="shared" si="32"/>
        <v/>
      </c>
      <c r="U111" s="17"/>
      <c r="V11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1" s="3"/>
      <c r="X111" s="3"/>
      <c r="Y111" s="17"/>
      <c r="Z111" s="38"/>
      <c r="AA111" s="1"/>
    </row>
    <row r="112">
      <c r="A112" s="1"/>
      <c r="B112" s="40"/>
      <c r="C112" s="40"/>
      <c r="D112" s="32" t="str">
        <f t="shared" si="29"/>
        <v/>
      </c>
      <c r="E112" s="23"/>
      <c r="F112" s="33" t="str">
        <f t="shared" si="30"/>
        <v/>
      </c>
      <c r="G112" s="23"/>
      <c r="H11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2" s="23"/>
      <c r="J11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2" s="23"/>
      <c r="L11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2" s="23"/>
      <c r="N112" s="33" t="str">
        <f>IFERROR(__xludf.DUMMYFUNCTION("indirect(""Dupe!N""&amp;row())&amp;if(regexmatch(indirect(""C""&amp;row()),""Widen""),""
Widened
Any numeric measurements of the spell’s area increase by 100%"","""")"),"")</f>
        <v/>
      </c>
      <c r="O112" s="23"/>
      <c r="P11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2" s="23"/>
      <c r="R112" s="33" t="str">
        <f t="shared" si="31"/>
        <v/>
      </c>
      <c r="S112" s="23"/>
      <c r="T112" s="33" t="str">
        <f t="shared" si="32"/>
        <v/>
      </c>
      <c r="U112" s="23"/>
      <c r="V11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2" s="9"/>
      <c r="X112" s="9"/>
      <c r="Y112" s="23"/>
      <c r="Z112" s="36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5" t="s">
        <v>35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6" t="s">
        <v>14</v>
      </c>
      <c r="W114" s="3"/>
      <c r="X114" s="17"/>
      <c r="Y114" s="18" t="str">
        <f>SUM(Z116:Z125)&amp;"/"&amp;if(dget(base_spells,"8th",F2:F3),dget(base_spells,"8th",F2:F3)+dget(bonus_spells,"8th",H2:H3),0)</f>
        <v>0/0</v>
      </c>
      <c r="Z114" s="19"/>
      <c r="AA114" s="1"/>
    </row>
    <row r="115">
      <c r="A115" s="1"/>
      <c r="B115" s="21" t="s">
        <v>15</v>
      </c>
      <c r="C115" s="21" t="s">
        <v>16</v>
      </c>
      <c r="D115" s="22" t="s">
        <v>17</v>
      </c>
      <c r="E115" s="23"/>
      <c r="F115" s="22" t="s">
        <v>18</v>
      </c>
      <c r="G115" s="23"/>
      <c r="H115" s="22" t="s">
        <v>19</v>
      </c>
      <c r="I115" s="23"/>
      <c r="J115" s="22" t="s">
        <v>20</v>
      </c>
      <c r="K115" s="23"/>
      <c r="L115" s="22" t="s">
        <v>21</v>
      </c>
      <c r="M115" s="23"/>
      <c r="N115" s="22" t="s">
        <v>22</v>
      </c>
      <c r="O115" s="23"/>
      <c r="P115" s="22" t="s">
        <v>23</v>
      </c>
      <c r="Q115" s="23"/>
      <c r="R115" s="22" t="s">
        <v>24</v>
      </c>
      <c r="S115" s="23"/>
      <c r="T115" s="22" t="s">
        <v>25</v>
      </c>
      <c r="U115" s="23"/>
      <c r="V115" s="22" t="s">
        <v>26</v>
      </c>
      <c r="W115" s="9"/>
      <c r="X115" s="9"/>
      <c r="Y115" s="23"/>
      <c r="Z115" s="21" t="s">
        <v>27</v>
      </c>
      <c r="AA115" s="1"/>
    </row>
    <row r="116">
      <c r="A116" s="1"/>
      <c r="B116" s="25"/>
      <c r="C116" s="25"/>
      <c r="D116" s="26" t="str">
        <f t="shared" ref="D116:D125" si="33">indirect("Dupe!D"&amp;ROW())</f>
        <v/>
      </c>
      <c r="E116" s="17"/>
      <c r="F116" s="27" t="str">
        <f t="shared" ref="F116:F125" si="34">indirect("Dupe!F"&amp;ROW())</f>
        <v/>
      </c>
      <c r="G116" s="17"/>
      <c r="H116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6" s="17"/>
      <c r="J116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6" s="17"/>
      <c r="L116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6" s="17"/>
      <c r="N116" s="27" t="str">
        <f>IFERROR(__xludf.DUMMYFUNCTION("indirect(""Dupe!N""&amp;row())&amp;if(regexmatch(indirect(""C""&amp;row()),""Widen""),""
Widened
Any numeric measurements of the spell’s area increase by 100%"","""")"),"")</f>
        <v/>
      </c>
      <c r="O116" s="17"/>
      <c r="P116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6" s="17"/>
      <c r="R116" s="27" t="str">
        <f t="shared" ref="R116:R125" si="35">indirect("Dupe!R"&amp;row())</f>
        <v/>
      </c>
      <c r="S116" s="17"/>
      <c r="T116" s="27" t="str">
        <f t="shared" ref="T116:T125" si="36">indirect("Dupe!T"&amp;row())</f>
        <v/>
      </c>
      <c r="U116" s="17"/>
      <c r="V116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6" s="3"/>
      <c r="X116" s="3"/>
      <c r="Y116" s="17"/>
      <c r="Z116" s="30"/>
      <c r="AA116" s="1"/>
    </row>
    <row r="117">
      <c r="A117" s="1"/>
      <c r="B117" s="31"/>
      <c r="C117" s="31"/>
      <c r="D117" s="32" t="str">
        <f t="shared" si="33"/>
        <v/>
      </c>
      <c r="E117" s="23"/>
      <c r="F117" s="33" t="str">
        <f t="shared" si="34"/>
        <v/>
      </c>
      <c r="G117" s="23"/>
      <c r="H117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7" s="23"/>
      <c r="J117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7" s="23"/>
      <c r="L117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7" s="23"/>
      <c r="N117" s="33" t="str">
        <f>IFERROR(__xludf.DUMMYFUNCTION("indirect(""Dupe!N""&amp;row())&amp;if(regexmatch(indirect(""C""&amp;row()),""Widen""),""
Widened
Any numeric measurements of the spell’s area increase by 100%"","""")"),"")</f>
        <v/>
      </c>
      <c r="O117" s="23"/>
      <c r="P117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7" s="23"/>
      <c r="R117" s="33" t="str">
        <f t="shared" si="35"/>
        <v/>
      </c>
      <c r="S117" s="23"/>
      <c r="T117" s="33" t="str">
        <f t="shared" si="36"/>
        <v/>
      </c>
      <c r="U117" s="23"/>
      <c r="V117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7" s="9"/>
      <c r="X117" s="9"/>
      <c r="Y117" s="23"/>
      <c r="Z117" s="36"/>
      <c r="AA117" s="1"/>
    </row>
    <row r="118">
      <c r="A118" s="1"/>
      <c r="B118" s="37"/>
      <c r="C118" s="37"/>
      <c r="D118" s="26" t="str">
        <f t="shared" si="33"/>
        <v/>
      </c>
      <c r="E118" s="17"/>
      <c r="F118" s="27" t="str">
        <f t="shared" si="34"/>
        <v/>
      </c>
      <c r="G118" s="17"/>
      <c r="H118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8" s="17"/>
      <c r="J118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8" s="17"/>
      <c r="L118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8" s="17"/>
      <c r="N118" s="27" t="str">
        <f>IFERROR(__xludf.DUMMYFUNCTION("indirect(""Dupe!N""&amp;row())&amp;if(regexmatch(indirect(""C""&amp;row()),""Widen""),""
Widened
Any numeric measurements of the spell’s area increase by 100%"","""")"),"")</f>
        <v/>
      </c>
      <c r="O118" s="17"/>
      <c r="P118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8" s="17"/>
      <c r="R118" s="27" t="str">
        <f t="shared" si="35"/>
        <v/>
      </c>
      <c r="S118" s="17"/>
      <c r="T118" s="27" t="str">
        <f t="shared" si="36"/>
        <v/>
      </c>
      <c r="U118" s="17"/>
      <c r="V118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8" s="3"/>
      <c r="X118" s="3"/>
      <c r="Y118" s="17"/>
      <c r="Z118" s="38"/>
      <c r="AA118" s="1"/>
    </row>
    <row r="119">
      <c r="A119" s="1"/>
      <c r="B119" s="40"/>
      <c r="C119" s="40"/>
      <c r="D119" s="32" t="str">
        <f t="shared" si="33"/>
        <v/>
      </c>
      <c r="E119" s="23"/>
      <c r="F119" s="33" t="str">
        <f t="shared" si="34"/>
        <v/>
      </c>
      <c r="G119" s="23"/>
      <c r="H119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9" s="23"/>
      <c r="J119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9" s="23"/>
      <c r="L119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9" s="23"/>
      <c r="N119" s="33" t="str">
        <f>IFERROR(__xludf.DUMMYFUNCTION("indirect(""Dupe!N""&amp;row())&amp;if(regexmatch(indirect(""C""&amp;row()),""Widen""),""
Widened
Any numeric measurements of the spell’s area increase by 100%"","""")"),"")</f>
        <v/>
      </c>
      <c r="O119" s="23"/>
      <c r="P119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9" s="23"/>
      <c r="R119" s="33" t="str">
        <f t="shared" si="35"/>
        <v/>
      </c>
      <c r="S119" s="23"/>
      <c r="T119" s="33" t="str">
        <f t="shared" si="36"/>
        <v/>
      </c>
      <c r="U119" s="23"/>
      <c r="V119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9" s="9"/>
      <c r="X119" s="9"/>
      <c r="Y119" s="23"/>
      <c r="Z119" s="36"/>
      <c r="AA119" s="1"/>
    </row>
    <row r="120">
      <c r="A120" s="1"/>
      <c r="B120" s="25"/>
      <c r="C120" s="25"/>
      <c r="D120" s="26" t="str">
        <f t="shared" si="33"/>
        <v/>
      </c>
      <c r="E120" s="17"/>
      <c r="F120" s="27" t="str">
        <f t="shared" si="34"/>
        <v/>
      </c>
      <c r="G120" s="17"/>
      <c r="H120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0" s="17"/>
      <c r="J120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0" s="17"/>
      <c r="L120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0" s="17"/>
      <c r="N120" s="27" t="str">
        <f>IFERROR(__xludf.DUMMYFUNCTION("indirect(""Dupe!N""&amp;row())&amp;if(regexmatch(indirect(""C""&amp;row()),""Widen""),""
Widened
Any numeric measurements of the spell’s area increase by 100%"","""")"),"")</f>
        <v/>
      </c>
      <c r="O120" s="17"/>
      <c r="P120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0" s="17"/>
      <c r="R120" s="27" t="str">
        <f t="shared" si="35"/>
        <v/>
      </c>
      <c r="S120" s="17"/>
      <c r="T120" s="27" t="str">
        <f t="shared" si="36"/>
        <v/>
      </c>
      <c r="U120" s="17"/>
      <c r="V120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0" s="3"/>
      <c r="X120" s="3"/>
      <c r="Y120" s="17"/>
      <c r="Z120" s="38"/>
      <c r="AA120" s="1"/>
    </row>
    <row r="121">
      <c r="A121" s="1"/>
      <c r="B121" s="31"/>
      <c r="C121" s="31"/>
      <c r="D121" s="32" t="str">
        <f t="shared" si="33"/>
        <v/>
      </c>
      <c r="E121" s="23"/>
      <c r="F121" s="33" t="str">
        <f t="shared" si="34"/>
        <v/>
      </c>
      <c r="G121" s="23"/>
      <c r="H121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1" s="23"/>
      <c r="J121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1" s="23"/>
      <c r="L121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1" s="23"/>
      <c r="N121" s="33" t="str">
        <f>IFERROR(__xludf.DUMMYFUNCTION("indirect(""Dupe!N""&amp;row())&amp;if(regexmatch(indirect(""C""&amp;row()),""Widen""),""
Widened
Any numeric measurements of the spell’s area increase by 100%"","""")"),"")</f>
        <v/>
      </c>
      <c r="O121" s="23"/>
      <c r="P121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1" s="23"/>
      <c r="R121" s="33" t="str">
        <f t="shared" si="35"/>
        <v/>
      </c>
      <c r="S121" s="23"/>
      <c r="T121" s="33" t="str">
        <f t="shared" si="36"/>
        <v/>
      </c>
      <c r="U121" s="23"/>
      <c r="V121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1" s="9"/>
      <c r="X121" s="9"/>
      <c r="Y121" s="23"/>
      <c r="Z121" s="36"/>
      <c r="AA121" s="1"/>
    </row>
    <row r="122">
      <c r="A122" s="1"/>
      <c r="B122" s="37"/>
      <c r="C122" s="37"/>
      <c r="D122" s="26" t="str">
        <f t="shared" si="33"/>
        <v/>
      </c>
      <c r="E122" s="17"/>
      <c r="F122" s="27" t="str">
        <f t="shared" si="34"/>
        <v/>
      </c>
      <c r="G122" s="17"/>
      <c r="H122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2" s="17"/>
      <c r="J122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2" s="17"/>
      <c r="L122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2" s="17"/>
      <c r="N122" s="27" t="str">
        <f>IFERROR(__xludf.DUMMYFUNCTION("indirect(""Dupe!N""&amp;row())&amp;if(regexmatch(indirect(""C""&amp;row()),""Widen""),""
Widened
Any numeric measurements of the spell’s area increase by 100%"","""")"),"")</f>
        <v/>
      </c>
      <c r="O122" s="17"/>
      <c r="P122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2" s="17"/>
      <c r="R122" s="27" t="str">
        <f t="shared" si="35"/>
        <v/>
      </c>
      <c r="S122" s="17"/>
      <c r="T122" s="27" t="str">
        <f t="shared" si="36"/>
        <v/>
      </c>
      <c r="U122" s="17"/>
      <c r="V122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2" s="3"/>
      <c r="X122" s="3"/>
      <c r="Y122" s="17"/>
      <c r="Z122" s="38"/>
      <c r="AA122" s="1"/>
    </row>
    <row r="123">
      <c r="A123" s="1"/>
      <c r="B123" s="40"/>
      <c r="C123" s="40"/>
      <c r="D123" s="32" t="str">
        <f t="shared" si="33"/>
        <v/>
      </c>
      <c r="E123" s="23"/>
      <c r="F123" s="33" t="str">
        <f t="shared" si="34"/>
        <v/>
      </c>
      <c r="G123" s="23"/>
      <c r="H123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3" s="23"/>
      <c r="J123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3" s="23"/>
      <c r="L123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3" s="23"/>
      <c r="N123" s="33" t="str">
        <f>IFERROR(__xludf.DUMMYFUNCTION("indirect(""Dupe!N""&amp;row())&amp;if(regexmatch(indirect(""C""&amp;row()),""Widen""),""
Widened
Any numeric measurements of the spell’s area increase by 100%"","""")"),"")</f>
        <v/>
      </c>
      <c r="O123" s="23"/>
      <c r="P123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3" s="23"/>
      <c r="R123" s="33" t="str">
        <f t="shared" si="35"/>
        <v/>
      </c>
      <c r="S123" s="23"/>
      <c r="T123" s="33" t="str">
        <f t="shared" si="36"/>
        <v/>
      </c>
      <c r="U123" s="23"/>
      <c r="V123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3" s="9"/>
      <c r="X123" s="9"/>
      <c r="Y123" s="23"/>
      <c r="Z123" s="36"/>
      <c r="AA123" s="1"/>
    </row>
    <row r="124">
      <c r="A124" s="1"/>
      <c r="B124" s="37"/>
      <c r="C124" s="37"/>
      <c r="D124" s="26" t="str">
        <f t="shared" si="33"/>
        <v/>
      </c>
      <c r="E124" s="17"/>
      <c r="F124" s="27" t="str">
        <f t="shared" si="34"/>
        <v/>
      </c>
      <c r="G124" s="17"/>
      <c r="H124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4" s="17"/>
      <c r="J124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4" s="17"/>
      <c r="L124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4" s="17"/>
      <c r="N124" s="27" t="str">
        <f>IFERROR(__xludf.DUMMYFUNCTION("indirect(""Dupe!N""&amp;row())&amp;if(regexmatch(indirect(""C""&amp;row()),""Widen""),""
Widened
Any numeric measurements of the spell’s area increase by 100%"","""")"),"")</f>
        <v/>
      </c>
      <c r="O124" s="17"/>
      <c r="P124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4" s="17"/>
      <c r="R124" s="27" t="str">
        <f t="shared" si="35"/>
        <v/>
      </c>
      <c r="S124" s="17"/>
      <c r="T124" s="27" t="str">
        <f t="shared" si="36"/>
        <v/>
      </c>
      <c r="U124" s="17"/>
      <c r="V124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4" s="3"/>
      <c r="X124" s="3"/>
      <c r="Y124" s="17"/>
      <c r="Z124" s="38"/>
      <c r="AA124" s="1"/>
    </row>
    <row r="125">
      <c r="A125" s="1"/>
      <c r="B125" s="40"/>
      <c r="C125" s="40"/>
      <c r="D125" s="32" t="str">
        <f t="shared" si="33"/>
        <v/>
      </c>
      <c r="E125" s="23"/>
      <c r="F125" s="33" t="str">
        <f t="shared" si="34"/>
        <v/>
      </c>
      <c r="G125" s="23"/>
      <c r="H125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5" s="23"/>
      <c r="J125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5" s="23"/>
      <c r="L125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5" s="23"/>
      <c r="N125" s="33" t="str">
        <f>IFERROR(__xludf.DUMMYFUNCTION("indirect(""Dupe!N""&amp;row())&amp;if(regexmatch(indirect(""C""&amp;row()),""Widen""),""
Widened
Any numeric measurements of the spell’s area increase by 100%"","""")"),"")</f>
        <v/>
      </c>
      <c r="O125" s="23"/>
      <c r="P125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5" s="23"/>
      <c r="R125" s="33" t="str">
        <f t="shared" si="35"/>
        <v/>
      </c>
      <c r="S125" s="23"/>
      <c r="T125" s="33" t="str">
        <f t="shared" si="36"/>
        <v/>
      </c>
      <c r="U125" s="23"/>
      <c r="V125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5" s="9"/>
      <c r="X125" s="9"/>
      <c r="Y125" s="23"/>
      <c r="Z125" s="36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5" t="s">
        <v>36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6" t="s">
        <v>14</v>
      </c>
      <c r="W127" s="3"/>
      <c r="X127" s="17"/>
      <c r="Y127" s="18" t="str">
        <f>SUM(Z129:Z138)&amp;"/"&amp;if(dget(base_spells,"9th",F2:F3),dget(base_spells,"9th",F2:F3)+dget(bonus_spells,"9th",H2:H3),0)</f>
        <v>0/0</v>
      </c>
      <c r="Z127" s="19"/>
      <c r="AA127" s="1"/>
    </row>
    <row r="128">
      <c r="A128" s="1"/>
      <c r="B128" s="21" t="s">
        <v>15</v>
      </c>
      <c r="C128" s="21" t="s">
        <v>16</v>
      </c>
      <c r="D128" s="22" t="s">
        <v>17</v>
      </c>
      <c r="E128" s="23"/>
      <c r="F128" s="22" t="s">
        <v>18</v>
      </c>
      <c r="G128" s="23"/>
      <c r="H128" s="22" t="s">
        <v>19</v>
      </c>
      <c r="I128" s="23"/>
      <c r="J128" s="22" t="s">
        <v>20</v>
      </c>
      <c r="K128" s="23"/>
      <c r="L128" s="22" t="s">
        <v>21</v>
      </c>
      <c r="M128" s="23"/>
      <c r="N128" s="22" t="s">
        <v>22</v>
      </c>
      <c r="O128" s="23"/>
      <c r="P128" s="22" t="s">
        <v>23</v>
      </c>
      <c r="Q128" s="23"/>
      <c r="R128" s="22" t="s">
        <v>24</v>
      </c>
      <c r="S128" s="23"/>
      <c r="T128" s="22" t="s">
        <v>25</v>
      </c>
      <c r="U128" s="23"/>
      <c r="V128" s="22" t="s">
        <v>26</v>
      </c>
      <c r="W128" s="9"/>
      <c r="X128" s="9"/>
      <c r="Y128" s="23"/>
      <c r="Z128" s="21" t="s">
        <v>27</v>
      </c>
      <c r="AA128" s="1"/>
    </row>
    <row r="129">
      <c r="A129" s="1"/>
      <c r="B129" s="25"/>
      <c r="C129" s="25"/>
      <c r="D129" s="26" t="str">
        <f t="shared" ref="D129:D138" si="37">indirect("Dupe!D"&amp;ROW())</f>
        <v/>
      </c>
      <c r="E129" s="17"/>
      <c r="F129" s="27" t="str">
        <f t="shared" ref="F129:F138" si="38">indirect("Dupe!F"&amp;ROW())</f>
        <v/>
      </c>
      <c r="G129" s="17"/>
      <c r="H12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9" s="17"/>
      <c r="J12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9" s="17"/>
      <c r="L12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9" s="17"/>
      <c r="N129" s="27" t="str">
        <f>IFERROR(__xludf.DUMMYFUNCTION("indirect(""Dupe!N""&amp;row())&amp;if(regexmatch(indirect(""C""&amp;row()),""Widen""),""
Widened
Any numeric measurements of the spell’s area increase by 100%"","""")"),"")</f>
        <v/>
      </c>
      <c r="O129" s="17"/>
      <c r="P12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9" s="17"/>
      <c r="R129" s="27" t="str">
        <f t="shared" ref="R129:R138" si="39">indirect("Dupe!R"&amp;row())</f>
        <v/>
      </c>
      <c r="S129" s="17"/>
      <c r="T129" s="27" t="str">
        <f t="shared" ref="T129:T138" si="40">indirect("Dupe!T"&amp;row())</f>
        <v/>
      </c>
      <c r="U129" s="17"/>
      <c r="V12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9" s="3"/>
      <c r="X129" s="3"/>
      <c r="Y129" s="17"/>
      <c r="Z129" s="30"/>
      <c r="AA129" s="1"/>
    </row>
    <row r="130">
      <c r="A130" s="1"/>
      <c r="B130" s="31"/>
      <c r="C130" s="31"/>
      <c r="D130" s="32" t="str">
        <f t="shared" si="37"/>
        <v/>
      </c>
      <c r="E130" s="23"/>
      <c r="F130" s="33" t="str">
        <f t="shared" si="38"/>
        <v/>
      </c>
      <c r="G130" s="23"/>
      <c r="H13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0" s="23"/>
      <c r="J13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0" s="23"/>
      <c r="L13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0" s="23"/>
      <c r="N130" s="33" t="str">
        <f>IFERROR(__xludf.DUMMYFUNCTION("indirect(""Dupe!N""&amp;row())&amp;if(regexmatch(indirect(""C""&amp;row()),""Widen""),""
Widened
Any numeric measurements of the spell’s area increase by 100%"","""")"),"")</f>
        <v/>
      </c>
      <c r="O130" s="23"/>
      <c r="P13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0" s="23"/>
      <c r="R130" s="33" t="str">
        <f t="shared" si="39"/>
        <v/>
      </c>
      <c r="S130" s="23"/>
      <c r="T130" s="33" t="str">
        <f t="shared" si="40"/>
        <v/>
      </c>
      <c r="U130" s="23"/>
      <c r="V13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0" s="9"/>
      <c r="X130" s="9"/>
      <c r="Y130" s="23"/>
      <c r="Z130" s="36"/>
      <c r="AA130" s="1"/>
    </row>
    <row r="131">
      <c r="A131" s="1"/>
      <c r="B131" s="37"/>
      <c r="C131" s="37"/>
      <c r="D131" s="26" t="str">
        <f t="shared" si="37"/>
        <v/>
      </c>
      <c r="E131" s="17"/>
      <c r="F131" s="27" t="str">
        <f t="shared" si="38"/>
        <v/>
      </c>
      <c r="G131" s="17"/>
      <c r="H13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1" s="17"/>
      <c r="J13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1" s="17"/>
      <c r="L13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1" s="17"/>
      <c r="N131" s="27" t="str">
        <f>IFERROR(__xludf.DUMMYFUNCTION("indirect(""Dupe!N""&amp;row())&amp;if(regexmatch(indirect(""C""&amp;row()),""Widen""),""
Widened
Any numeric measurements of the spell’s area increase by 100%"","""")"),"")</f>
        <v/>
      </c>
      <c r="O131" s="17"/>
      <c r="P13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1" s="17"/>
      <c r="R131" s="27" t="str">
        <f t="shared" si="39"/>
        <v/>
      </c>
      <c r="S131" s="17"/>
      <c r="T131" s="27" t="str">
        <f t="shared" si="40"/>
        <v/>
      </c>
      <c r="U131" s="17"/>
      <c r="V13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1" s="3"/>
      <c r="X131" s="3"/>
      <c r="Y131" s="17"/>
      <c r="Z131" s="38"/>
      <c r="AA131" s="1"/>
    </row>
    <row r="132">
      <c r="A132" s="1"/>
      <c r="B132" s="40"/>
      <c r="C132" s="40"/>
      <c r="D132" s="32" t="str">
        <f t="shared" si="37"/>
        <v/>
      </c>
      <c r="E132" s="23"/>
      <c r="F132" s="33" t="str">
        <f t="shared" si="38"/>
        <v/>
      </c>
      <c r="G132" s="23"/>
      <c r="H13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2" s="23"/>
      <c r="J13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2" s="23"/>
      <c r="L13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2" s="23"/>
      <c r="N132" s="33" t="str">
        <f>IFERROR(__xludf.DUMMYFUNCTION("indirect(""Dupe!N""&amp;row())&amp;if(regexmatch(indirect(""C""&amp;row()),""Widen""),""
Widened
Any numeric measurements of the spell’s area increase by 100%"","""")"),"")</f>
        <v/>
      </c>
      <c r="O132" s="23"/>
      <c r="P13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2" s="23"/>
      <c r="R132" s="33" t="str">
        <f t="shared" si="39"/>
        <v/>
      </c>
      <c r="S132" s="23"/>
      <c r="T132" s="33" t="str">
        <f t="shared" si="40"/>
        <v/>
      </c>
      <c r="U132" s="23"/>
      <c r="V13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2" s="9"/>
      <c r="X132" s="9"/>
      <c r="Y132" s="23"/>
      <c r="Z132" s="36"/>
      <c r="AA132" s="1"/>
    </row>
    <row r="133">
      <c r="A133" s="1"/>
      <c r="B133" s="25"/>
      <c r="C133" s="25"/>
      <c r="D133" s="26" t="str">
        <f t="shared" si="37"/>
        <v/>
      </c>
      <c r="E133" s="17"/>
      <c r="F133" s="27" t="str">
        <f t="shared" si="38"/>
        <v/>
      </c>
      <c r="G133" s="17"/>
      <c r="H13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3" s="17"/>
      <c r="J13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3" s="17"/>
      <c r="L13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3" s="17"/>
      <c r="N133" s="27" t="str">
        <f>IFERROR(__xludf.DUMMYFUNCTION("indirect(""Dupe!N""&amp;row())&amp;if(regexmatch(indirect(""C""&amp;row()),""Widen""),""
Widened
Any numeric measurements of the spell’s area increase by 100%"","""")"),"")</f>
        <v/>
      </c>
      <c r="O133" s="17"/>
      <c r="P13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3" s="17"/>
      <c r="R133" s="27" t="str">
        <f t="shared" si="39"/>
        <v/>
      </c>
      <c r="S133" s="17"/>
      <c r="T133" s="27" t="str">
        <f t="shared" si="40"/>
        <v/>
      </c>
      <c r="U133" s="17"/>
      <c r="V13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3" s="3"/>
      <c r="X133" s="3"/>
      <c r="Y133" s="17"/>
      <c r="Z133" s="38"/>
      <c r="AA133" s="1"/>
    </row>
    <row r="134">
      <c r="A134" s="1"/>
      <c r="B134" s="31"/>
      <c r="C134" s="31"/>
      <c r="D134" s="32" t="str">
        <f t="shared" si="37"/>
        <v/>
      </c>
      <c r="E134" s="23"/>
      <c r="F134" s="33" t="str">
        <f t="shared" si="38"/>
        <v/>
      </c>
      <c r="G134" s="23"/>
      <c r="H13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4" s="23"/>
      <c r="J13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4" s="23"/>
      <c r="L13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4" s="23"/>
      <c r="N134" s="33" t="str">
        <f>IFERROR(__xludf.DUMMYFUNCTION("indirect(""Dupe!N""&amp;row())&amp;if(regexmatch(indirect(""C""&amp;row()),""Widen""),""
Widened
Any numeric measurements of the spell’s area increase by 100%"","""")"),"")</f>
        <v/>
      </c>
      <c r="O134" s="23"/>
      <c r="P13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4" s="23"/>
      <c r="R134" s="33" t="str">
        <f t="shared" si="39"/>
        <v/>
      </c>
      <c r="S134" s="23"/>
      <c r="T134" s="33" t="str">
        <f t="shared" si="40"/>
        <v/>
      </c>
      <c r="U134" s="23"/>
      <c r="V13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4" s="9"/>
      <c r="X134" s="9"/>
      <c r="Y134" s="23"/>
      <c r="Z134" s="36"/>
      <c r="AA134" s="1"/>
    </row>
    <row r="135">
      <c r="A135" s="1"/>
      <c r="B135" s="37"/>
      <c r="C135" s="37"/>
      <c r="D135" s="26" t="str">
        <f t="shared" si="37"/>
        <v/>
      </c>
      <c r="E135" s="17"/>
      <c r="F135" s="27" t="str">
        <f t="shared" si="38"/>
        <v/>
      </c>
      <c r="G135" s="17"/>
      <c r="H13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5" s="17"/>
      <c r="J13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5" s="17"/>
      <c r="L13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5" s="17"/>
      <c r="N135" s="27" t="str">
        <f>IFERROR(__xludf.DUMMYFUNCTION("indirect(""Dupe!N""&amp;row())&amp;if(regexmatch(indirect(""C""&amp;row()),""Widen""),""
Widened
Any numeric measurements of the spell’s area increase by 100%"","""")"),"")</f>
        <v/>
      </c>
      <c r="O135" s="17"/>
      <c r="P13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5" s="17"/>
      <c r="R135" s="27" t="str">
        <f t="shared" si="39"/>
        <v/>
      </c>
      <c r="S135" s="17"/>
      <c r="T135" s="27" t="str">
        <f t="shared" si="40"/>
        <v/>
      </c>
      <c r="U135" s="17"/>
      <c r="V13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5" s="3"/>
      <c r="X135" s="3"/>
      <c r="Y135" s="17"/>
      <c r="Z135" s="38"/>
      <c r="AA135" s="1"/>
    </row>
    <row r="136">
      <c r="A136" s="1"/>
      <c r="B136" s="40"/>
      <c r="C136" s="40"/>
      <c r="D136" s="32" t="str">
        <f t="shared" si="37"/>
        <v/>
      </c>
      <c r="E136" s="23"/>
      <c r="F136" s="33" t="str">
        <f t="shared" si="38"/>
        <v/>
      </c>
      <c r="G136" s="23"/>
      <c r="H13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6" s="23"/>
      <c r="J13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6" s="23"/>
      <c r="L13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6" s="23"/>
      <c r="N136" s="33" t="str">
        <f>IFERROR(__xludf.DUMMYFUNCTION("indirect(""Dupe!N""&amp;row())&amp;if(regexmatch(indirect(""C""&amp;row()),""Widen""),""
Widened
Any numeric measurements of the spell’s area increase by 100%"","""")"),"")</f>
        <v/>
      </c>
      <c r="O136" s="23"/>
      <c r="P13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6" s="23"/>
      <c r="R136" s="33" t="str">
        <f t="shared" si="39"/>
        <v/>
      </c>
      <c r="S136" s="23"/>
      <c r="T136" s="33" t="str">
        <f t="shared" si="40"/>
        <v/>
      </c>
      <c r="U136" s="23"/>
      <c r="V13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6" s="9"/>
      <c r="X136" s="9"/>
      <c r="Y136" s="23"/>
      <c r="Z136" s="36"/>
      <c r="AA136" s="1"/>
    </row>
    <row r="137">
      <c r="A137" s="1"/>
      <c r="B137" s="37"/>
      <c r="C137" s="37"/>
      <c r="D137" s="26" t="str">
        <f t="shared" si="37"/>
        <v/>
      </c>
      <c r="E137" s="17"/>
      <c r="F137" s="27" t="str">
        <f t="shared" si="38"/>
        <v/>
      </c>
      <c r="G137" s="17"/>
      <c r="H13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7" s="17"/>
      <c r="J13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7" s="17"/>
      <c r="L13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7" s="17"/>
      <c r="N137" s="27" t="str">
        <f>IFERROR(__xludf.DUMMYFUNCTION("indirect(""Dupe!N""&amp;row())&amp;if(regexmatch(indirect(""C""&amp;row()),""Widen""),""
Widened
Any numeric measurements of the spell’s area increase by 100%"","""")"),"")</f>
        <v/>
      </c>
      <c r="O137" s="17"/>
      <c r="P13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7" s="17"/>
      <c r="R137" s="27" t="str">
        <f t="shared" si="39"/>
        <v/>
      </c>
      <c r="S137" s="17"/>
      <c r="T137" s="27" t="str">
        <f t="shared" si="40"/>
        <v/>
      </c>
      <c r="U137" s="17"/>
      <c r="V13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7" s="3"/>
      <c r="X137" s="3"/>
      <c r="Y137" s="17"/>
      <c r="Z137" s="38"/>
      <c r="AA137" s="1"/>
    </row>
    <row r="138">
      <c r="A138" s="1"/>
      <c r="B138" s="40"/>
      <c r="C138" s="40"/>
      <c r="D138" s="32" t="str">
        <f t="shared" si="37"/>
        <v/>
      </c>
      <c r="E138" s="23"/>
      <c r="F138" s="33" t="str">
        <f t="shared" si="38"/>
        <v/>
      </c>
      <c r="G138" s="23"/>
      <c r="H13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8" s="23"/>
      <c r="J13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8" s="23"/>
      <c r="L13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8" s="23"/>
      <c r="N138" s="33" t="str">
        <f>IFERROR(__xludf.DUMMYFUNCTION("indirect(""Dupe!N""&amp;row())&amp;if(regexmatch(indirect(""C""&amp;row()),""Widen""),""
Widened
Any numeric measurements of the spell’s area increase by 100%"","""")"),"")</f>
        <v/>
      </c>
      <c r="O138" s="23"/>
      <c r="P13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8" s="23"/>
      <c r="R138" s="33" t="str">
        <f t="shared" si="39"/>
        <v/>
      </c>
      <c r="S138" s="23"/>
      <c r="T138" s="33" t="str">
        <f t="shared" si="40"/>
        <v/>
      </c>
      <c r="U138" s="23"/>
      <c r="V13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8" s="9"/>
      <c r="X138" s="9"/>
      <c r="Y138" s="23"/>
      <c r="Z138" s="36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</sheetData>
  <mergeCells count="1091">
    <mergeCell ref="P129:Q129"/>
    <mergeCell ref="R129:S129"/>
    <mergeCell ref="T129:U129"/>
    <mergeCell ref="V129:Y129"/>
    <mergeCell ref="N128:O128"/>
    <mergeCell ref="P128:Q128"/>
    <mergeCell ref="V128:Y128"/>
    <mergeCell ref="D129:E129"/>
    <mergeCell ref="F129:G129"/>
    <mergeCell ref="H129:I129"/>
    <mergeCell ref="J129:K129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N130:O130"/>
    <mergeCell ref="P130:Q130"/>
    <mergeCell ref="R130:S130"/>
    <mergeCell ref="T130:U130"/>
    <mergeCell ref="V130:Y130"/>
    <mergeCell ref="L129:M129"/>
    <mergeCell ref="N129:O129"/>
    <mergeCell ref="D130:E130"/>
    <mergeCell ref="F130:G130"/>
    <mergeCell ref="H130:I130"/>
    <mergeCell ref="J130:K130"/>
    <mergeCell ref="L130:M130"/>
    <mergeCell ref="R131:S131"/>
    <mergeCell ref="T131:U131"/>
    <mergeCell ref="V131:Y131"/>
    <mergeCell ref="D131:E131"/>
    <mergeCell ref="F131:G131"/>
    <mergeCell ref="H131:I131"/>
    <mergeCell ref="J131:K131"/>
    <mergeCell ref="L131:M131"/>
    <mergeCell ref="N131:O131"/>
    <mergeCell ref="P131:Q131"/>
    <mergeCell ref="R132:S132"/>
    <mergeCell ref="T132:U132"/>
    <mergeCell ref="V132:Y132"/>
    <mergeCell ref="D132:E132"/>
    <mergeCell ref="F132:G132"/>
    <mergeCell ref="H132:I132"/>
    <mergeCell ref="J132:K132"/>
    <mergeCell ref="L132:M132"/>
    <mergeCell ref="N132:O132"/>
    <mergeCell ref="P132:Q132"/>
    <mergeCell ref="R133:S133"/>
    <mergeCell ref="T133:U133"/>
    <mergeCell ref="V133:Y133"/>
    <mergeCell ref="D133:E133"/>
    <mergeCell ref="F133:G133"/>
    <mergeCell ref="H133:I133"/>
    <mergeCell ref="J133:K133"/>
    <mergeCell ref="L133:M133"/>
    <mergeCell ref="N133:O133"/>
    <mergeCell ref="P133:Q133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4:S134"/>
    <mergeCell ref="T134:U134"/>
    <mergeCell ref="V134:Y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Y135"/>
    <mergeCell ref="D135:E135"/>
    <mergeCell ref="F135:G135"/>
    <mergeCell ref="H135:I135"/>
    <mergeCell ref="J135:K135"/>
    <mergeCell ref="L135:M135"/>
    <mergeCell ref="N135:O135"/>
    <mergeCell ref="P135:Q135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15:S115"/>
    <mergeCell ref="T115:U115"/>
    <mergeCell ref="B114:U114"/>
    <mergeCell ref="V114:X114"/>
    <mergeCell ref="D115:E115"/>
    <mergeCell ref="F115:G115"/>
    <mergeCell ref="H115:I115"/>
    <mergeCell ref="J115:K115"/>
    <mergeCell ref="L115:M115"/>
    <mergeCell ref="P116:Q116"/>
    <mergeCell ref="R116:S116"/>
    <mergeCell ref="T116:U116"/>
    <mergeCell ref="V116:Y116"/>
    <mergeCell ref="N115:O115"/>
    <mergeCell ref="P115:Q115"/>
    <mergeCell ref="V115:Y115"/>
    <mergeCell ref="D116:E116"/>
    <mergeCell ref="F116:G116"/>
    <mergeCell ref="H116:I116"/>
    <mergeCell ref="J116:K116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N117:O117"/>
    <mergeCell ref="P117:Q117"/>
    <mergeCell ref="R117:S117"/>
    <mergeCell ref="T117:U117"/>
    <mergeCell ref="V117:Y117"/>
    <mergeCell ref="L116:M116"/>
    <mergeCell ref="N116:O116"/>
    <mergeCell ref="D117:E117"/>
    <mergeCell ref="F117:G117"/>
    <mergeCell ref="H117:I117"/>
    <mergeCell ref="J117:K117"/>
    <mergeCell ref="L117:M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8:S128"/>
    <mergeCell ref="T128:U128"/>
    <mergeCell ref="B127:U127"/>
    <mergeCell ref="V127:X127"/>
    <mergeCell ref="D128:E128"/>
    <mergeCell ref="F128:G128"/>
    <mergeCell ref="H128:I128"/>
    <mergeCell ref="J128:K128"/>
    <mergeCell ref="L128:M128"/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X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4:S24"/>
    <mergeCell ref="T24:U24"/>
    <mergeCell ref="B23:U23"/>
    <mergeCell ref="V23:X23"/>
    <mergeCell ref="D24:E24"/>
    <mergeCell ref="F24:G24"/>
    <mergeCell ref="H24:I24"/>
    <mergeCell ref="J24:K24"/>
    <mergeCell ref="L24:M24"/>
    <mergeCell ref="P25:Q25"/>
    <mergeCell ref="R25:S25"/>
    <mergeCell ref="T25:U25"/>
    <mergeCell ref="V25:Y25"/>
    <mergeCell ref="N24:O24"/>
    <mergeCell ref="P24:Q24"/>
    <mergeCell ref="V24:Y24"/>
    <mergeCell ref="D25:E25"/>
    <mergeCell ref="F25:G25"/>
    <mergeCell ref="H25:I25"/>
    <mergeCell ref="J25:K25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N26:O26"/>
    <mergeCell ref="P26:Q26"/>
    <mergeCell ref="R26:S26"/>
    <mergeCell ref="T26:U26"/>
    <mergeCell ref="V26:Y26"/>
    <mergeCell ref="L25:M25"/>
    <mergeCell ref="N25:O25"/>
    <mergeCell ref="D26:E26"/>
    <mergeCell ref="F26:G26"/>
    <mergeCell ref="H26:I26"/>
    <mergeCell ref="J26:K26"/>
    <mergeCell ref="L26:M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7:S37"/>
    <mergeCell ref="T37:U37"/>
    <mergeCell ref="B36:U36"/>
    <mergeCell ref="V36:X36"/>
    <mergeCell ref="D37:E37"/>
    <mergeCell ref="F37:G37"/>
    <mergeCell ref="H37:I37"/>
    <mergeCell ref="J37:K37"/>
    <mergeCell ref="L37:M37"/>
    <mergeCell ref="P38:Q38"/>
    <mergeCell ref="R38:S38"/>
    <mergeCell ref="T38:U38"/>
    <mergeCell ref="V38:Y38"/>
    <mergeCell ref="N37:O37"/>
    <mergeCell ref="P37:Q37"/>
    <mergeCell ref="V37:Y37"/>
    <mergeCell ref="D38:E38"/>
    <mergeCell ref="F38:G38"/>
    <mergeCell ref="H38:I38"/>
    <mergeCell ref="J38:K38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N39:O39"/>
    <mergeCell ref="P39:Q39"/>
    <mergeCell ref="R39:S39"/>
    <mergeCell ref="T39:U39"/>
    <mergeCell ref="V39:Y39"/>
    <mergeCell ref="L38:M38"/>
    <mergeCell ref="N38:O38"/>
    <mergeCell ref="D39:E39"/>
    <mergeCell ref="F39:G39"/>
    <mergeCell ref="H39:I39"/>
    <mergeCell ref="J39:K39"/>
    <mergeCell ref="L39:M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50:S50"/>
    <mergeCell ref="T50:U50"/>
    <mergeCell ref="B49:U49"/>
    <mergeCell ref="V49:X49"/>
    <mergeCell ref="D50:E50"/>
    <mergeCell ref="F50:G50"/>
    <mergeCell ref="H50:I50"/>
    <mergeCell ref="J50:K50"/>
    <mergeCell ref="L50:M50"/>
    <mergeCell ref="P51:Q51"/>
    <mergeCell ref="R51:S51"/>
    <mergeCell ref="T51:U51"/>
    <mergeCell ref="V51:Y51"/>
    <mergeCell ref="N50:O50"/>
    <mergeCell ref="P50:Q50"/>
    <mergeCell ref="V50:Y50"/>
    <mergeCell ref="D51:E51"/>
    <mergeCell ref="F51:G51"/>
    <mergeCell ref="H51:I51"/>
    <mergeCell ref="J51:K51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N52:O52"/>
    <mergeCell ref="P52:Q52"/>
    <mergeCell ref="R52:S52"/>
    <mergeCell ref="T52:U52"/>
    <mergeCell ref="V52:Y52"/>
    <mergeCell ref="L51:M51"/>
    <mergeCell ref="N51:O51"/>
    <mergeCell ref="D52:E52"/>
    <mergeCell ref="F52:G52"/>
    <mergeCell ref="H52:I52"/>
    <mergeCell ref="J52:K52"/>
    <mergeCell ref="L52:M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3:S63"/>
    <mergeCell ref="T63:U63"/>
    <mergeCell ref="B62:U62"/>
    <mergeCell ref="V62:X62"/>
    <mergeCell ref="D63:E63"/>
    <mergeCell ref="F63:G63"/>
    <mergeCell ref="H63:I63"/>
    <mergeCell ref="J63:K63"/>
    <mergeCell ref="L63:M63"/>
    <mergeCell ref="P77:Q77"/>
    <mergeCell ref="R77:S77"/>
    <mergeCell ref="T77:U77"/>
    <mergeCell ref="V77:Y77"/>
    <mergeCell ref="N76:O76"/>
    <mergeCell ref="P76:Q76"/>
    <mergeCell ref="V76:Y76"/>
    <mergeCell ref="D77:E77"/>
    <mergeCell ref="F77:G77"/>
    <mergeCell ref="H77:I77"/>
    <mergeCell ref="J77:K77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N78:O78"/>
    <mergeCell ref="P78:Q78"/>
    <mergeCell ref="R78:S78"/>
    <mergeCell ref="T78:U78"/>
    <mergeCell ref="V78:Y78"/>
    <mergeCell ref="P64:Q64"/>
    <mergeCell ref="R64:S64"/>
    <mergeCell ref="T64:U64"/>
    <mergeCell ref="V64:Y64"/>
    <mergeCell ref="N63:O63"/>
    <mergeCell ref="P63:Q63"/>
    <mergeCell ref="V63:Y63"/>
    <mergeCell ref="D64:E64"/>
    <mergeCell ref="F64:G64"/>
    <mergeCell ref="H64:I64"/>
    <mergeCell ref="J64:K64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N65:O65"/>
    <mergeCell ref="P65:Q65"/>
    <mergeCell ref="R65:S65"/>
    <mergeCell ref="T65:U65"/>
    <mergeCell ref="V65:Y65"/>
    <mergeCell ref="L64:M64"/>
    <mergeCell ref="N64:O64"/>
    <mergeCell ref="D65:E65"/>
    <mergeCell ref="F65:G65"/>
    <mergeCell ref="H65:I65"/>
    <mergeCell ref="J65:K65"/>
    <mergeCell ref="L65:M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6:S76"/>
    <mergeCell ref="T76:U76"/>
    <mergeCell ref="B75:U75"/>
    <mergeCell ref="V75:X75"/>
    <mergeCell ref="D76:E76"/>
    <mergeCell ref="F76:G76"/>
    <mergeCell ref="H76:I76"/>
    <mergeCell ref="J76:K76"/>
    <mergeCell ref="L76:M76"/>
    <mergeCell ref="L77:M77"/>
    <mergeCell ref="N77:O77"/>
    <mergeCell ref="D78:E78"/>
    <mergeCell ref="F78:G78"/>
    <mergeCell ref="H78:I78"/>
    <mergeCell ref="J78:K78"/>
    <mergeCell ref="L78:M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R85:S85"/>
    <mergeCell ref="T85:U85"/>
    <mergeCell ref="V85:Y85"/>
    <mergeCell ref="D85:E85"/>
    <mergeCell ref="F85:G85"/>
    <mergeCell ref="H85:I85"/>
    <mergeCell ref="J85:K85"/>
    <mergeCell ref="L85:M85"/>
    <mergeCell ref="N85:O85"/>
    <mergeCell ref="P85:Q85"/>
    <mergeCell ref="R86:S86"/>
    <mergeCell ref="T86:U86"/>
    <mergeCell ref="V86:Y86"/>
    <mergeCell ref="D86:E86"/>
    <mergeCell ref="F86:G86"/>
    <mergeCell ref="H86:I86"/>
    <mergeCell ref="J86:K86"/>
    <mergeCell ref="L86:M86"/>
    <mergeCell ref="N86:O86"/>
    <mergeCell ref="P86:Q86"/>
    <mergeCell ref="R89:S89"/>
    <mergeCell ref="T89:U89"/>
    <mergeCell ref="B88:U88"/>
    <mergeCell ref="V88:X88"/>
    <mergeCell ref="D89:E89"/>
    <mergeCell ref="F89:G89"/>
    <mergeCell ref="H89:I89"/>
    <mergeCell ref="J89:K89"/>
    <mergeCell ref="L89:M89"/>
    <mergeCell ref="P90:Q90"/>
    <mergeCell ref="R90:S90"/>
    <mergeCell ref="T90:U90"/>
    <mergeCell ref="V90:Y90"/>
    <mergeCell ref="N89:O89"/>
    <mergeCell ref="P89:Q89"/>
    <mergeCell ref="V89:Y89"/>
    <mergeCell ref="D90:E90"/>
    <mergeCell ref="F90:G90"/>
    <mergeCell ref="H90:I90"/>
    <mergeCell ref="J90:K90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83:S83"/>
    <mergeCell ref="T83:U83"/>
    <mergeCell ref="V83:Y83"/>
    <mergeCell ref="D83:E83"/>
    <mergeCell ref="F83:G83"/>
    <mergeCell ref="H83:I83"/>
    <mergeCell ref="J83:K83"/>
    <mergeCell ref="L83:M83"/>
    <mergeCell ref="N83:O83"/>
    <mergeCell ref="P83:Q83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N91:O91"/>
    <mergeCell ref="P91:Q91"/>
    <mergeCell ref="R91:S91"/>
    <mergeCell ref="T91:U91"/>
    <mergeCell ref="V91:Y91"/>
    <mergeCell ref="L90:M90"/>
    <mergeCell ref="N90:O90"/>
    <mergeCell ref="D91:E91"/>
    <mergeCell ref="F91:G91"/>
    <mergeCell ref="H91:I91"/>
    <mergeCell ref="J91:K91"/>
    <mergeCell ref="L91:M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2:S102"/>
    <mergeCell ref="T102:U102"/>
    <mergeCell ref="B101:U101"/>
    <mergeCell ref="V101:X101"/>
    <mergeCell ref="D102:E102"/>
    <mergeCell ref="F102:G102"/>
    <mergeCell ref="H102:I102"/>
    <mergeCell ref="J102:K102"/>
    <mergeCell ref="L102:M102"/>
    <mergeCell ref="P103:Q103"/>
    <mergeCell ref="R103:S103"/>
    <mergeCell ref="T103:U103"/>
    <mergeCell ref="V103:Y103"/>
    <mergeCell ref="N102:O102"/>
    <mergeCell ref="P102:Q102"/>
    <mergeCell ref="V102:Y102"/>
    <mergeCell ref="D103:E103"/>
    <mergeCell ref="F103:G103"/>
    <mergeCell ref="H103:I103"/>
    <mergeCell ref="J103:K103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N104:O104"/>
    <mergeCell ref="P104:Q104"/>
    <mergeCell ref="R104:S104"/>
    <mergeCell ref="T104:U104"/>
    <mergeCell ref="V104:Y104"/>
    <mergeCell ref="L103:M103"/>
    <mergeCell ref="N103:O103"/>
    <mergeCell ref="D104:E104"/>
    <mergeCell ref="F104:G104"/>
    <mergeCell ref="H104:I104"/>
    <mergeCell ref="J104:K104"/>
    <mergeCell ref="L104:M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</mergeCells>
  <conditionalFormatting sqref="B16:E21 B25:E34 B38:E47 B51:E60 B64:E73 B77:E86 B90:E99 B103:E112 B116:E125 B129:E138">
    <cfRule type="expression" dxfId="0" priority="1">
      <formula>INDIRECT(CONCAT("D",ROW()))</formula>
    </cfRule>
  </conditionalFormatting>
  <dataValidations>
    <dataValidation type="list" allowBlank="1" sqref="B16:B21 B25:B34 B38:B47 B51:B60 B64:B73 B77:B86 B90:B99 B103:B112 B116:B125 B129:B138">
      <formula1>DataSheet!$B$4:$C$172</formula1>
    </dataValidation>
    <dataValidation type="list" allowBlank="1" sqref="C16:C21 C25:C34 C38:C47 C51:C60 C64:C73 C77:C86 C90:C99 C103:C112 C116:C125 C129:C138">
      <formula1>"Empower,Enlarge,Extend,Heighten,Maximize,Quicken,Silent,Still,Widen"</formula1>
    </dataValidation>
  </dataValidations>
  <hyperlinks>
    <hyperlink display="Orisons" location="Prepared Spells!B14:Y21" ref="B3"/>
    <hyperlink display="1st Level Spells" location="Prepared Spells!B23:Y34" ref="B4"/>
    <hyperlink display="2nd Level Spells" location="Prepared Spells!B36:Y47" ref="B5"/>
    <hyperlink display="3rd Level Spells" location="Prepared Spells!B49:Y60" ref="B6"/>
    <hyperlink display="4th Level Spells" location="Prepared Spells!B62:Y73" ref="B7"/>
    <hyperlink display="5th Level Spells" location="Prepared Spells!B75:Y86" ref="B8"/>
    <hyperlink display="6th Level Spells" location="Prepared Spells!B88:Y99" ref="B9"/>
    <hyperlink display="7th Level Spells" location="Prepared Spells!B101:Y112" ref="B10"/>
    <hyperlink display="8th Level Spells" location="Prepared Spells!B114:Y125" ref="B11"/>
    <hyperlink display="9th Level Spells" location="Prepared Spells!B127:Y138" ref="B12"/>
  </hyperlink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3.14"/>
    <col customWidth="1" min="2" max="3" width="27.29"/>
    <col customWidth="1" min="4" max="4" width="21.43"/>
    <col customWidth="1" min="5" max="5" width="6.0"/>
    <col customWidth="1" min="6" max="6" width="12.57"/>
    <col customWidth="1" min="7" max="7" width="3.14"/>
    <col customWidth="1" min="8" max="8" width="14.43"/>
    <col customWidth="1" min="9" max="9" width="8.43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9.57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2">
      <c r="B2" s="42" t="s">
        <v>0</v>
      </c>
      <c r="C2" s="3"/>
      <c r="D2" s="4"/>
      <c r="F2" s="43" t="s">
        <v>1</v>
      </c>
      <c r="H2" s="44" t="s">
        <v>2</v>
      </c>
    </row>
    <row r="3">
      <c r="B3" s="45" t="s">
        <v>3</v>
      </c>
      <c r="C3" s="9"/>
      <c r="D3" s="4"/>
      <c r="F3" s="46">
        <v>1.0</v>
      </c>
      <c r="G3" s="47"/>
      <c r="H3" s="48">
        <v>0.0</v>
      </c>
    </row>
    <row r="4">
      <c r="B4" s="49" t="s">
        <v>4</v>
      </c>
      <c r="C4" s="3"/>
      <c r="D4" s="4"/>
    </row>
    <row r="5">
      <c r="B5" s="50" t="s">
        <v>5</v>
      </c>
      <c r="C5" s="9"/>
      <c r="D5" s="4"/>
    </row>
    <row r="6">
      <c r="B6" s="49" t="s">
        <v>6</v>
      </c>
      <c r="C6" s="3"/>
      <c r="D6" s="4"/>
    </row>
    <row r="7">
      <c r="B7" s="50" t="s">
        <v>7</v>
      </c>
      <c r="C7" s="9"/>
      <c r="D7" s="4"/>
    </row>
    <row r="8">
      <c r="B8" s="49" t="s">
        <v>8</v>
      </c>
      <c r="C8" s="3"/>
      <c r="D8" s="4"/>
    </row>
    <row r="9">
      <c r="B9" s="50" t="s">
        <v>9</v>
      </c>
      <c r="C9" s="9"/>
      <c r="D9" s="4"/>
    </row>
    <row r="10">
      <c r="B10" s="49" t="s">
        <v>10</v>
      </c>
      <c r="C10" s="3"/>
      <c r="D10" s="4"/>
    </row>
    <row r="11">
      <c r="B11" s="50" t="s">
        <v>11</v>
      </c>
      <c r="C11" s="9"/>
      <c r="D11" s="4"/>
    </row>
    <row r="12">
      <c r="B12" s="49" t="s">
        <v>12</v>
      </c>
      <c r="C12" s="3"/>
      <c r="D12" s="4"/>
    </row>
    <row r="14">
      <c r="B14" s="51" t="s">
        <v>13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52" t="s">
        <v>14</v>
      </c>
      <c r="W14" s="3"/>
      <c r="X14" s="17"/>
      <c r="Y14" s="53" t="str">
        <f>SUM(Z16:Z21)&amp;"/"&amp;dget(base_spells,"0th",F2:F3)</f>
        <v>0/3</v>
      </c>
      <c r="Z14" s="43"/>
      <c r="AA14" s="54"/>
    </row>
    <row r="15">
      <c r="B15" s="55" t="s">
        <v>15</v>
      </c>
      <c r="C15" s="55"/>
      <c r="D15" s="56" t="s">
        <v>17</v>
      </c>
      <c r="E15" s="23"/>
      <c r="F15" s="56" t="s">
        <v>18</v>
      </c>
      <c r="G15" s="23"/>
      <c r="H15" s="56" t="s">
        <v>19</v>
      </c>
      <c r="I15" s="23"/>
      <c r="J15" s="56" t="s">
        <v>20</v>
      </c>
      <c r="K15" s="23"/>
      <c r="L15" s="56" t="s">
        <v>21</v>
      </c>
      <c r="M15" s="23"/>
      <c r="N15" s="56" t="s">
        <v>22</v>
      </c>
      <c r="O15" s="23"/>
      <c r="P15" s="56" t="s">
        <v>23</v>
      </c>
      <c r="Q15" s="23"/>
      <c r="R15" s="56" t="s">
        <v>24</v>
      </c>
      <c r="S15" s="23"/>
      <c r="T15" s="56" t="s">
        <v>25</v>
      </c>
      <c r="U15" s="23"/>
      <c r="V15" s="56" t="s">
        <v>26</v>
      </c>
      <c r="W15" s="9"/>
      <c r="X15" s="9"/>
      <c r="Y15" s="23"/>
      <c r="Z15" s="55" t="s">
        <v>37</v>
      </c>
      <c r="AA15" s="47"/>
    </row>
    <row r="16">
      <c r="B16" s="57" t="str">
        <f t="shared" ref="B16:B21" si="1">if(isblank(indirect("'Prepared Spells'!B"&amp;row())),,right(indirect("'Prepared Spells'!B"&amp;row()),len(indirect("'Prepared Spells'!B"&amp;row()))-2))</f>
        <v/>
      </c>
      <c r="C16" s="57"/>
      <c r="D16" s="58" t="str">
        <f>IFERROR(__xludf.DUMMYFUNCTION("if(isblank(indirect(""B""&amp;row())),,FILTER(SuperList,'Spell List'!$C$16:$C$184=indirect(""B""&amp;row())))"),"")</f>
        <v/>
      </c>
      <c r="E16" s="17"/>
      <c r="F16" s="59"/>
      <c r="G16" s="17"/>
      <c r="H16" s="60"/>
      <c r="I16" s="17"/>
      <c r="J16" s="59"/>
      <c r="K16" s="17"/>
      <c r="L16" s="59"/>
      <c r="M16" s="17"/>
      <c r="N16" s="59"/>
      <c r="O16" s="17"/>
      <c r="P16" s="59"/>
      <c r="Q16" s="17"/>
      <c r="R16" s="59"/>
      <c r="S16" s="17"/>
      <c r="T16" s="59"/>
      <c r="U16" s="17"/>
      <c r="V16" s="61"/>
      <c r="W16" s="3"/>
      <c r="X16" s="3"/>
      <c r="Y16" s="17"/>
      <c r="Z16" s="62"/>
      <c r="AA16" s="47"/>
    </row>
    <row r="17">
      <c r="B17" s="63" t="str">
        <f t="shared" si="1"/>
        <v/>
      </c>
      <c r="C17" s="64"/>
      <c r="D17" s="65" t="str">
        <f>IFERROR(__xludf.DUMMYFUNCTION("if(isblank(indirect(""B""&amp;row())),,FILTER(SuperList,'Spell List'!$C$16:$C$184=indirect(""B""&amp;row())))"),"")</f>
        <v/>
      </c>
      <c r="E17" s="23"/>
      <c r="F17" s="22"/>
      <c r="G17" s="23"/>
      <c r="H17" s="22"/>
      <c r="I17" s="23"/>
      <c r="J17" s="66"/>
      <c r="K17" s="23"/>
      <c r="L17" s="66"/>
      <c r="M17" s="23"/>
      <c r="N17" s="22"/>
      <c r="O17" s="23"/>
      <c r="P17" s="22"/>
      <c r="Q17" s="23"/>
      <c r="R17" s="22"/>
      <c r="S17" s="23"/>
      <c r="T17" s="22"/>
      <c r="U17" s="23"/>
      <c r="V17" s="67"/>
      <c r="W17" s="9"/>
      <c r="X17" s="9"/>
      <c r="Y17" s="23"/>
      <c r="Z17" s="68"/>
      <c r="AA17" s="47"/>
    </row>
    <row r="18">
      <c r="B18" s="57" t="str">
        <f t="shared" si="1"/>
        <v/>
      </c>
      <c r="C18" s="69"/>
      <c r="D18" s="58" t="str">
        <f>IFERROR(__xludf.DUMMYFUNCTION("if(isblank(indirect(""B""&amp;row())),,FILTER(SuperList,'Spell List'!$C$16:$C$184=indirect(""B""&amp;row())))"),"")</f>
        <v/>
      </c>
      <c r="E18" s="17"/>
      <c r="F18" s="59"/>
      <c r="G18" s="17"/>
      <c r="H18" s="59"/>
      <c r="I18" s="17"/>
      <c r="J18" s="59"/>
      <c r="K18" s="17"/>
      <c r="L18" s="59"/>
      <c r="M18" s="17"/>
      <c r="N18" s="59"/>
      <c r="O18" s="17"/>
      <c r="P18" s="59"/>
      <c r="Q18" s="17"/>
      <c r="R18" s="59"/>
      <c r="S18" s="17"/>
      <c r="T18" s="59"/>
      <c r="U18" s="17"/>
      <c r="V18" s="61"/>
      <c r="W18" s="3"/>
      <c r="X18" s="3"/>
      <c r="Y18" s="17"/>
      <c r="Z18" s="70"/>
      <c r="AA18" s="71"/>
    </row>
    <row r="19">
      <c r="B19" s="63" t="str">
        <f t="shared" si="1"/>
        <v/>
      </c>
      <c r="C19" s="72"/>
      <c r="D19" s="65" t="str">
        <f>IFERROR(__xludf.DUMMYFUNCTION("if(isblank(indirect(""B""&amp;row())),,FILTER(SuperList,'Spell List'!$C$16:$C$184=indirect(""B""&amp;row())))"),"")</f>
        <v/>
      </c>
      <c r="E19" s="23"/>
      <c r="F19" s="66"/>
      <c r="G19" s="23"/>
      <c r="H19" s="66"/>
      <c r="I19" s="23"/>
      <c r="J19" s="66"/>
      <c r="K19" s="23"/>
      <c r="L19" s="66"/>
      <c r="M19" s="23"/>
      <c r="N19" s="66"/>
      <c r="O19" s="23"/>
      <c r="P19" s="66"/>
      <c r="Q19" s="23"/>
      <c r="R19" s="66"/>
      <c r="S19" s="23"/>
      <c r="T19" s="66"/>
      <c r="U19" s="23"/>
      <c r="V19" s="73"/>
      <c r="W19" s="9"/>
      <c r="X19" s="9"/>
      <c r="Y19" s="23"/>
      <c r="Z19" s="68"/>
      <c r="AA19" s="74"/>
    </row>
    <row r="20">
      <c r="B20" s="57" t="str">
        <f t="shared" si="1"/>
        <v/>
      </c>
      <c r="C20" s="69"/>
      <c r="D20" s="58" t="str">
        <f>IFERROR(__xludf.DUMMYFUNCTION("if(isblank(indirect(""B""&amp;row())),,FILTER(SuperList,'Spell List'!$C$16:$C$184=indirect(""B""&amp;row())))"),"")</f>
        <v/>
      </c>
      <c r="E20" s="17"/>
      <c r="F20" s="59"/>
      <c r="G20" s="17"/>
      <c r="H20" s="59"/>
      <c r="I20" s="17"/>
      <c r="J20" s="59"/>
      <c r="K20" s="17"/>
      <c r="L20" s="59"/>
      <c r="M20" s="17"/>
      <c r="N20" s="59"/>
      <c r="O20" s="17"/>
      <c r="P20" s="59"/>
      <c r="Q20" s="17"/>
      <c r="R20" s="59"/>
      <c r="S20" s="17"/>
      <c r="T20" s="59"/>
      <c r="U20" s="17"/>
      <c r="V20" s="61"/>
      <c r="W20" s="3"/>
      <c r="X20" s="3"/>
      <c r="Y20" s="17"/>
      <c r="Z20" s="70"/>
      <c r="AA20" s="74"/>
    </row>
    <row r="21">
      <c r="B21" s="63" t="str">
        <f t="shared" si="1"/>
        <v/>
      </c>
      <c r="C21" s="72"/>
      <c r="D21" s="65" t="str">
        <f>IFERROR(__xludf.DUMMYFUNCTION("if(isblank(indirect(""B""&amp;row())),,FILTER(SuperList,'Spell List'!$C$16:$C$184=indirect(""B""&amp;row())))"),"")</f>
        <v/>
      </c>
      <c r="E21" s="23"/>
      <c r="F21" s="66"/>
      <c r="G21" s="23"/>
      <c r="H21" s="66"/>
      <c r="I21" s="23"/>
      <c r="J21" s="66"/>
      <c r="K21" s="23"/>
      <c r="L21" s="66"/>
      <c r="M21" s="23"/>
      <c r="N21" s="66"/>
      <c r="O21" s="23"/>
      <c r="P21" s="66"/>
      <c r="Q21" s="23"/>
      <c r="R21" s="66"/>
      <c r="S21" s="23"/>
      <c r="T21" s="66"/>
      <c r="U21" s="23"/>
      <c r="V21" s="73"/>
      <c r="W21" s="9"/>
      <c r="X21" s="9"/>
      <c r="Y21" s="23"/>
      <c r="Z21" s="75"/>
      <c r="AA21" s="74"/>
    </row>
    <row r="23">
      <c r="B23" s="51" t="s">
        <v>28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52" t="s">
        <v>14</v>
      </c>
      <c r="W23" s="3"/>
      <c r="X23" s="17"/>
      <c r="Y23" s="53" t="str">
        <f>SUM(Z25:Z34)&amp;"/"&amp;if(dget(base_spells,"1st",F2:F3),dget(base_spells,"1st",F2:F3)+dget(bonus_spells,"1st",H2:H3),0)</f>
        <v>0/1</v>
      </c>
      <c r="Z23" s="43"/>
    </row>
    <row r="24">
      <c r="B24" s="55" t="s">
        <v>15</v>
      </c>
      <c r="C24" s="55"/>
      <c r="D24" s="56" t="s">
        <v>17</v>
      </c>
      <c r="E24" s="23"/>
      <c r="F24" s="56" t="s">
        <v>18</v>
      </c>
      <c r="G24" s="23"/>
      <c r="H24" s="56" t="s">
        <v>19</v>
      </c>
      <c r="I24" s="23"/>
      <c r="J24" s="56" t="s">
        <v>20</v>
      </c>
      <c r="K24" s="23"/>
      <c r="L24" s="56" t="s">
        <v>21</v>
      </c>
      <c r="M24" s="23"/>
      <c r="N24" s="56" t="s">
        <v>22</v>
      </c>
      <c r="O24" s="23"/>
      <c r="P24" s="56" t="s">
        <v>23</v>
      </c>
      <c r="Q24" s="23"/>
      <c r="R24" s="56" t="s">
        <v>24</v>
      </c>
      <c r="S24" s="23"/>
      <c r="T24" s="56" t="s">
        <v>25</v>
      </c>
      <c r="U24" s="23"/>
      <c r="V24" s="56" t="s">
        <v>26</v>
      </c>
      <c r="W24" s="9"/>
      <c r="X24" s="9"/>
      <c r="Y24" s="23"/>
      <c r="Z24" s="55" t="s">
        <v>38</v>
      </c>
    </row>
    <row r="25">
      <c r="B25" s="57" t="str">
        <f t="shared" ref="B25:B34" si="2">if(isblank(indirect("'Prepared Spells'!B"&amp;row())),,right(indirect("'Prepared Spells'!B"&amp;row()),len(indirect("'Prepared Spells'!B"&amp;row()))-2))</f>
        <v/>
      </c>
      <c r="C25" s="57"/>
      <c r="D25" s="58" t="str">
        <f>IFERROR(__xludf.DUMMYFUNCTION("if(isblank(indirect(""B""&amp;row())),,FILTER(SuperList,'Spell List'!$C$16:$C$184=indirect(""B""&amp;row())))"),"")</f>
        <v/>
      </c>
      <c r="E25" s="17"/>
      <c r="F25" s="59"/>
      <c r="G25" s="17"/>
      <c r="H25" s="60"/>
      <c r="I25" s="17"/>
      <c r="J25" s="59"/>
      <c r="K25" s="17"/>
      <c r="L25" s="59"/>
      <c r="M25" s="17"/>
      <c r="N25" s="59"/>
      <c r="O25" s="17"/>
      <c r="P25" s="59"/>
      <c r="Q25" s="17"/>
      <c r="R25" s="59"/>
      <c r="S25" s="17"/>
      <c r="T25" s="59"/>
      <c r="U25" s="17"/>
      <c r="V25" s="61"/>
      <c r="W25" s="3"/>
      <c r="X25" s="3"/>
      <c r="Y25" s="17"/>
      <c r="Z25" s="70"/>
    </row>
    <row r="26">
      <c r="B26" s="63" t="str">
        <f t="shared" si="2"/>
        <v/>
      </c>
      <c r="C26" s="63"/>
      <c r="D26" s="65" t="str">
        <f>IFERROR(__xludf.DUMMYFUNCTION("if(isblank(indirect(""B""&amp;row())),,FILTER(SuperList,'Spell List'!$C$16:$C$184=indirect(""B""&amp;row())))"),"")</f>
        <v/>
      </c>
      <c r="E26" s="23"/>
      <c r="F26" s="66"/>
      <c r="G26" s="23"/>
      <c r="H26" s="22"/>
      <c r="I26" s="23"/>
      <c r="J26" s="66"/>
      <c r="K26" s="23"/>
      <c r="L26" s="66"/>
      <c r="M26" s="23"/>
      <c r="N26" s="66"/>
      <c r="O26" s="23"/>
      <c r="P26" s="66"/>
      <c r="Q26" s="23"/>
      <c r="R26" s="66"/>
      <c r="S26" s="23"/>
      <c r="T26" s="66"/>
      <c r="U26" s="23"/>
      <c r="V26" s="73"/>
      <c r="W26" s="9"/>
      <c r="X26" s="9"/>
      <c r="Y26" s="23"/>
      <c r="Z26" s="68"/>
    </row>
    <row r="27">
      <c r="B27" s="57" t="str">
        <f t="shared" si="2"/>
        <v/>
      </c>
      <c r="C27" s="57"/>
      <c r="D27" s="58" t="str">
        <f>IFERROR(__xludf.DUMMYFUNCTION("if(isblank(indirect(""B""&amp;row())),,FILTER(SuperList,'Spell List'!$C$16:$C$184=indirect(""B""&amp;row())))"),"")</f>
        <v/>
      </c>
      <c r="E27" s="17"/>
      <c r="F27" s="59"/>
      <c r="G27" s="17"/>
      <c r="H27" s="60"/>
      <c r="I27" s="17"/>
      <c r="J27" s="59"/>
      <c r="K27" s="17"/>
      <c r="L27" s="59"/>
      <c r="M27" s="17"/>
      <c r="N27" s="59"/>
      <c r="O27" s="17"/>
      <c r="P27" s="59"/>
      <c r="Q27" s="17"/>
      <c r="R27" s="59"/>
      <c r="S27" s="17"/>
      <c r="T27" s="59"/>
      <c r="U27" s="17"/>
      <c r="V27" s="61"/>
      <c r="W27" s="3"/>
      <c r="X27" s="3"/>
      <c r="Y27" s="17"/>
      <c r="Z27" s="70"/>
    </row>
    <row r="28">
      <c r="B28" s="63" t="str">
        <f t="shared" si="2"/>
        <v/>
      </c>
      <c r="C28" s="63"/>
      <c r="D28" s="65" t="str">
        <f>IFERROR(__xludf.DUMMYFUNCTION("if(isblank(indirect(""B""&amp;row())),,FILTER(SuperList,'Spell List'!$C$16:$C$184=indirect(""B""&amp;row())))"),"")</f>
        <v/>
      </c>
      <c r="E28" s="23"/>
      <c r="F28" s="66"/>
      <c r="G28" s="23"/>
      <c r="H28" s="22"/>
      <c r="I28" s="23"/>
      <c r="J28" s="66"/>
      <c r="K28" s="23"/>
      <c r="L28" s="66"/>
      <c r="M28" s="23"/>
      <c r="N28" s="66"/>
      <c r="O28" s="23"/>
      <c r="P28" s="66"/>
      <c r="Q28" s="23"/>
      <c r="R28" s="66"/>
      <c r="S28" s="23"/>
      <c r="T28" s="66"/>
      <c r="U28" s="23"/>
      <c r="V28" s="73"/>
      <c r="W28" s="9"/>
      <c r="X28" s="9"/>
      <c r="Y28" s="23"/>
      <c r="Z28" s="68"/>
    </row>
    <row r="29">
      <c r="B29" s="57" t="str">
        <f t="shared" si="2"/>
        <v/>
      </c>
      <c r="C29" s="57"/>
      <c r="D29" s="58" t="str">
        <f>IFERROR(__xludf.DUMMYFUNCTION("if(isblank(indirect(""B""&amp;row())),,FILTER(SuperList,'Spell List'!$C$16:$C$184=indirect(""B""&amp;row())))"),"")</f>
        <v/>
      </c>
      <c r="E29" s="17"/>
      <c r="F29" s="59"/>
      <c r="G29" s="17"/>
      <c r="H29" s="60"/>
      <c r="I29" s="17"/>
      <c r="J29" s="59"/>
      <c r="K29" s="17"/>
      <c r="L29" s="59"/>
      <c r="M29" s="17"/>
      <c r="N29" s="59"/>
      <c r="O29" s="17"/>
      <c r="P29" s="59"/>
      <c r="Q29" s="17"/>
      <c r="R29" s="59"/>
      <c r="S29" s="17"/>
      <c r="T29" s="59"/>
      <c r="U29" s="17"/>
      <c r="V29" s="61"/>
      <c r="W29" s="3"/>
      <c r="X29" s="3"/>
      <c r="Y29" s="17"/>
      <c r="Z29" s="70"/>
    </row>
    <row r="30">
      <c r="B30" s="63" t="str">
        <f t="shared" si="2"/>
        <v/>
      </c>
      <c r="C30" s="63"/>
      <c r="D30" s="65" t="str">
        <f>IFERROR(__xludf.DUMMYFUNCTION("if(isblank(indirect(""B""&amp;row())),,FILTER(SuperList,'Spell List'!$C$16:$C$184=indirect(""B""&amp;row())))"),"")</f>
        <v/>
      </c>
      <c r="E30" s="23"/>
      <c r="F30" s="66"/>
      <c r="G30" s="23"/>
      <c r="H30" s="22"/>
      <c r="I30" s="23"/>
      <c r="J30" s="66"/>
      <c r="K30" s="23"/>
      <c r="L30" s="66"/>
      <c r="M30" s="23"/>
      <c r="N30" s="66"/>
      <c r="O30" s="23"/>
      <c r="P30" s="66"/>
      <c r="Q30" s="23"/>
      <c r="R30" s="66"/>
      <c r="S30" s="23"/>
      <c r="T30" s="66"/>
      <c r="U30" s="23"/>
      <c r="V30" s="73"/>
      <c r="W30" s="9"/>
      <c r="X30" s="9"/>
      <c r="Y30" s="23"/>
      <c r="Z30" s="68"/>
    </row>
    <row r="31">
      <c r="B31" s="57" t="str">
        <f t="shared" si="2"/>
        <v/>
      </c>
      <c r="C31" s="57"/>
      <c r="D31" s="58" t="str">
        <f>IFERROR(__xludf.DUMMYFUNCTION("if(isblank(indirect(""B""&amp;row())),,FILTER(SuperList,'Spell List'!$C$16:$C$184=indirect(""B""&amp;row())))"),"")</f>
        <v/>
      </c>
      <c r="E31" s="17"/>
      <c r="F31" s="59"/>
      <c r="G31" s="17"/>
      <c r="H31" s="60"/>
      <c r="I31" s="17"/>
      <c r="J31" s="59"/>
      <c r="K31" s="17"/>
      <c r="L31" s="59"/>
      <c r="M31" s="17"/>
      <c r="N31" s="59"/>
      <c r="O31" s="17"/>
      <c r="P31" s="59"/>
      <c r="Q31" s="17"/>
      <c r="R31" s="59"/>
      <c r="S31" s="17"/>
      <c r="T31" s="59"/>
      <c r="U31" s="17"/>
      <c r="V31" s="61"/>
      <c r="W31" s="3"/>
      <c r="X31" s="3"/>
      <c r="Y31" s="17"/>
      <c r="Z31" s="70"/>
    </row>
    <row r="32">
      <c r="B32" s="63" t="str">
        <f t="shared" si="2"/>
        <v/>
      </c>
      <c r="C32" s="63"/>
      <c r="D32" s="65" t="str">
        <f>IFERROR(__xludf.DUMMYFUNCTION("if(isblank(indirect(""B""&amp;row())),,FILTER(SuperList,'Spell List'!$C$16:$C$184=indirect(""B""&amp;row())))"),"")</f>
        <v/>
      </c>
      <c r="E32" s="23"/>
      <c r="F32" s="66"/>
      <c r="G32" s="23"/>
      <c r="H32" s="22"/>
      <c r="I32" s="23"/>
      <c r="J32" s="66"/>
      <c r="K32" s="23"/>
      <c r="L32" s="66"/>
      <c r="M32" s="23"/>
      <c r="N32" s="66"/>
      <c r="O32" s="23"/>
      <c r="P32" s="66"/>
      <c r="Q32" s="23"/>
      <c r="R32" s="66"/>
      <c r="S32" s="23"/>
      <c r="T32" s="66"/>
      <c r="U32" s="23"/>
      <c r="V32" s="73"/>
      <c r="W32" s="9"/>
      <c r="X32" s="9"/>
      <c r="Y32" s="23"/>
      <c r="Z32" s="68"/>
    </row>
    <row r="33">
      <c r="B33" s="57" t="str">
        <f t="shared" si="2"/>
        <v/>
      </c>
      <c r="C33" s="57"/>
      <c r="D33" s="58" t="str">
        <f>IFERROR(__xludf.DUMMYFUNCTION("if(isblank(indirect(""B""&amp;row())),,FILTER(SuperList,'Spell List'!$C$16:$C$184=indirect(""B""&amp;row())))"),"")</f>
        <v/>
      </c>
      <c r="E33" s="17"/>
      <c r="F33" s="59"/>
      <c r="G33" s="17"/>
      <c r="H33" s="60"/>
      <c r="I33" s="17"/>
      <c r="J33" s="59"/>
      <c r="K33" s="17"/>
      <c r="L33" s="59"/>
      <c r="M33" s="17"/>
      <c r="N33" s="59"/>
      <c r="O33" s="17"/>
      <c r="P33" s="59"/>
      <c r="Q33" s="17"/>
      <c r="R33" s="59"/>
      <c r="S33" s="17"/>
      <c r="T33" s="59"/>
      <c r="U33" s="17"/>
      <c r="V33" s="61"/>
      <c r="W33" s="3"/>
      <c r="X33" s="3"/>
      <c r="Y33" s="17"/>
      <c r="Z33" s="70"/>
    </row>
    <row r="34">
      <c r="B34" s="63" t="str">
        <f t="shared" si="2"/>
        <v/>
      </c>
      <c r="C34" s="63"/>
      <c r="D34" s="65" t="str">
        <f>IFERROR(__xludf.DUMMYFUNCTION("if(isblank(indirect(""B""&amp;row())),,FILTER(SuperList,'Spell List'!$C$16:$C$184=indirect(""B""&amp;row())))"),"")</f>
        <v/>
      </c>
      <c r="E34" s="23"/>
      <c r="F34" s="66"/>
      <c r="G34" s="23"/>
      <c r="H34" s="22"/>
      <c r="I34" s="23"/>
      <c r="J34" s="66"/>
      <c r="K34" s="23"/>
      <c r="L34" s="66"/>
      <c r="M34" s="23"/>
      <c r="N34" s="66"/>
      <c r="O34" s="23"/>
      <c r="P34" s="66"/>
      <c r="Q34" s="23"/>
      <c r="R34" s="66"/>
      <c r="S34" s="23"/>
      <c r="T34" s="66"/>
      <c r="U34" s="23"/>
      <c r="V34" s="73"/>
      <c r="W34" s="9"/>
      <c r="X34" s="9"/>
      <c r="Y34" s="23"/>
      <c r="Z34" s="68"/>
    </row>
    <row r="36">
      <c r="B36" s="51" t="s">
        <v>29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52" t="s">
        <v>14</v>
      </c>
      <c r="W36" s="3"/>
      <c r="X36" s="17"/>
      <c r="Y36" s="53" t="str">
        <f>SUM(Z38:Z47)&amp;"/"&amp;if(dget(base_spells,"2nd",F2:F3),dget(base_spells,"2nd",F2:F3)+dget(bonus_spells,"2nd",H2:H3),0)</f>
        <v>0/0</v>
      </c>
      <c r="Z36" s="43"/>
    </row>
    <row r="37">
      <c r="B37" s="55" t="s">
        <v>15</v>
      </c>
      <c r="C37" s="55"/>
      <c r="D37" s="56" t="s">
        <v>17</v>
      </c>
      <c r="E37" s="23"/>
      <c r="F37" s="56" t="s">
        <v>18</v>
      </c>
      <c r="G37" s="23"/>
      <c r="H37" s="56" t="s">
        <v>19</v>
      </c>
      <c r="I37" s="23"/>
      <c r="J37" s="56" t="s">
        <v>20</v>
      </c>
      <c r="K37" s="23"/>
      <c r="L37" s="56" t="s">
        <v>21</v>
      </c>
      <c r="M37" s="23"/>
      <c r="N37" s="56" t="s">
        <v>22</v>
      </c>
      <c r="O37" s="23"/>
      <c r="P37" s="56" t="s">
        <v>23</v>
      </c>
      <c r="Q37" s="23"/>
      <c r="R37" s="56" t="s">
        <v>24</v>
      </c>
      <c r="S37" s="23"/>
      <c r="T37" s="56" t="s">
        <v>25</v>
      </c>
      <c r="U37" s="23"/>
      <c r="V37" s="56" t="s">
        <v>26</v>
      </c>
      <c r="W37" s="9"/>
      <c r="X37" s="9"/>
      <c r="Y37" s="23"/>
      <c r="Z37" s="55" t="s">
        <v>38</v>
      </c>
    </row>
    <row r="38">
      <c r="B38" s="57" t="str">
        <f t="shared" ref="B38:B47" si="3">if(isblank(indirect("'Prepared Spells'!B"&amp;row())),,right(indirect("'Prepared Spells'!B"&amp;row()),len(indirect("'Prepared Spells'!B"&amp;row()))-2))</f>
        <v/>
      </c>
      <c r="C38" s="57"/>
      <c r="D38" s="58" t="str">
        <f>IFERROR(__xludf.DUMMYFUNCTION("if(isblank(indirect(""B""&amp;row())),,FILTER(SuperList,'Spell List'!$C$16:$C$184=indirect(""B""&amp;row())))"),"")</f>
        <v/>
      </c>
      <c r="E38" s="17"/>
      <c r="F38" s="59"/>
      <c r="G38" s="17"/>
      <c r="H38" s="60"/>
      <c r="I38" s="17"/>
      <c r="J38" s="59"/>
      <c r="K38" s="17"/>
      <c r="L38" s="59"/>
      <c r="M38" s="17"/>
      <c r="N38" s="59"/>
      <c r="O38" s="17"/>
      <c r="P38" s="59"/>
      <c r="Q38" s="17"/>
      <c r="R38" s="59"/>
      <c r="S38" s="17"/>
      <c r="T38" s="59"/>
      <c r="U38" s="17"/>
      <c r="V38" s="61"/>
      <c r="W38" s="3"/>
      <c r="X38" s="3"/>
      <c r="Y38" s="17"/>
      <c r="Z38" s="70"/>
    </row>
    <row r="39">
      <c r="B39" s="63" t="str">
        <f t="shared" si="3"/>
        <v/>
      </c>
      <c r="C39" s="63"/>
      <c r="D39" s="65" t="str">
        <f>IFERROR(__xludf.DUMMYFUNCTION("if(isblank(indirect(""B""&amp;row())),,FILTER(SuperList,'Spell List'!$C$16:$C$184=indirect(""B""&amp;row())))"),"")</f>
        <v/>
      </c>
      <c r="E39" s="23"/>
      <c r="F39" s="66"/>
      <c r="G39" s="23"/>
      <c r="H39" s="22"/>
      <c r="I39" s="23"/>
      <c r="J39" s="66"/>
      <c r="K39" s="23"/>
      <c r="L39" s="66"/>
      <c r="M39" s="23"/>
      <c r="N39" s="66"/>
      <c r="O39" s="23"/>
      <c r="P39" s="66"/>
      <c r="Q39" s="23"/>
      <c r="R39" s="66"/>
      <c r="S39" s="23"/>
      <c r="T39" s="66"/>
      <c r="U39" s="23"/>
      <c r="V39" s="73"/>
      <c r="W39" s="9"/>
      <c r="X39" s="9"/>
      <c r="Y39" s="23"/>
      <c r="Z39" s="68"/>
    </row>
    <row r="40">
      <c r="B40" s="57" t="str">
        <f t="shared" si="3"/>
        <v/>
      </c>
      <c r="C40" s="57"/>
      <c r="D40" s="58" t="str">
        <f>IFERROR(__xludf.DUMMYFUNCTION("if(isblank(indirect(""B""&amp;row())),,FILTER(SuperList,'Spell List'!$C$16:$C$184=indirect(""B""&amp;row())))"),"")</f>
        <v/>
      </c>
      <c r="E40" s="17"/>
      <c r="F40" s="59"/>
      <c r="G40" s="17"/>
      <c r="H40" s="60"/>
      <c r="I40" s="17"/>
      <c r="J40" s="59"/>
      <c r="K40" s="17"/>
      <c r="L40" s="59"/>
      <c r="M40" s="17"/>
      <c r="N40" s="59"/>
      <c r="O40" s="17"/>
      <c r="P40" s="59"/>
      <c r="Q40" s="17"/>
      <c r="R40" s="59"/>
      <c r="S40" s="17"/>
      <c r="T40" s="59"/>
      <c r="U40" s="17"/>
      <c r="V40" s="61"/>
      <c r="W40" s="3"/>
      <c r="X40" s="3"/>
      <c r="Y40" s="17"/>
      <c r="Z40" s="70"/>
    </row>
    <row r="41">
      <c r="B41" s="63" t="str">
        <f t="shared" si="3"/>
        <v/>
      </c>
      <c r="C41" s="63"/>
      <c r="D41" s="65" t="str">
        <f>IFERROR(__xludf.DUMMYFUNCTION("if(isblank(indirect(""B""&amp;row())),,FILTER(SuperList,'Spell List'!$C$16:$C$184=indirect(""B""&amp;row())))"),"")</f>
        <v/>
      </c>
      <c r="E41" s="23"/>
      <c r="F41" s="66"/>
      <c r="G41" s="23"/>
      <c r="H41" s="22"/>
      <c r="I41" s="23"/>
      <c r="J41" s="66"/>
      <c r="K41" s="23"/>
      <c r="L41" s="66"/>
      <c r="M41" s="23"/>
      <c r="N41" s="66"/>
      <c r="O41" s="23"/>
      <c r="P41" s="66"/>
      <c r="Q41" s="23"/>
      <c r="R41" s="66"/>
      <c r="S41" s="23"/>
      <c r="T41" s="66"/>
      <c r="U41" s="23"/>
      <c r="V41" s="73"/>
      <c r="W41" s="9"/>
      <c r="X41" s="9"/>
      <c r="Y41" s="23"/>
      <c r="Z41" s="68"/>
    </row>
    <row r="42">
      <c r="B42" s="57" t="str">
        <f t="shared" si="3"/>
        <v/>
      </c>
      <c r="C42" s="57"/>
      <c r="D42" s="58" t="str">
        <f>IFERROR(__xludf.DUMMYFUNCTION("if(isblank(indirect(""B""&amp;row())),,FILTER(SuperList,'Spell List'!$C$16:$C$184=indirect(""B""&amp;row())))"),"")</f>
        <v/>
      </c>
      <c r="E42" s="17"/>
      <c r="F42" s="59"/>
      <c r="G42" s="17"/>
      <c r="H42" s="60"/>
      <c r="I42" s="17"/>
      <c r="J42" s="59"/>
      <c r="K42" s="17"/>
      <c r="L42" s="59"/>
      <c r="M42" s="17"/>
      <c r="N42" s="59"/>
      <c r="O42" s="17"/>
      <c r="P42" s="59"/>
      <c r="Q42" s="17"/>
      <c r="R42" s="59"/>
      <c r="S42" s="17"/>
      <c r="T42" s="59"/>
      <c r="U42" s="17"/>
      <c r="V42" s="61"/>
      <c r="W42" s="3"/>
      <c r="X42" s="3"/>
      <c r="Y42" s="17"/>
      <c r="Z42" s="70"/>
    </row>
    <row r="43">
      <c r="B43" s="63" t="str">
        <f t="shared" si="3"/>
        <v/>
      </c>
      <c r="C43" s="63"/>
      <c r="D43" s="65" t="str">
        <f>IFERROR(__xludf.DUMMYFUNCTION("if(isblank(indirect(""B""&amp;row())),,FILTER(SuperList,'Spell List'!$C$16:$C$184=indirect(""B""&amp;row())))"),"")</f>
        <v/>
      </c>
      <c r="E43" s="23"/>
      <c r="F43" s="66"/>
      <c r="G43" s="23"/>
      <c r="H43" s="22"/>
      <c r="I43" s="23"/>
      <c r="J43" s="66"/>
      <c r="K43" s="23"/>
      <c r="L43" s="66"/>
      <c r="M43" s="23"/>
      <c r="N43" s="66"/>
      <c r="O43" s="23"/>
      <c r="P43" s="66"/>
      <c r="Q43" s="23"/>
      <c r="R43" s="66"/>
      <c r="S43" s="23"/>
      <c r="T43" s="66"/>
      <c r="U43" s="23"/>
      <c r="V43" s="73"/>
      <c r="W43" s="9"/>
      <c r="X43" s="9"/>
      <c r="Y43" s="23"/>
      <c r="Z43" s="68"/>
    </row>
    <row r="44">
      <c r="B44" s="57" t="str">
        <f t="shared" si="3"/>
        <v/>
      </c>
      <c r="C44" s="57"/>
      <c r="D44" s="58" t="str">
        <f>IFERROR(__xludf.DUMMYFUNCTION("if(isblank(indirect(""B""&amp;row())),,FILTER(SuperList,'Spell List'!$C$16:$C$184=indirect(""B""&amp;row())))"),"")</f>
        <v/>
      </c>
      <c r="E44" s="17"/>
      <c r="F44" s="59"/>
      <c r="G44" s="17"/>
      <c r="H44" s="60"/>
      <c r="I44" s="17"/>
      <c r="J44" s="59"/>
      <c r="K44" s="17"/>
      <c r="L44" s="59"/>
      <c r="M44" s="17"/>
      <c r="N44" s="59"/>
      <c r="O44" s="17"/>
      <c r="P44" s="59"/>
      <c r="Q44" s="17"/>
      <c r="R44" s="59"/>
      <c r="S44" s="17"/>
      <c r="T44" s="59"/>
      <c r="U44" s="17"/>
      <c r="V44" s="61"/>
      <c r="W44" s="3"/>
      <c r="X44" s="3"/>
      <c r="Y44" s="17"/>
      <c r="Z44" s="70"/>
    </row>
    <row r="45">
      <c r="B45" s="63" t="str">
        <f t="shared" si="3"/>
        <v/>
      </c>
      <c r="C45" s="63"/>
      <c r="D45" s="65" t="str">
        <f>IFERROR(__xludf.DUMMYFUNCTION("if(isblank(indirect(""B""&amp;row())),,FILTER(SuperList,'Spell List'!$C$16:$C$184=indirect(""B""&amp;row())))"),"")</f>
        <v/>
      </c>
      <c r="E45" s="23"/>
      <c r="F45" s="66"/>
      <c r="G45" s="23"/>
      <c r="H45" s="22"/>
      <c r="I45" s="23"/>
      <c r="J45" s="66"/>
      <c r="K45" s="23"/>
      <c r="L45" s="66"/>
      <c r="M45" s="23"/>
      <c r="N45" s="66"/>
      <c r="O45" s="23"/>
      <c r="P45" s="66"/>
      <c r="Q45" s="23"/>
      <c r="R45" s="66"/>
      <c r="S45" s="23"/>
      <c r="T45" s="66"/>
      <c r="U45" s="23"/>
      <c r="V45" s="73"/>
      <c r="W45" s="9"/>
      <c r="X45" s="9"/>
      <c r="Y45" s="23"/>
      <c r="Z45" s="68"/>
    </row>
    <row r="46">
      <c r="B46" s="57" t="str">
        <f t="shared" si="3"/>
        <v/>
      </c>
      <c r="C46" s="57"/>
      <c r="D46" s="58" t="str">
        <f>IFERROR(__xludf.DUMMYFUNCTION("if(isblank(indirect(""B""&amp;row())),,FILTER(SuperList,'Spell List'!$C$16:$C$184=indirect(""B""&amp;row())))"),"")</f>
        <v/>
      </c>
      <c r="E46" s="17"/>
      <c r="F46" s="59"/>
      <c r="G46" s="17"/>
      <c r="H46" s="60"/>
      <c r="I46" s="17"/>
      <c r="J46" s="59"/>
      <c r="K46" s="17"/>
      <c r="L46" s="59"/>
      <c r="M46" s="17"/>
      <c r="N46" s="59"/>
      <c r="O46" s="17"/>
      <c r="P46" s="59"/>
      <c r="Q46" s="17"/>
      <c r="R46" s="59"/>
      <c r="S46" s="17"/>
      <c r="T46" s="59"/>
      <c r="U46" s="17"/>
      <c r="V46" s="61"/>
      <c r="W46" s="3"/>
      <c r="X46" s="3"/>
      <c r="Y46" s="17"/>
      <c r="Z46" s="70"/>
    </row>
    <row r="47">
      <c r="B47" s="63" t="str">
        <f t="shared" si="3"/>
        <v/>
      </c>
      <c r="C47" s="63"/>
      <c r="D47" s="65" t="str">
        <f>IFERROR(__xludf.DUMMYFUNCTION("if(isblank(indirect(""B""&amp;row())),,FILTER(SuperList,'Spell List'!$C$16:$C$184=indirect(""B""&amp;row())))"),"")</f>
        <v/>
      </c>
      <c r="E47" s="23"/>
      <c r="F47" s="66"/>
      <c r="G47" s="23"/>
      <c r="H47" s="22"/>
      <c r="I47" s="23"/>
      <c r="J47" s="66"/>
      <c r="K47" s="23"/>
      <c r="L47" s="66"/>
      <c r="M47" s="23"/>
      <c r="N47" s="66"/>
      <c r="O47" s="23"/>
      <c r="P47" s="66"/>
      <c r="Q47" s="23"/>
      <c r="R47" s="66"/>
      <c r="S47" s="23"/>
      <c r="T47" s="66"/>
      <c r="U47" s="23"/>
      <c r="V47" s="73"/>
      <c r="W47" s="9"/>
      <c r="X47" s="9"/>
      <c r="Y47" s="23"/>
      <c r="Z47" s="68"/>
    </row>
    <row r="49">
      <c r="B49" s="51" t="s">
        <v>30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52" t="s">
        <v>14</v>
      </c>
      <c r="W49" s="3"/>
      <c r="X49" s="17"/>
      <c r="Y49" s="53" t="str">
        <f>SUM(Z51:Z60)&amp;"/"&amp;if(dget(base_spells,"3rd",F2:F3),dget(base_spells,"3rd",F2:F3)+dget(bonus_spells,"3rd",H2:H3),0)</f>
        <v>0/0</v>
      </c>
      <c r="Z49" s="43"/>
    </row>
    <row r="50">
      <c r="B50" s="55" t="s">
        <v>15</v>
      </c>
      <c r="C50" s="55"/>
      <c r="D50" s="56" t="s">
        <v>17</v>
      </c>
      <c r="E50" s="23"/>
      <c r="F50" s="56" t="s">
        <v>18</v>
      </c>
      <c r="G50" s="23"/>
      <c r="H50" s="56" t="s">
        <v>19</v>
      </c>
      <c r="I50" s="23"/>
      <c r="J50" s="56" t="s">
        <v>20</v>
      </c>
      <c r="K50" s="23"/>
      <c r="L50" s="56" t="s">
        <v>21</v>
      </c>
      <c r="M50" s="23"/>
      <c r="N50" s="56" t="s">
        <v>22</v>
      </c>
      <c r="O50" s="23"/>
      <c r="P50" s="56" t="s">
        <v>23</v>
      </c>
      <c r="Q50" s="23"/>
      <c r="R50" s="56" t="s">
        <v>24</v>
      </c>
      <c r="S50" s="23"/>
      <c r="T50" s="56" t="s">
        <v>25</v>
      </c>
      <c r="U50" s="23"/>
      <c r="V50" s="56" t="s">
        <v>26</v>
      </c>
      <c r="W50" s="9"/>
      <c r="X50" s="9"/>
      <c r="Y50" s="23"/>
      <c r="Z50" s="55" t="s">
        <v>38</v>
      </c>
    </row>
    <row r="51">
      <c r="B51" s="57" t="str">
        <f t="shared" ref="B51:B60" si="4">if(isblank(indirect("'Prepared Spells'!B"&amp;row())),,right(indirect("'Prepared Spells'!B"&amp;row()),len(indirect("'Prepared Spells'!B"&amp;row()))-2))</f>
        <v/>
      </c>
      <c r="C51" s="57"/>
      <c r="D51" s="58" t="str">
        <f>IFERROR(__xludf.DUMMYFUNCTION("if(isblank(indirect(""B""&amp;row())),,FILTER(SuperList,'Spell List'!$C$16:$C$184=indirect(""B""&amp;row())))"),"")</f>
        <v/>
      </c>
      <c r="E51" s="17"/>
      <c r="F51" s="59"/>
      <c r="G51" s="17"/>
      <c r="H51" s="60"/>
      <c r="I51" s="17"/>
      <c r="J51" s="59"/>
      <c r="K51" s="17"/>
      <c r="L51" s="59"/>
      <c r="M51" s="17"/>
      <c r="N51" s="59"/>
      <c r="O51" s="17"/>
      <c r="P51" s="59"/>
      <c r="Q51" s="17"/>
      <c r="R51" s="59"/>
      <c r="S51" s="17"/>
      <c r="T51" s="59"/>
      <c r="U51" s="17"/>
      <c r="V51" s="61"/>
      <c r="W51" s="3"/>
      <c r="X51" s="3"/>
      <c r="Y51" s="17"/>
      <c r="Z51" s="70"/>
    </row>
    <row r="52">
      <c r="B52" s="63" t="str">
        <f t="shared" si="4"/>
        <v/>
      </c>
      <c r="C52" s="63"/>
      <c r="D52" s="65" t="str">
        <f>IFERROR(__xludf.DUMMYFUNCTION("if(isblank(indirect(""B""&amp;row())),,FILTER(SuperList,'Spell List'!$C$16:$C$184=indirect(""B""&amp;row())))"),"")</f>
        <v/>
      </c>
      <c r="E52" s="23"/>
      <c r="F52" s="66"/>
      <c r="G52" s="23"/>
      <c r="H52" s="22"/>
      <c r="I52" s="23"/>
      <c r="J52" s="66"/>
      <c r="K52" s="23"/>
      <c r="L52" s="66"/>
      <c r="M52" s="23"/>
      <c r="N52" s="66"/>
      <c r="O52" s="23"/>
      <c r="P52" s="66"/>
      <c r="Q52" s="23"/>
      <c r="R52" s="66"/>
      <c r="S52" s="23"/>
      <c r="T52" s="66"/>
      <c r="U52" s="23"/>
      <c r="V52" s="73"/>
      <c r="W52" s="9"/>
      <c r="X52" s="9"/>
      <c r="Y52" s="23"/>
      <c r="Z52" s="68"/>
    </row>
    <row r="53">
      <c r="B53" s="57" t="str">
        <f t="shared" si="4"/>
        <v/>
      </c>
      <c r="C53" s="57"/>
      <c r="D53" s="58" t="str">
        <f>IFERROR(__xludf.DUMMYFUNCTION("if(isblank(indirect(""B""&amp;row())),,FILTER(SuperList,'Spell List'!$C$16:$C$184=indirect(""B""&amp;row())))"),"")</f>
        <v/>
      </c>
      <c r="E53" s="17"/>
      <c r="F53" s="59"/>
      <c r="G53" s="17"/>
      <c r="H53" s="60"/>
      <c r="I53" s="17"/>
      <c r="J53" s="59"/>
      <c r="K53" s="17"/>
      <c r="L53" s="59"/>
      <c r="M53" s="17"/>
      <c r="N53" s="59"/>
      <c r="O53" s="17"/>
      <c r="P53" s="59"/>
      <c r="Q53" s="17"/>
      <c r="R53" s="59"/>
      <c r="S53" s="17"/>
      <c r="T53" s="59"/>
      <c r="U53" s="17"/>
      <c r="V53" s="61"/>
      <c r="W53" s="3"/>
      <c r="X53" s="3"/>
      <c r="Y53" s="17"/>
      <c r="Z53" s="70"/>
    </row>
    <row r="54">
      <c r="B54" s="63" t="str">
        <f t="shared" si="4"/>
        <v/>
      </c>
      <c r="C54" s="63"/>
      <c r="D54" s="65" t="str">
        <f>IFERROR(__xludf.DUMMYFUNCTION("if(isblank(indirect(""B""&amp;row())),,FILTER(SuperList,'Spell List'!$C$16:$C$184=indirect(""B""&amp;row())))"),"")</f>
        <v/>
      </c>
      <c r="E54" s="23"/>
      <c r="F54" s="66"/>
      <c r="G54" s="23"/>
      <c r="H54" s="22"/>
      <c r="I54" s="23"/>
      <c r="J54" s="66"/>
      <c r="K54" s="23"/>
      <c r="L54" s="66"/>
      <c r="M54" s="23"/>
      <c r="N54" s="66"/>
      <c r="O54" s="23"/>
      <c r="P54" s="66"/>
      <c r="Q54" s="23"/>
      <c r="R54" s="66"/>
      <c r="S54" s="23"/>
      <c r="T54" s="66"/>
      <c r="U54" s="23"/>
      <c r="V54" s="73"/>
      <c r="W54" s="9"/>
      <c r="X54" s="9"/>
      <c r="Y54" s="23"/>
      <c r="Z54" s="68"/>
    </row>
    <row r="55">
      <c r="B55" s="57" t="str">
        <f t="shared" si="4"/>
        <v/>
      </c>
      <c r="C55" s="57"/>
      <c r="D55" s="58" t="str">
        <f>IFERROR(__xludf.DUMMYFUNCTION("if(isblank(indirect(""B""&amp;row())),,FILTER(SuperList,'Spell List'!$C$16:$C$184=indirect(""B""&amp;row())))"),"")</f>
        <v/>
      </c>
      <c r="E55" s="17"/>
      <c r="F55" s="59"/>
      <c r="G55" s="17"/>
      <c r="H55" s="60"/>
      <c r="I55" s="17"/>
      <c r="J55" s="59"/>
      <c r="K55" s="17"/>
      <c r="L55" s="59"/>
      <c r="M55" s="17"/>
      <c r="N55" s="59"/>
      <c r="O55" s="17"/>
      <c r="P55" s="59"/>
      <c r="Q55" s="17"/>
      <c r="R55" s="59"/>
      <c r="S55" s="17"/>
      <c r="T55" s="59"/>
      <c r="U55" s="17"/>
      <c r="V55" s="61"/>
      <c r="W55" s="3"/>
      <c r="X55" s="3"/>
      <c r="Y55" s="17"/>
      <c r="Z55" s="70"/>
    </row>
    <row r="56">
      <c r="B56" s="63" t="str">
        <f t="shared" si="4"/>
        <v/>
      </c>
      <c r="C56" s="63"/>
      <c r="D56" s="65" t="str">
        <f>IFERROR(__xludf.DUMMYFUNCTION("if(isblank(indirect(""B""&amp;row())),,FILTER(SuperList,'Spell List'!$C$16:$C$184=indirect(""B""&amp;row())))"),"")</f>
        <v/>
      </c>
      <c r="E56" s="23"/>
      <c r="F56" s="66"/>
      <c r="G56" s="23"/>
      <c r="H56" s="22"/>
      <c r="I56" s="23"/>
      <c r="J56" s="66"/>
      <c r="K56" s="23"/>
      <c r="L56" s="66"/>
      <c r="M56" s="23"/>
      <c r="N56" s="66"/>
      <c r="O56" s="23"/>
      <c r="P56" s="66"/>
      <c r="Q56" s="23"/>
      <c r="R56" s="66"/>
      <c r="S56" s="23"/>
      <c r="T56" s="66"/>
      <c r="U56" s="23"/>
      <c r="V56" s="73"/>
      <c r="W56" s="9"/>
      <c r="X56" s="9"/>
      <c r="Y56" s="23"/>
      <c r="Z56" s="68"/>
    </row>
    <row r="57">
      <c r="B57" s="57" t="str">
        <f t="shared" si="4"/>
        <v/>
      </c>
      <c r="C57" s="57"/>
      <c r="D57" s="58" t="str">
        <f>IFERROR(__xludf.DUMMYFUNCTION("if(isblank(indirect(""B""&amp;row())),,FILTER(SuperList,'Spell List'!$C$16:$C$184=indirect(""B""&amp;row())))"),"")</f>
        <v/>
      </c>
      <c r="E57" s="17"/>
      <c r="F57" s="59"/>
      <c r="G57" s="17"/>
      <c r="H57" s="60"/>
      <c r="I57" s="17"/>
      <c r="J57" s="59"/>
      <c r="K57" s="17"/>
      <c r="L57" s="59"/>
      <c r="M57" s="17"/>
      <c r="N57" s="59"/>
      <c r="O57" s="17"/>
      <c r="P57" s="59"/>
      <c r="Q57" s="17"/>
      <c r="R57" s="59"/>
      <c r="S57" s="17"/>
      <c r="T57" s="59"/>
      <c r="U57" s="17"/>
      <c r="V57" s="61"/>
      <c r="W57" s="3"/>
      <c r="X57" s="3"/>
      <c r="Y57" s="17"/>
      <c r="Z57" s="70"/>
    </row>
    <row r="58">
      <c r="B58" s="63" t="str">
        <f t="shared" si="4"/>
        <v/>
      </c>
      <c r="C58" s="63"/>
      <c r="D58" s="65" t="str">
        <f>IFERROR(__xludf.DUMMYFUNCTION("if(isblank(indirect(""B""&amp;row())),,FILTER(SuperList,'Spell List'!$C$16:$C$184=indirect(""B""&amp;row())))"),"")</f>
        <v/>
      </c>
      <c r="E58" s="23"/>
      <c r="F58" s="66"/>
      <c r="G58" s="23"/>
      <c r="H58" s="22"/>
      <c r="I58" s="23"/>
      <c r="J58" s="66"/>
      <c r="K58" s="23"/>
      <c r="L58" s="66"/>
      <c r="M58" s="23"/>
      <c r="N58" s="66"/>
      <c r="O58" s="23"/>
      <c r="P58" s="66"/>
      <c r="Q58" s="23"/>
      <c r="R58" s="66"/>
      <c r="S58" s="23"/>
      <c r="T58" s="66"/>
      <c r="U58" s="23"/>
      <c r="V58" s="73"/>
      <c r="W58" s="9"/>
      <c r="X58" s="9"/>
      <c r="Y58" s="23"/>
      <c r="Z58" s="68"/>
    </row>
    <row r="59">
      <c r="B59" s="57" t="str">
        <f t="shared" si="4"/>
        <v/>
      </c>
      <c r="C59" s="57"/>
      <c r="D59" s="58" t="str">
        <f>IFERROR(__xludf.DUMMYFUNCTION("if(isblank(indirect(""B""&amp;row())),,FILTER(SuperList,'Spell List'!$C$16:$C$184=indirect(""B""&amp;row())))"),"")</f>
        <v/>
      </c>
      <c r="E59" s="17"/>
      <c r="F59" s="59"/>
      <c r="G59" s="17"/>
      <c r="H59" s="60"/>
      <c r="I59" s="17"/>
      <c r="J59" s="59"/>
      <c r="K59" s="17"/>
      <c r="L59" s="59"/>
      <c r="M59" s="17"/>
      <c r="N59" s="59"/>
      <c r="O59" s="17"/>
      <c r="P59" s="59"/>
      <c r="Q59" s="17"/>
      <c r="R59" s="59"/>
      <c r="S59" s="17"/>
      <c r="T59" s="59"/>
      <c r="U59" s="17"/>
      <c r="V59" s="61"/>
      <c r="W59" s="3"/>
      <c r="X59" s="3"/>
      <c r="Y59" s="17"/>
      <c r="Z59" s="70"/>
    </row>
    <row r="60">
      <c r="B60" s="63" t="str">
        <f t="shared" si="4"/>
        <v/>
      </c>
      <c r="C60" s="63"/>
      <c r="D60" s="65" t="str">
        <f>IFERROR(__xludf.DUMMYFUNCTION("if(isblank(indirect(""B""&amp;row())),,FILTER(SuperList,'Spell List'!$C$16:$C$184=indirect(""B""&amp;row())))"),"")</f>
        <v/>
      </c>
      <c r="E60" s="23"/>
      <c r="F60" s="66"/>
      <c r="G60" s="23"/>
      <c r="H60" s="22"/>
      <c r="I60" s="23"/>
      <c r="J60" s="66"/>
      <c r="K60" s="23"/>
      <c r="L60" s="66"/>
      <c r="M60" s="23"/>
      <c r="N60" s="66"/>
      <c r="O60" s="23"/>
      <c r="P60" s="66"/>
      <c r="Q60" s="23"/>
      <c r="R60" s="66"/>
      <c r="S60" s="23"/>
      <c r="T60" s="66"/>
      <c r="U60" s="23"/>
      <c r="V60" s="73"/>
      <c r="W60" s="9"/>
      <c r="X60" s="9"/>
      <c r="Y60" s="23"/>
      <c r="Z60" s="68"/>
    </row>
    <row r="62">
      <c r="B62" s="51" t="s">
        <v>31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52" t="s">
        <v>14</v>
      </c>
      <c r="W62" s="3"/>
      <c r="X62" s="17"/>
      <c r="Y62" s="53" t="str">
        <f>SUM(Z64:Z73)&amp;"/"&amp;if(dget(base_spells,"4th",F2:F3),dget(base_spells,"4th",F2:F3)+dget(bonus_spells,"4th",H2:H3),0)</f>
        <v>0/0</v>
      </c>
      <c r="Z62" s="43"/>
    </row>
    <row r="63">
      <c r="B63" s="55" t="s">
        <v>15</v>
      </c>
      <c r="C63" s="55"/>
      <c r="D63" s="56" t="s">
        <v>17</v>
      </c>
      <c r="E63" s="23"/>
      <c r="F63" s="56" t="s">
        <v>18</v>
      </c>
      <c r="G63" s="23"/>
      <c r="H63" s="56" t="s">
        <v>19</v>
      </c>
      <c r="I63" s="23"/>
      <c r="J63" s="56" t="s">
        <v>20</v>
      </c>
      <c r="K63" s="23"/>
      <c r="L63" s="56" t="s">
        <v>21</v>
      </c>
      <c r="M63" s="23"/>
      <c r="N63" s="56" t="s">
        <v>22</v>
      </c>
      <c r="O63" s="23"/>
      <c r="P63" s="56" t="s">
        <v>23</v>
      </c>
      <c r="Q63" s="23"/>
      <c r="R63" s="56" t="s">
        <v>24</v>
      </c>
      <c r="S63" s="23"/>
      <c r="T63" s="56" t="s">
        <v>25</v>
      </c>
      <c r="U63" s="23"/>
      <c r="V63" s="56" t="s">
        <v>26</v>
      </c>
      <c r="W63" s="9"/>
      <c r="X63" s="9"/>
      <c r="Y63" s="23"/>
      <c r="Z63" s="55" t="s">
        <v>38</v>
      </c>
    </row>
    <row r="64">
      <c r="B64" s="57" t="str">
        <f t="shared" ref="B64:B73" si="5">if(isblank(indirect("'Prepared Spells'!B"&amp;row())),,right(indirect("'Prepared Spells'!B"&amp;row()),len(indirect("'Prepared Spells'!B"&amp;row()))-2))</f>
        <v/>
      </c>
      <c r="C64" s="57"/>
      <c r="D64" s="58" t="str">
        <f>IFERROR(__xludf.DUMMYFUNCTION("if(isblank(indirect(""B""&amp;row())),,FILTER(SuperList,'Spell List'!$C$16:$C$184=indirect(""B""&amp;row())))"),"")</f>
        <v/>
      </c>
      <c r="E64" s="17"/>
      <c r="F64" s="59"/>
      <c r="G64" s="17"/>
      <c r="H64" s="60"/>
      <c r="I64" s="17"/>
      <c r="J64" s="59"/>
      <c r="K64" s="17"/>
      <c r="L64" s="59"/>
      <c r="M64" s="17"/>
      <c r="N64" s="59"/>
      <c r="O64" s="17"/>
      <c r="P64" s="59"/>
      <c r="Q64" s="17"/>
      <c r="R64" s="59"/>
      <c r="S64" s="17"/>
      <c r="T64" s="59"/>
      <c r="U64" s="17"/>
      <c r="V64" s="61"/>
      <c r="W64" s="3"/>
      <c r="X64" s="3"/>
      <c r="Y64" s="17"/>
      <c r="Z64" s="70"/>
    </row>
    <row r="65">
      <c r="B65" s="63" t="str">
        <f t="shared" si="5"/>
        <v/>
      </c>
      <c r="C65" s="63"/>
      <c r="D65" s="65" t="str">
        <f>IFERROR(__xludf.DUMMYFUNCTION("if(isblank(indirect(""B""&amp;row())),,FILTER(SuperList,'Spell List'!$C$16:$C$184=indirect(""B""&amp;row())))"),"")</f>
        <v/>
      </c>
      <c r="E65" s="23"/>
      <c r="F65" s="66"/>
      <c r="G65" s="23"/>
      <c r="H65" s="22"/>
      <c r="I65" s="23"/>
      <c r="J65" s="66"/>
      <c r="K65" s="23"/>
      <c r="L65" s="66"/>
      <c r="M65" s="23"/>
      <c r="N65" s="66"/>
      <c r="O65" s="23"/>
      <c r="P65" s="66"/>
      <c r="Q65" s="23"/>
      <c r="R65" s="66"/>
      <c r="S65" s="23"/>
      <c r="T65" s="66"/>
      <c r="U65" s="23"/>
      <c r="V65" s="73"/>
      <c r="W65" s="9"/>
      <c r="X65" s="9"/>
      <c r="Y65" s="23"/>
      <c r="Z65" s="68"/>
    </row>
    <row r="66">
      <c r="B66" s="57" t="str">
        <f t="shared" si="5"/>
        <v/>
      </c>
      <c r="C66" s="57"/>
      <c r="D66" s="58" t="str">
        <f>IFERROR(__xludf.DUMMYFUNCTION("if(isblank(indirect(""B""&amp;row())),,FILTER(SuperList,'Spell List'!$C$16:$C$184=indirect(""B""&amp;row())))"),"")</f>
        <v/>
      </c>
      <c r="E66" s="17"/>
      <c r="F66" s="59"/>
      <c r="G66" s="17"/>
      <c r="H66" s="60"/>
      <c r="I66" s="17"/>
      <c r="J66" s="59"/>
      <c r="K66" s="17"/>
      <c r="L66" s="59"/>
      <c r="M66" s="17"/>
      <c r="N66" s="59"/>
      <c r="O66" s="17"/>
      <c r="P66" s="59"/>
      <c r="Q66" s="17"/>
      <c r="R66" s="59"/>
      <c r="S66" s="17"/>
      <c r="T66" s="59"/>
      <c r="U66" s="17"/>
      <c r="V66" s="61"/>
      <c r="W66" s="3"/>
      <c r="X66" s="3"/>
      <c r="Y66" s="17"/>
      <c r="Z66" s="70"/>
    </row>
    <row r="67">
      <c r="B67" s="63" t="str">
        <f t="shared" si="5"/>
        <v/>
      </c>
      <c r="C67" s="63"/>
      <c r="D67" s="65" t="str">
        <f>IFERROR(__xludf.DUMMYFUNCTION("if(isblank(indirect(""B""&amp;row())),,FILTER(SuperList,'Spell List'!$C$16:$C$184=indirect(""B""&amp;row())))"),"")</f>
        <v/>
      </c>
      <c r="E67" s="23"/>
      <c r="F67" s="66"/>
      <c r="G67" s="23"/>
      <c r="H67" s="22"/>
      <c r="I67" s="23"/>
      <c r="J67" s="66"/>
      <c r="K67" s="23"/>
      <c r="L67" s="66"/>
      <c r="M67" s="23"/>
      <c r="N67" s="66"/>
      <c r="O67" s="23"/>
      <c r="P67" s="66"/>
      <c r="Q67" s="23"/>
      <c r="R67" s="66"/>
      <c r="S67" s="23"/>
      <c r="T67" s="66"/>
      <c r="U67" s="23"/>
      <c r="V67" s="73"/>
      <c r="W67" s="9"/>
      <c r="X67" s="9"/>
      <c r="Y67" s="23"/>
      <c r="Z67" s="68"/>
    </row>
    <row r="68">
      <c r="B68" s="57" t="str">
        <f t="shared" si="5"/>
        <v/>
      </c>
      <c r="C68" s="57"/>
      <c r="D68" s="58" t="str">
        <f>IFERROR(__xludf.DUMMYFUNCTION("if(isblank(indirect(""B""&amp;row())),,FILTER(SuperList,'Spell List'!$C$16:$C$184=indirect(""B""&amp;row())))"),"")</f>
        <v/>
      </c>
      <c r="E68" s="17"/>
      <c r="F68" s="59"/>
      <c r="G68" s="17"/>
      <c r="H68" s="60"/>
      <c r="I68" s="17"/>
      <c r="J68" s="59"/>
      <c r="K68" s="17"/>
      <c r="L68" s="59"/>
      <c r="M68" s="17"/>
      <c r="N68" s="59"/>
      <c r="O68" s="17"/>
      <c r="P68" s="59"/>
      <c r="Q68" s="17"/>
      <c r="R68" s="59"/>
      <c r="S68" s="17"/>
      <c r="T68" s="59"/>
      <c r="U68" s="17"/>
      <c r="V68" s="61"/>
      <c r="W68" s="3"/>
      <c r="X68" s="3"/>
      <c r="Y68" s="17"/>
      <c r="Z68" s="70"/>
    </row>
    <row r="69">
      <c r="B69" s="63" t="str">
        <f t="shared" si="5"/>
        <v/>
      </c>
      <c r="C69" s="63"/>
      <c r="D69" s="65" t="str">
        <f>IFERROR(__xludf.DUMMYFUNCTION("if(isblank(indirect(""B""&amp;row())),,FILTER(SuperList,'Spell List'!$C$16:$C$184=indirect(""B""&amp;row())))"),"")</f>
        <v/>
      </c>
      <c r="E69" s="23"/>
      <c r="F69" s="66"/>
      <c r="G69" s="23"/>
      <c r="H69" s="22"/>
      <c r="I69" s="23"/>
      <c r="J69" s="66"/>
      <c r="K69" s="23"/>
      <c r="L69" s="66"/>
      <c r="M69" s="23"/>
      <c r="N69" s="66"/>
      <c r="O69" s="23"/>
      <c r="P69" s="66"/>
      <c r="Q69" s="23"/>
      <c r="R69" s="66"/>
      <c r="S69" s="23"/>
      <c r="T69" s="66"/>
      <c r="U69" s="23"/>
      <c r="V69" s="73"/>
      <c r="W69" s="9"/>
      <c r="X69" s="9"/>
      <c r="Y69" s="23"/>
      <c r="Z69" s="68"/>
    </row>
    <row r="70">
      <c r="B70" s="57" t="str">
        <f t="shared" si="5"/>
        <v/>
      </c>
      <c r="C70" s="57"/>
      <c r="D70" s="58" t="str">
        <f>IFERROR(__xludf.DUMMYFUNCTION("if(isblank(indirect(""B""&amp;row())),,FILTER(SuperList,'Spell List'!$C$16:$C$184=indirect(""B""&amp;row())))"),"")</f>
        <v/>
      </c>
      <c r="E70" s="17"/>
      <c r="F70" s="59"/>
      <c r="G70" s="17"/>
      <c r="H70" s="60"/>
      <c r="I70" s="17"/>
      <c r="J70" s="59"/>
      <c r="K70" s="17"/>
      <c r="L70" s="59"/>
      <c r="M70" s="17"/>
      <c r="N70" s="59"/>
      <c r="O70" s="17"/>
      <c r="P70" s="59"/>
      <c r="Q70" s="17"/>
      <c r="R70" s="59"/>
      <c r="S70" s="17"/>
      <c r="T70" s="59"/>
      <c r="U70" s="17"/>
      <c r="V70" s="61"/>
      <c r="W70" s="3"/>
      <c r="X70" s="3"/>
      <c r="Y70" s="17"/>
      <c r="Z70" s="70"/>
    </row>
    <row r="71">
      <c r="B71" s="63" t="str">
        <f t="shared" si="5"/>
        <v/>
      </c>
      <c r="C71" s="63"/>
      <c r="D71" s="65" t="str">
        <f>IFERROR(__xludf.DUMMYFUNCTION("if(isblank(indirect(""B""&amp;row())),,FILTER(SuperList,'Spell List'!$C$16:$C$184=indirect(""B""&amp;row())))"),"")</f>
        <v/>
      </c>
      <c r="E71" s="23"/>
      <c r="F71" s="66"/>
      <c r="G71" s="23"/>
      <c r="H71" s="22"/>
      <c r="I71" s="23"/>
      <c r="J71" s="66"/>
      <c r="K71" s="23"/>
      <c r="L71" s="66"/>
      <c r="M71" s="23"/>
      <c r="N71" s="66"/>
      <c r="O71" s="23"/>
      <c r="P71" s="66"/>
      <c r="Q71" s="23"/>
      <c r="R71" s="66"/>
      <c r="S71" s="23"/>
      <c r="T71" s="66"/>
      <c r="U71" s="23"/>
      <c r="V71" s="73"/>
      <c r="W71" s="9"/>
      <c r="X71" s="9"/>
      <c r="Y71" s="23"/>
      <c r="Z71" s="68"/>
    </row>
    <row r="72">
      <c r="B72" s="57" t="str">
        <f t="shared" si="5"/>
        <v/>
      </c>
      <c r="C72" s="57"/>
      <c r="D72" s="58" t="str">
        <f>IFERROR(__xludf.DUMMYFUNCTION("if(isblank(indirect(""B""&amp;row())),,FILTER(SuperList,'Spell List'!$C$16:$C$184=indirect(""B""&amp;row())))"),"")</f>
        <v/>
      </c>
      <c r="E72" s="17"/>
      <c r="F72" s="59"/>
      <c r="G72" s="17"/>
      <c r="H72" s="60"/>
      <c r="I72" s="17"/>
      <c r="J72" s="59"/>
      <c r="K72" s="17"/>
      <c r="L72" s="59"/>
      <c r="M72" s="17"/>
      <c r="N72" s="59"/>
      <c r="O72" s="17"/>
      <c r="P72" s="59"/>
      <c r="Q72" s="17"/>
      <c r="R72" s="59"/>
      <c r="S72" s="17"/>
      <c r="T72" s="59"/>
      <c r="U72" s="17"/>
      <c r="V72" s="61"/>
      <c r="W72" s="3"/>
      <c r="X72" s="3"/>
      <c r="Y72" s="17"/>
      <c r="Z72" s="70"/>
    </row>
    <row r="73">
      <c r="B73" s="63" t="str">
        <f t="shared" si="5"/>
        <v/>
      </c>
      <c r="C73" s="63"/>
      <c r="D73" s="65" t="str">
        <f>IFERROR(__xludf.DUMMYFUNCTION("if(isblank(indirect(""B""&amp;row())),,FILTER(SuperList,'Spell List'!$C$16:$C$184=indirect(""B""&amp;row())))"),"")</f>
        <v/>
      </c>
      <c r="E73" s="23"/>
      <c r="F73" s="66"/>
      <c r="G73" s="23"/>
      <c r="H73" s="22"/>
      <c r="I73" s="23"/>
      <c r="J73" s="66"/>
      <c r="K73" s="23"/>
      <c r="L73" s="66"/>
      <c r="M73" s="23"/>
      <c r="N73" s="66"/>
      <c r="O73" s="23"/>
      <c r="P73" s="66"/>
      <c r="Q73" s="23"/>
      <c r="R73" s="66"/>
      <c r="S73" s="23"/>
      <c r="T73" s="66"/>
      <c r="U73" s="23"/>
      <c r="V73" s="73"/>
      <c r="W73" s="9"/>
      <c r="X73" s="9"/>
      <c r="Y73" s="23"/>
      <c r="Z73" s="68"/>
    </row>
    <row r="75">
      <c r="B75" s="51" t="s">
        <v>32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52" t="s">
        <v>14</v>
      </c>
      <c r="W75" s="3"/>
      <c r="X75" s="17"/>
      <c r="Y75" s="53" t="str">
        <f>SUM(Z77:Z86)&amp;"/"&amp;if(dget(base_spells,"5th",F2:F3),dget(base_spells,"5th",F2:F3)+dget(bonus_spells,"5th",H2:H3),0)</f>
        <v>0/0</v>
      </c>
      <c r="Z75" s="43"/>
    </row>
    <row r="76">
      <c r="B76" s="55" t="s">
        <v>15</v>
      </c>
      <c r="C76" s="55"/>
      <c r="D76" s="56" t="s">
        <v>17</v>
      </c>
      <c r="E76" s="23"/>
      <c r="F76" s="56" t="s">
        <v>18</v>
      </c>
      <c r="G76" s="23"/>
      <c r="H76" s="56" t="s">
        <v>19</v>
      </c>
      <c r="I76" s="23"/>
      <c r="J76" s="56" t="s">
        <v>20</v>
      </c>
      <c r="K76" s="23"/>
      <c r="L76" s="56" t="s">
        <v>21</v>
      </c>
      <c r="M76" s="23"/>
      <c r="N76" s="56" t="s">
        <v>22</v>
      </c>
      <c r="O76" s="23"/>
      <c r="P76" s="56" t="s">
        <v>23</v>
      </c>
      <c r="Q76" s="23"/>
      <c r="R76" s="56" t="s">
        <v>24</v>
      </c>
      <c r="S76" s="23"/>
      <c r="T76" s="56" t="s">
        <v>25</v>
      </c>
      <c r="U76" s="23"/>
      <c r="V76" s="56" t="s">
        <v>26</v>
      </c>
      <c r="W76" s="9"/>
      <c r="X76" s="9"/>
      <c r="Y76" s="23"/>
      <c r="Z76" s="55" t="s">
        <v>38</v>
      </c>
    </row>
    <row r="77">
      <c r="B77" s="57" t="str">
        <f t="shared" ref="B77:B86" si="6">if(isblank(indirect("'Prepared Spells'!B"&amp;row())),,right(indirect("'Prepared Spells'!B"&amp;row()),len(indirect("'Prepared Spells'!B"&amp;row()))-2))</f>
        <v/>
      </c>
      <c r="C77" s="57"/>
      <c r="D77" s="58" t="str">
        <f>IFERROR(__xludf.DUMMYFUNCTION("if(isblank(indirect(""B""&amp;row())),,FILTER(SuperList,'Spell List'!$C$16:$C$184=indirect(""B""&amp;row())))"),"")</f>
        <v/>
      </c>
      <c r="E77" s="17"/>
      <c r="F77" s="59"/>
      <c r="G77" s="17"/>
      <c r="H77" s="60"/>
      <c r="I77" s="17"/>
      <c r="J77" s="59"/>
      <c r="K77" s="17"/>
      <c r="L77" s="59"/>
      <c r="M77" s="17"/>
      <c r="N77" s="59"/>
      <c r="O77" s="17"/>
      <c r="P77" s="59"/>
      <c r="Q77" s="17"/>
      <c r="R77" s="59"/>
      <c r="S77" s="17"/>
      <c r="T77" s="59"/>
      <c r="U77" s="17"/>
      <c r="V77" s="61"/>
      <c r="W77" s="3"/>
      <c r="X77" s="3"/>
      <c r="Y77" s="17"/>
      <c r="Z77" s="70"/>
    </row>
    <row r="78">
      <c r="B78" s="63" t="str">
        <f t="shared" si="6"/>
        <v/>
      </c>
      <c r="C78" s="63"/>
      <c r="D78" s="65" t="str">
        <f>IFERROR(__xludf.DUMMYFUNCTION("if(isblank(indirect(""B""&amp;row())),,FILTER(SuperList,'Spell List'!$C$16:$C$184=indirect(""B""&amp;row())))"),"")</f>
        <v/>
      </c>
      <c r="E78" s="23"/>
      <c r="F78" s="66"/>
      <c r="G78" s="23"/>
      <c r="H78" s="22"/>
      <c r="I78" s="23"/>
      <c r="J78" s="66"/>
      <c r="K78" s="23"/>
      <c r="L78" s="66"/>
      <c r="M78" s="23"/>
      <c r="N78" s="66"/>
      <c r="O78" s="23"/>
      <c r="P78" s="66"/>
      <c r="Q78" s="23"/>
      <c r="R78" s="66"/>
      <c r="S78" s="23"/>
      <c r="T78" s="66"/>
      <c r="U78" s="23"/>
      <c r="V78" s="73"/>
      <c r="W78" s="9"/>
      <c r="X78" s="9"/>
      <c r="Y78" s="23"/>
      <c r="Z78" s="68"/>
    </row>
    <row r="79">
      <c r="B79" s="57" t="str">
        <f t="shared" si="6"/>
        <v/>
      </c>
      <c r="C79" s="57"/>
      <c r="D79" s="58" t="str">
        <f>IFERROR(__xludf.DUMMYFUNCTION("if(isblank(indirect(""B""&amp;row())),,FILTER(SuperList,'Spell List'!$C$16:$C$184=indirect(""B""&amp;row())))"),"")</f>
        <v/>
      </c>
      <c r="E79" s="17"/>
      <c r="F79" s="59"/>
      <c r="G79" s="17"/>
      <c r="H79" s="60"/>
      <c r="I79" s="17"/>
      <c r="J79" s="59"/>
      <c r="K79" s="17"/>
      <c r="L79" s="59"/>
      <c r="M79" s="17"/>
      <c r="N79" s="59"/>
      <c r="O79" s="17"/>
      <c r="P79" s="59"/>
      <c r="Q79" s="17"/>
      <c r="R79" s="59"/>
      <c r="S79" s="17"/>
      <c r="T79" s="59"/>
      <c r="U79" s="17"/>
      <c r="V79" s="61"/>
      <c r="W79" s="3"/>
      <c r="X79" s="3"/>
      <c r="Y79" s="17"/>
      <c r="Z79" s="70"/>
    </row>
    <row r="80">
      <c r="B80" s="63" t="str">
        <f t="shared" si="6"/>
        <v/>
      </c>
      <c r="C80" s="63"/>
      <c r="D80" s="65" t="str">
        <f>IFERROR(__xludf.DUMMYFUNCTION("if(isblank(indirect(""B""&amp;row())),,FILTER(SuperList,'Spell List'!$C$16:$C$184=indirect(""B""&amp;row())))"),"")</f>
        <v/>
      </c>
      <c r="E80" s="23"/>
      <c r="F80" s="66"/>
      <c r="G80" s="23"/>
      <c r="H80" s="22"/>
      <c r="I80" s="23"/>
      <c r="J80" s="66"/>
      <c r="K80" s="23"/>
      <c r="L80" s="66"/>
      <c r="M80" s="23"/>
      <c r="N80" s="66"/>
      <c r="O80" s="23"/>
      <c r="P80" s="66"/>
      <c r="Q80" s="23"/>
      <c r="R80" s="66"/>
      <c r="S80" s="23"/>
      <c r="T80" s="66"/>
      <c r="U80" s="23"/>
      <c r="V80" s="73"/>
      <c r="W80" s="9"/>
      <c r="X80" s="9"/>
      <c r="Y80" s="23"/>
      <c r="Z80" s="68"/>
    </row>
    <row r="81">
      <c r="B81" s="57" t="str">
        <f t="shared" si="6"/>
        <v/>
      </c>
      <c r="C81" s="57"/>
      <c r="D81" s="58" t="str">
        <f>IFERROR(__xludf.DUMMYFUNCTION("if(isblank(indirect(""B""&amp;row())),,FILTER(SuperList,'Spell List'!$C$16:$C$184=indirect(""B""&amp;row())))"),"")</f>
        <v/>
      </c>
      <c r="E81" s="17"/>
      <c r="F81" s="59"/>
      <c r="G81" s="17"/>
      <c r="H81" s="60"/>
      <c r="I81" s="17"/>
      <c r="J81" s="59"/>
      <c r="K81" s="17"/>
      <c r="L81" s="59"/>
      <c r="M81" s="17"/>
      <c r="N81" s="59"/>
      <c r="O81" s="17"/>
      <c r="P81" s="59"/>
      <c r="Q81" s="17"/>
      <c r="R81" s="59"/>
      <c r="S81" s="17"/>
      <c r="T81" s="59"/>
      <c r="U81" s="17"/>
      <c r="V81" s="61"/>
      <c r="W81" s="3"/>
      <c r="X81" s="3"/>
      <c r="Y81" s="17"/>
      <c r="Z81" s="70"/>
    </row>
    <row r="82">
      <c r="B82" s="63" t="str">
        <f t="shared" si="6"/>
        <v/>
      </c>
      <c r="C82" s="63"/>
      <c r="D82" s="65" t="str">
        <f>IFERROR(__xludf.DUMMYFUNCTION("if(isblank(indirect(""B""&amp;row())),,FILTER(SuperList,'Spell List'!$C$16:$C$184=indirect(""B""&amp;row())))"),"")</f>
        <v/>
      </c>
      <c r="E82" s="23"/>
      <c r="F82" s="66"/>
      <c r="G82" s="23"/>
      <c r="H82" s="22"/>
      <c r="I82" s="23"/>
      <c r="J82" s="66"/>
      <c r="K82" s="23"/>
      <c r="L82" s="66"/>
      <c r="M82" s="23"/>
      <c r="N82" s="66"/>
      <c r="O82" s="23"/>
      <c r="P82" s="66"/>
      <c r="Q82" s="23"/>
      <c r="R82" s="66"/>
      <c r="S82" s="23"/>
      <c r="T82" s="66"/>
      <c r="U82" s="23"/>
      <c r="V82" s="73"/>
      <c r="W82" s="9"/>
      <c r="X82" s="9"/>
      <c r="Y82" s="23"/>
      <c r="Z82" s="68"/>
    </row>
    <row r="83">
      <c r="B83" s="57" t="str">
        <f t="shared" si="6"/>
        <v/>
      </c>
      <c r="C83" s="57"/>
      <c r="D83" s="58" t="str">
        <f>IFERROR(__xludf.DUMMYFUNCTION("if(isblank(indirect(""B""&amp;row())),,FILTER(SuperList,'Spell List'!$C$16:$C$184=indirect(""B""&amp;row())))"),"")</f>
        <v/>
      </c>
      <c r="E83" s="17"/>
      <c r="F83" s="59"/>
      <c r="G83" s="17"/>
      <c r="H83" s="60"/>
      <c r="I83" s="17"/>
      <c r="J83" s="59"/>
      <c r="K83" s="17"/>
      <c r="L83" s="59"/>
      <c r="M83" s="17"/>
      <c r="N83" s="59"/>
      <c r="O83" s="17"/>
      <c r="P83" s="59"/>
      <c r="Q83" s="17"/>
      <c r="R83" s="59"/>
      <c r="S83" s="17"/>
      <c r="T83" s="59"/>
      <c r="U83" s="17"/>
      <c r="V83" s="61"/>
      <c r="W83" s="3"/>
      <c r="X83" s="3"/>
      <c r="Y83" s="17"/>
      <c r="Z83" s="70"/>
    </row>
    <row r="84">
      <c r="B84" s="63" t="str">
        <f t="shared" si="6"/>
        <v/>
      </c>
      <c r="C84" s="63"/>
      <c r="D84" s="65" t="str">
        <f>IFERROR(__xludf.DUMMYFUNCTION("if(isblank(indirect(""B""&amp;row())),,FILTER(SuperList,'Spell List'!$C$16:$C$184=indirect(""B""&amp;row())))"),"")</f>
        <v/>
      </c>
      <c r="E84" s="23"/>
      <c r="F84" s="66"/>
      <c r="G84" s="23"/>
      <c r="H84" s="22"/>
      <c r="I84" s="23"/>
      <c r="J84" s="66"/>
      <c r="K84" s="23"/>
      <c r="L84" s="66"/>
      <c r="M84" s="23"/>
      <c r="N84" s="66"/>
      <c r="O84" s="23"/>
      <c r="P84" s="66"/>
      <c r="Q84" s="23"/>
      <c r="R84" s="66"/>
      <c r="S84" s="23"/>
      <c r="T84" s="66"/>
      <c r="U84" s="23"/>
      <c r="V84" s="73"/>
      <c r="W84" s="9"/>
      <c r="X84" s="9"/>
      <c r="Y84" s="23"/>
      <c r="Z84" s="68"/>
    </row>
    <row r="85">
      <c r="B85" s="57" t="str">
        <f t="shared" si="6"/>
        <v/>
      </c>
      <c r="C85" s="57"/>
      <c r="D85" s="58" t="str">
        <f>IFERROR(__xludf.DUMMYFUNCTION("if(isblank(indirect(""B""&amp;row())),,FILTER(SuperList,'Spell List'!$C$16:$C$184=indirect(""B""&amp;row())))"),"")</f>
        <v/>
      </c>
      <c r="E85" s="17"/>
      <c r="F85" s="59"/>
      <c r="G85" s="17"/>
      <c r="H85" s="60"/>
      <c r="I85" s="17"/>
      <c r="J85" s="59"/>
      <c r="K85" s="17"/>
      <c r="L85" s="59"/>
      <c r="M85" s="17"/>
      <c r="N85" s="59"/>
      <c r="O85" s="17"/>
      <c r="P85" s="59"/>
      <c r="Q85" s="17"/>
      <c r="R85" s="59"/>
      <c r="S85" s="17"/>
      <c r="T85" s="59"/>
      <c r="U85" s="17"/>
      <c r="V85" s="61"/>
      <c r="W85" s="3"/>
      <c r="X85" s="3"/>
      <c r="Y85" s="17"/>
      <c r="Z85" s="70"/>
    </row>
    <row r="86">
      <c r="B86" s="63" t="str">
        <f t="shared" si="6"/>
        <v/>
      </c>
      <c r="C86" s="63"/>
      <c r="D86" s="65" t="str">
        <f>IFERROR(__xludf.DUMMYFUNCTION("if(isblank(indirect(""B""&amp;row())),,FILTER(SuperList,'Spell List'!$C$16:$C$184=indirect(""B""&amp;row())))"),"")</f>
        <v/>
      </c>
      <c r="E86" s="23"/>
      <c r="F86" s="66"/>
      <c r="G86" s="23"/>
      <c r="H86" s="22"/>
      <c r="I86" s="23"/>
      <c r="J86" s="66"/>
      <c r="K86" s="23"/>
      <c r="L86" s="66"/>
      <c r="M86" s="23"/>
      <c r="N86" s="66"/>
      <c r="O86" s="23"/>
      <c r="P86" s="66"/>
      <c r="Q86" s="23"/>
      <c r="R86" s="66"/>
      <c r="S86" s="23"/>
      <c r="T86" s="66"/>
      <c r="U86" s="23"/>
      <c r="V86" s="73"/>
      <c r="W86" s="9"/>
      <c r="X86" s="9"/>
      <c r="Y86" s="23"/>
      <c r="Z86" s="68"/>
    </row>
    <row r="88">
      <c r="B88" s="51" t="s">
        <v>33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52" t="s">
        <v>14</v>
      </c>
      <c r="W88" s="3"/>
      <c r="X88" s="17"/>
      <c r="Y88" s="53" t="str">
        <f>SUM(Z90:Z99)&amp;"/"&amp;if(dget(base_spells,"6th",F2:F3),dget(base_spells,"6th",F2:F3)+dget(bonus_spells,"6th",H2:H3),0)</f>
        <v>0/0</v>
      </c>
      <c r="Z88" s="43"/>
    </row>
    <row r="89">
      <c r="B89" s="55" t="s">
        <v>15</v>
      </c>
      <c r="C89" s="55"/>
      <c r="D89" s="56" t="s">
        <v>17</v>
      </c>
      <c r="E89" s="23"/>
      <c r="F89" s="56" t="s">
        <v>18</v>
      </c>
      <c r="G89" s="23"/>
      <c r="H89" s="56" t="s">
        <v>19</v>
      </c>
      <c r="I89" s="23"/>
      <c r="J89" s="56" t="s">
        <v>20</v>
      </c>
      <c r="K89" s="23"/>
      <c r="L89" s="56" t="s">
        <v>21</v>
      </c>
      <c r="M89" s="23"/>
      <c r="N89" s="56" t="s">
        <v>22</v>
      </c>
      <c r="O89" s="23"/>
      <c r="P89" s="56" t="s">
        <v>23</v>
      </c>
      <c r="Q89" s="23"/>
      <c r="R89" s="56" t="s">
        <v>24</v>
      </c>
      <c r="S89" s="23"/>
      <c r="T89" s="56" t="s">
        <v>25</v>
      </c>
      <c r="U89" s="23"/>
      <c r="V89" s="56" t="s">
        <v>26</v>
      </c>
      <c r="W89" s="9"/>
      <c r="X89" s="9"/>
      <c r="Y89" s="23"/>
      <c r="Z89" s="55" t="s">
        <v>38</v>
      </c>
    </row>
    <row r="90">
      <c r="B90" s="57" t="str">
        <f t="shared" ref="B90:B99" si="7">if(isblank(indirect("'Prepared Spells'!B"&amp;row())),,right(indirect("'Prepared Spells'!B"&amp;row()),len(indirect("'Prepared Spells'!B"&amp;row()))-2))</f>
        <v/>
      </c>
      <c r="C90" s="57"/>
      <c r="D90" s="58" t="str">
        <f>IFERROR(__xludf.DUMMYFUNCTION("if(isblank(indirect(""B""&amp;row())),,FILTER(SuperList,'Spell List'!$C$16:$C$184=indirect(""B""&amp;row())))"),"")</f>
        <v/>
      </c>
      <c r="E90" s="17"/>
      <c r="F90" s="59"/>
      <c r="G90" s="17"/>
      <c r="H90" s="60"/>
      <c r="I90" s="17"/>
      <c r="J90" s="59"/>
      <c r="K90" s="17"/>
      <c r="L90" s="59"/>
      <c r="M90" s="17"/>
      <c r="N90" s="59"/>
      <c r="O90" s="17"/>
      <c r="P90" s="59"/>
      <c r="Q90" s="17"/>
      <c r="R90" s="59"/>
      <c r="S90" s="17"/>
      <c r="T90" s="59"/>
      <c r="U90" s="17"/>
      <c r="V90" s="61"/>
      <c r="W90" s="3"/>
      <c r="X90" s="3"/>
      <c r="Y90" s="17"/>
      <c r="Z90" s="70"/>
    </row>
    <row r="91">
      <c r="B91" s="63" t="str">
        <f t="shared" si="7"/>
        <v/>
      </c>
      <c r="C91" s="63"/>
      <c r="D91" s="65" t="str">
        <f>IFERROR(__xludf.DUMMYFUNCTION("if(isblank(indirect(""B""&amp;row())),,FILTER(SuperList,'Spell List'!$C$16:$C$184=indirect(""B""&amp;row())))"),"")</f>
        <v/>
      </c>
      <c r="E91" s="23"/>
      <c r="F91" s="66"/>
      <c r="G91" s="23"/>
      <c r="H91" s="22"/>
      <c r="I91" s="23"/>
      <c r="J91" s="66"/>
      <c r="K91" s="23"/>
      <c r="L91" s="66"/>
      <c r="M91" s="23"/>
      <c r="N91" s="66"/>
      <c r="O91" s="23"/>
      <c r="P91" s="66"/>
      <c r="Q91" s="23"/>
      <c r="R91" s="66"/>
      <c r="S91" s="23"/>
      <c r="T91" s="66"/>
      <c r="U91" s="23"/>
      <c r="V91" s="73"/>
      <c r="W91" s="9"/>
      <c r="X91" s="9"/>
      <c r="Y91" s="23"/>
      <c r="Z91" s="68"/>
    </row>
    <row r="92">
      <c r="B92" s="57" t="str">
        <f t="shared" si="7"/>
        <v/>
      </c>
      <c r="C92" s="57"/>
      <c r="D92" s="58" t="str">
        <f>IFERROR(__xludf.DUMMYFUNCTION("if(isblank(indirect(""B""&amp;row())),,FILTER(SuperList,'Spell List'!$C$16:$C$184=indirect(""B""&amp;row())))"),"")</f>
        <v/>
      </c>
      <c r="E92" s="17"/>
      <c r="F92" s="59"/>
      <c r="G92" s="17"/>
      <c r="H92" s="60"/>
      <c r="I92" s="17"/>
      <c r="J92" s="59"/>
      <c r="K92" s="17"/>
      <c r="L92" s="59"/>
      <c r="M92" s="17"/>
      <c r="N92" s="59"/>
      <c r="O92" s="17"/>
      <c r="P92" s="59"/>
      <c r="Q92" s="17"/>
      <c r="R92" s="59"/>
      <c r="S92" s="17"/>
      <c r="T92" s="59"/>
      <c r="U92" s="17"/>
      <c r="V92" s="61"/>
      <c r="W92" s="3"/>
      <c r="X92" s="3"/>
      <c r="Y92" s="17"/>
      <c r="Z92" s="70"/>
    </row>
    <row r="93">
      <c r="B93" s="63" t="str">
        <f t="shared" si="7"/>
        <v/>
      </c>
      <c r="C93" s="63"/>
      <c r="D93" s="65" t="str">
        <f>IFERROR(__xludf.DUMMYFUNCTION("if(isblank(indirect(""B""&amp;row())),,FILTER(SuperList,'Spell List'!$C$16:$C$184=indirect(""B""&amp;row())))"),"")</f>
        <v/>
      </c>
      <c r="E93" s="23"/>
      <c r="F93" s="66"/>
      <c r="G93" s="23"/>
      <c r="H93" s="22"/>
      <c r="I93" s="23"/>
      <c r="J93" s="66"/>
      <c r="K93" s="23"/>
      <c r="L93" s="66"/>
      <c r="M93" s="23"/>
      <c r="N93" s="66"/>
      <c r="O93" s="23"/>
      <c r="P93" s="66"/>
      <c r="Q93" s="23"/>
      <c r="R93" s="66"/>
      <c r="S93" s="23"/>
      <c r="T93" s="66"/>
      <c r="U93" s="23"/>
      <c r="V93" s="73"/>
      <c r="W93" s="9"/>
      <c r="X93" s="9"/>
      <c r="Y93" s="23"/>
      <c r="Z93" s="68"/>
    </row>
    <row r="94">
      <c r="B94" s="57" t="str">
        <f t="shared" si="7"/>
        <v/>
      </c>
      <c r="C94" s="57"/>
      <c r="D94" s="58" t="str">
        <f>IFERROR(__xludf.DUMMYFUNCTION("if(isblank(indirect(""B""&amp;row())),,FILTER(SuperList,'Spell List'!$C$16:$C$184=indirect(""B""&amp;row())))"),"")</f>
        <v/>
      </c>
      <c r="E94" s="17"/>
      <c r="F94" s="59"/>
      <c r="G94" s="17"/>
      <c r="H94" s="60"/>
      <c r="I94" s="17"/>
      <c r="J94" s="59"/>
      <c r="K94" s="17"/>
      <c r="L94" s="59"/>
      <c r="M94" s="17"/>
      <c r="N94" s="59"/>
      <c r="O94" s="17"/>
      <c r="P94" s="59"/>
      <c r="Q94" s="17"/>
      <c r="R94" s="59"/>
      <c r="S94" s="17"/>
      <c r="T94" s="59"/>
      <c r="U94" s="17"/>
      <c r="V94" s="61"/>
      <c r="W94" s="3"/>
      <c r="X94" s="3"/>
      <c r="Y94" s="17"/>
      <c r="Z94" s="70"/>
    </row>
    <row r="95">
      <c r="B95" s="63" t="str">
        <f t="shared" si="7"/>
        <v/>
      </c>
      <c r="C95" s="63"/>
      <c r="D95" s="65" t="str">
        <f>IFERROR(__xludf.DUMMYFUNCTION("if(isblank(indirect(""B""&amp;row())),,FILTER(SuperList,'Spell List'!$C$16:$C$184=indirect(""B""&amp;row())))"),"")</f>
        <v/>
      </c>
      <c r="E95" s="23"/>
      <c r="F95" s="66"/>
      <c r="G95" s="23"/>
      <c r="H95" s="22"/>
      <c r="I95" s="23"/>
      <c r="J95" s="66"/>
      <c r="K95" s="23"/>
      <c r="L95" s="66"/>
      <c r="M95" s="23"/>
      <c r="N95" s="66"/>
      <c r="O95" s="23"/>
      <c r="P95" s="66"/>
      <c r="Q95" s="23"/>
      <c r="R95" s="66"/>
      <c r="S95" s="23"/>
      <c r="T95" s="66"/>
      <c r="U95" s="23"/>
      <c r="V95" s="73"/>
      <c r="W95" s="9"/>
      <c r="X95" s="9"/>
      <c r="Y95" s="23"/>
      <c r="Z95" s="68"/>
    </row>
    <row r="96">
      <c r="B96" s="57" t="str">
        <f t="shared" si="7"/>
        <v/>
      </c>
      <c r="C96" s="57"/>
      <c r="D96" s="58" t="str">
        <f>IFERROR(__xludf.DUMMYFUNCTION("if(isblank(indirect(""B""&amp;row())),,FILTER(SuperList,'Spell List'!$C$16:$C$184=indirect(""B""&amp;row())))"),"")</f>
        <v/>
      </c>
      <c r="E96" s="17"/>
      <c r="F96" s="59"/>
      <c r="G96" s="17"/>
      <c r="H96" s="60"/>
      <c r="I96" s="17"/>
      <c r="J96" s="59"/>
      <c r="K96" s="17"/>
      <c r="L96" s="59"/>
      <c r="M96" s="17"/>
      <c r="N96" s="59"/>
      <c r="O96" s="17"/>
      <c r="P96" s="59"/>
      <c r="Q96" s="17"/>
      <c r="R96" s="59"/>
      <c r="S96" s="17"/>
      <c r="T96" s="59"/>
      <c r="U96" s="17"/>
      <c r="V96" s="61"/>
      <c r="W96" s="3"/>
      <c r="X96" s="3"/>
      <c r="Y96" s="17"/>
      <c r="Z96" s="70"/>
    </row>
    <row r="97">
      <c r="B97" s="63" t="str">
        <f t="shared" si="7"/>
        <v/>
      </c>
      <c r="C97" s="63"/>
      <c r="D97" s="65" t="str">
        <f>IFERROR(__xludf.DUMMYFUNCTION("if(isblank(indirect(""B""&amp;row())),,FILTER(SuperList,'Spell List'!$C$16:$C$184=indirect(""B""&amp;row())))"),"")</f>
        <v/>
      </c>
      <c r="E97" s="23"/>
      <c r="F97" s="66"/>
      <c r="G97" s="23"/>
      <c r="H97" s="22"/>
      <c r="I97" s="23"/>
      <c r="J97" s="66"/>
      <c r="K97" s="23"/>
      <c r="L97" s="66"/>
      <c r="M97" s="23"/>
      <c r="N97" s="66"/>
      <c r="O97" s="23"/>
      <c r="P97" s="66"/>
      <c r="Q97" s="23"/>
      <c r="R97" s="66"/>
      <c r="S97" s="23"/>
      <c r="T97" s="66"/>
      <c r="U97" s="23"/>
      <c r="V97" s="73"/>
      <c r="W97" s="9"/>
      <c r="X97" s="9"/>
      <c r="Y97" s="23"/>
      <c r="Z97" s="68"/>
    </row>
    <row r="98">
      <c r="B98" s="57" t="str">
        <f t="shared" si="7"/>
        <v/>
      </c>
      <c r="C98" s="57"/>
      <c r="D98" s="58" t="str">
        <f>IFERROR(__xludf.DUMMYFUNCTION("if(isblank(indirect(""B""&amp;row())),,FILTER(SuperList,'Spell List'!$C$16:$C$184=indirect(""B""&amp;row())))"),"")</f>
        <v/>
      </c>
      <c r="E98" s="17"/>
      <c r="F98" s="59"/>
      <c r="G98" s="17"/>
      <c r="H98" s="60"/>
      <c r="I98" s="17"/>
      <c r="J98" s="59"/>
      <c r="K98" s="17"/>
      <c r="L98" s="59"/>
      <c r="M98" s="17"/>
      <c r="N98" s="59"/>
      <c r="O98" s="17"/>
      <c r="P98" s="59"/>
      <c r="Q98" s="17"/>
      <c r="R98" s="59"/>
      <c r="S98" s="17"/>
      <c r="T98" s="59"/>
      <c r="U98" s="17"/>
      <c r="V98" s="61"/>
      <c r="W98" s="3"/>
      <c r="X98" s="3"/>
      <c r="Y98" s="17"/>
      <c r="Z98" s="70"/>
    </row>
    <row r="99">
      <c r="B99" s="63" t="str">
        <f t="shared" si="7"/>
        <v/>
      </c>
      <c r="C99" s="63"/>
      <c r="D99" s="65" t="str">
        <f>IFERROR(__xludf.DUMMYFUNCTION("if(isblank(indirect(""B""&amp;row())),,FILTER(SuperList,'Spell List'!$C$16:$C$184=indirect(""B""&amp;row())))"),"")</f>
        <v/>
      </c>
      <c r="E99" s="23"/>
      <c r="F99" s="66"/>
      <c r="G99" s="23"/>
      <c r="H99" s="22"/>
      <c r="I99" s="23"/>
      <c r="J99" s="66"/>
      <c r="K99" s="23"/>
      <c r="L99" s="66"/>
      <c r="M99" s="23"/>
      <c r="N99" s="66"/>
      <c r="O99" s="23"/>
      <c r="P99" s="66"/>
      <c r="Q99" s="23"/>
      <c r="R99" s="66"/>
      <c r="S99" s="23"/>
      <c r="T99" s="66"/>
      <c r="U99" s="23"/>
      <c r="V99" s="73"/>
      <c r="W99" s="9"/>
      <c r="X99" s="9"/>
      <c r="Y99" s="23"/>
      <c r="Z99" s="68"/>
    </row>
    <row r="101">
      <c r="B101" s="51" t="s">
        <v>34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52" t="s">
        <v>14</v>
      </c>
      <c r="W101" s="3"/>
      <c r="X101" s="17"/>
      <c r="Y101" s="53" t="str">
        <f>SUM(Z103:Z112)&amp;"/"&amp;if(dget(base_spells,"7th",F2:F3),dget(base_spells,"7th",F2:F3)+dget(bonus_spells,"7th",H2:H3),0)</f>
        <v>0/0</v>
      </c>
      <c r="Z101" s="43"/>
    </row>
    <row r="102">
      <c r="B102" s="55" t="s">
        <v>15</v>
      </c>
      <c r="C102" s="55"/>
      <c r="D102" s="56" t="s">
        <v>17</v>
      </c>
      <c r="E102" s="23"/>
      <c r="F102" s="56" t="s">
        <v>18</v>
      </c>
      <c r="G102" s="23"/>
      <c r="H102" s="56" t="s">
        <v>19</v>
      </c>
      <c r="I102" s="23"/>
      <c r="J102" s="56" t="s">
        <v>20</v>
      </c>
      <c r="K102" s="23"/>
      <c r="L102" s="56" t="s">
        <v>21</v>
      </c>
      <c r="M102" s="23"/>
      <c r="N102" s="56" t="s">
        <v>22</v>
      </c>
      <c r="O102" s="23"/>
      <c r="P102" s="56" t="s">
        <v>23</v>
      </c>
      <c r="Q102" s="23"/>
      <c r="R102" s="56" t="s">
        <v>24</v>
      </c>
      <c r="S102" s="23"/>
      <c r="T102" s="56" t="s">
        <v>25</v>
      </c>
      <c r="U102" s="23"/>
      <c r="V102" s="56" t="s">
        <v>26</v>
      </c>
      <c r="W102" s="9"/>
      <c r="X102" s="9"/>
      <c r="Y102" s="23"/>
      <c r="Z102" s="55" t="s">
        <v>38</v>
      </c>
    </row>
    <row r="103">
      <c r="B103" s="57" t="str">
        <f t="shared" ref="B103:B112" si="8">if(isblank(indirect("'Prepared Spells'!B"&amp;row())),,right(indirect("'Prepared Spells'!B"&amp;row()),len(indirect("'Prepared Spells'!B"&amp;row()))-2))</f>
        <v/>
      </c>
      <c r="C103" s="57"/>
      <c r="D103" s="58" t="str">
        <f>IFERROR(__xludf.DUMMYFUNCTION("if(isblank(indirect(""B""&amp;row())),,FILTER(SuperList,'Spell List'!$C$16:$C$184=indirect(""B""&amp;row())))"),"")</f>
        <v/>
      </c>
      <c r="E103" s="17"/>
      <c r="F103" s="59"/>
      <c r="G103" s="17"/>
      <c r="H103" s="60"/>
      <c r="I103" s="17"/>
      <c r="J103" s="59"/>
      <c r="K103" s="17"/>
      <c r="L103" s="59"/>
      <c r="M103" s="17"/>
      <c r="N103" s="59"/>
      <c r="O103" s="17"/>
      <c r="P103" s="59"/>
      <c r="Q103" s="17"/>
      <c r="R103" s="59"/>
      <c r="S103" s="17"/>
      <c r="T103" s="59"/>
      <c r="U103" s="17"/>
      <c r="V103" s="61"/>
      <c r="W103" s="3"/>
      <c r="X103" s="3"/>
      <c r="Y103" s="17"/>
      <c r="Z103" s="62"/>
    </row>
    <row r="104">
      <c r="B104" s="63" t="str">
        <f t="shared" si="8"/>
        <v/>
      </c>
      <c r="C104" s="63"/>
      <c r="D104" s="65" t="str">
        <f>IFERROR(__xludf.DUMMYFUNCTION("if(isblank(indirect(""B""&amp;row())),,FILTER(SuperList,'Spell List'!$C$16:$C$184=indirect(""B""&amp;row())))"),"")</f>
        <v/>
      </c>
      <c r="E104" s="23"/>
      <c r="F104" s="66"/>
      <c r="G104" s="23"/>
      <c r="H104" s="22"/>
      <c r="I104" s="23"/>
      <c r="J104" s="66"/>
      <c r="K104" s="23"/>
      <c r="L104" s="66"/>
      <c r="M104" s="23"/>
      <c r="N104" s="66"/>
      <c r="O104" s="23"/>
      <c r="P104" s="66"/>
      <c r="Q104" s="23"/>
      <c r="R104" s="66"/>
      <c r="S104" s="23"/>
      <c r="T104" s="66"/>
      <c r="U104" s="23"/>
      <c r="V104" s="73"/>
      <c r="W104" s="9"/>
      <c r="X104" s="9"/>
      <c r="Y104" s="23"/>
      <c r="Z104" s="68"/>
    </row>
    <row r="105">
      <c r="B105" s="57" t="str">
        <f t="shared" si="8"/>
        <v/>
      </c>
      <c r="C105" s="57"/>
      <c r="D105" s="58" t="str">
        <f>IFERROR(__xludf.DUMMYFUNCTION("if(isblank(indirect(""B""&amp;row())),,FILTER(SuperList,'Spell List'!$C$16:$C$184=indirect(""B""&amp;row())))"),"")</f>
        <v/>
      </c>
      <c r="E105" s="17"/>
      <c r="F105" s="59"/>
      <c r="G105" s="17"/>
      <c r="H105" s="60"/>
      <c r="I105" s="17"/>
      <c r="J105" s="59"/>
      <c r="K105" s="17"/>
      <c r="L105" s="59"/>
      <c r="M105" s="17"/>
      <c r="N105" s="59"/>
      <c r="O105" s="17"/>
      <c r="P105" s="59"/>
      <c r="Q105" s="17"/>
      <c r="R105" s="59"/>
      <c r="S105" s="17"/>
      <c r="T105" s="59"/>
      <c r="U105" s="17"/>
      <c r="V105" s="61"/>
      <c r="W105" s="3"/>
      <c r="X105" s="3"/>
      <c r="Y105" s="17"/>
      <c r="Z105" s="70"/>
    </row>
    <row r="106">
      <c r="B106" s="63" t="str">
        <f t="shared" si="8"/>
        <v/>
      </c>
      <c r="C106" s="63"/>
      <c r="D106" s="65" t="str">
        <f>IFERROR(__xludf.DUMMYFUNCTION("if(isblank(indirect(""B""&amp;row())),,FILTER(SuperList,'Spell List'!$C$16:$C$184=indirect(""B""&amp;row())))"),"")</f>
        <v/>
      </c>
      <c r="E106" s="23"/>
      <c r="F106" s="66"/>
      <c r="G106" s="23"/>
      <c r="H106" s="22"/>
      <c r="I106" s="23"/>
      <c r="J106" s="66"/>
      <c r="K106" s="23"/>
      <c r="L106" s="66"/>
      <c r="M106" s="23"/>
      <c r="N106" s="66"/>
      <c r="O106" s="23"/>
      <c r="P106" s="66"/>
      <c r="Q106" s="23"/>
      <c r="R106" s="66"/>
      <c r="S106" s="23"/>
      <c r="T106" s="66"/>
      <c r="U106" s="23"/>
      <c r="V106" s="73"/>
      <c r="W106" s="9"/>
      <c r="X106" s="9"/>
      <c r="Y106" s="23"/>
      <c r="Z106" s="68"/>
    </row>
    <row r="107">
      <c r="B107" s="57" t="str">
        <f t="shared" si="8"/>
        <v/>
      </c>
      <c r="C107" s="57"/>
      <c r="D107" s="58" t="str">
        <f>IFERROR(__xludf.DUMMYFUNCTION("if(isblank(indirect(""B""&amp;row())),,FILTER(SuperList,'Spell List'!$C$16:$C$184=indirect(""B""&amp;row())))"),"")</f>
        <v/>
      </c>
      <c r="E107" s="17"/>
      <c r="F107" s="59"/>
      <c r="G107" s="17"/>
      <c r="H107" s="60"/>
      <c r="I107" s="17"/>
      <c r="J107" s="59"/>
      <c r="K107" s="17"/>
      <c r="L107" s="59"/>
      <c r="M107" s="17"/>
      <c r="N107" s="59"/>
      <c r="O107" s="17"/>
      <c r="P107" s="59"/>
      <c r="Q107" s="17"/>
      <c r="R107" s="59"/>
      <c r="S107" s="17"/>
      <c r="T107" s="59"/>
      <c r="U107" s="17"/>
      <c r="V107" s="61"/>
      <c r="W107" s="3"/>
      <c r="X107" s="3"/>
      <c r="Y107" s="17"/>
      <c r="Z107" s="70"/>
    </row>
    <row r="108">
      <c r="B108" s="63" t="str">
        <f t="shared" si="8"/>
        <v/>
      </c>
      <c r="C108" s="63"/>
      <c r="D108" s="65" t="str">
        <f>IFERROR(__xludf.DUMMYFUNCTION("if(isblank(indirect(""B""&amp;row())),,FILTER(SuperList,'Spell List'!$C$16:$C$184=indirect(""B""&amp;row())))"),"")</f>
        <v/>
      </c>
      <c r="E108" s="23"/>
      <c r="F108" s="66"/>
      <c r="G108" s="23"/>
      <c r="H108" s="22"/>
      <c r="I108" s="23"/>
      <c r="J108" s="66"/>
      <c r="K108" s="23"/>
      <c r="L108" s="66"/>
      <c r="M108" s="23"/>
      <c r="N108" s="66"/>
      <c r="O108" s="23"/>
      <c r="P108" s="66"/>
      <c r="Q108" s="23"/>
      <c r="R108" s="66"/>
      <c r="S108" s="23"/>
      <c r="T108" s="66"/>
      <c r="U108" s="23"/>
      <c r="V108" s="73"/>
      <c r="W108" s="9"/>
      <c r="X108" s="9"/>
      <c r="Y108" s="23"/>
      <c r="Z108" s="68"/>
    </row>
    <row r="109">
      <c r="B109" s="57" t="str">
        <f t="shared" si="8"/>
        <v/>
      </c>
      <c r="C109" s="57"/>
      <c r="D109" s="58" t="str">
        <f>IFERROR(__xludf.DUMMYFUNCTION("if(isblank(indirect(""B""&amp;row())),,FILTER(SuperList,'Spell List'!$C$16:$C$184=indirect(""B""&amp;row())))"),"")</f>
        <v/>
      </c>
      <c r="E109" s="17"/>
      <c r="F109" s="59"/>
      <c r="G109" s="17"/>
      <c r="H109" s="60"/>
      <c r="I109" s="17"/>
      <c r="J109" s="59"/>
      <c r="K109" s="17"/>
      <c r="L109" s="59"/>
      <c r="M109" s="17"/>
      <c r="N109" s="59"/>
      <c r="O109" s="17"/>
      <c r="P109" s="59"/>
      <c r="Q109" s="17"/>
      <c r="R109" s="59"/>
      <c r="S109" s="17"/>
      <c r="T109" s="59"/>
      <c r="U109" s="17"/>
      <c r="V109" s="61"/>
      <c r="W109" s="3"/>
      <c r="X109" s="3"/>
      <c r="Y109" s="17"/>
      <c r="Z109" s="70"/>
    </row>
    <row r="110">
      <c r="B110" s="63" t="str">
        <f t="shared" si="8"/>
        <v/>
      </c>
      <c r="C110" s="63"/>
      <c r="D110" s="65" t="str">
        <f>IFERROR(__xludf.DUMMYFUNCTION("if(isblank(indirect(""B""&amp;row())),,FILTER(SuperList,'Spell List'!$C$16:$C$184=indirect(""B""&amp;row())))"),"")</f>
        <v/>
      </c>
      <c r="E110" s="23"/>
      <c r="F110" s="66"/>
      <c r="G110" s="23"/>
      <c r="H110" s="22"/>
      <c r="I110" s="23"/>
      <c r="J110" s="66"/>
      <c r="K110" s="23"/>
      <c r="L110" s="66"/>
      <c r="M110" s="23"/>
      <c r="N110" s="66"/>
      <c r="O110" s="23"/>
      <c r="P110" s="66"/>
      <c r="Q110" s="23"/>
      <c r="R110" s="66"/>
      <c r="S110" s="23"/>
      <c r="T110" s="66"/>
      <c r="U110" s="23"/>
      <c r="V110" s="73"/>
      <c r="W110" s="9"/>
      <c r="X110" s="9"/>
      <c r="Y110" s="23"/>
      <c r="Z110" s="68"/>
    </row>
    <row r="111">
      <c r="B111" s="57" t="str">
        <f t="shared" si="8"/>
        <v/>
      </c>
      <c r="C111" s="57"/>
      <c r="D111" s="58" t="str">
        <f>IFERROR(__xludf.DUMMYFUNCTION("if(isblank(indirect(""B""&amp;row())),,FILTER(SuperList,'Spell List'!$C$16:$C$184=indirect(""B""&amp;row())))"),"")</f>
        <v/>
      </c>
      <c r="E111" s="17"/>
      <c r="F111" s="59"/>
      <c r="G111" s="17"/>
      <c r="H111" s="60"/>
      <c r="I111" s="17"/>
      <c r="J111" s="59"/>
      <c r="K111" s="17"/>
      <c r="L111" s="59"/>
      <c r="M111" s="17"/>
      <c r="N111" s="59"/>
      <c r="O111" s="17"/>
      <c r="P111" s="59"/>
      <c r="Q111" s="17"/>
      <c r="R111" s="59"/>
      <c r="S111" s="17"/>
      <c r="T111" s="59"/>
      <c r="U111" s="17"/>
      <c r="V111" s="61"/>
      <c r="W111" s="3"/>
      <c r="X111" s="3"/>
      <c r="Y111" s="17"/>
      <c r="Z111" s="70"/>
    </row>
    <row r="112">
      <c r="B112" s="63" t="str">
        <f t="shared" si="8"/>
        <v/>
      </c>
      <c r="C112" s="63"/>
      <c r="D112" s="65" t="str">
        <f>IFERROR(__xludf.DUMMYFUNCTION("if(isblank(indirect(""B""&amp;row())),,FILTER(SuperList,'Spell List'!$C$16:$C$184=indirect(""B""&amp;row())))"),"")</f>
        <v/>
      </c>
      <c r="E112" s="23"/>
      <c r="F112" s="66"/>
      <c r="G112" s="23"/>
      <c r="H112" s="22"/>
      <c r="I112" s="23"/>
      <c r="J112" s="66"/>
      <c r="K112" s="23"/>
      <c r="L112" s="66"/>
      <c r="M112" s="23"/>
      <c r="N112" s="66"/>
      <c r="O112" s="23"/>
      <c r="P112" s="66"/>
      <c r="Q112" s="23"/>
      <c r="R112" s="66"/>
      <c r="S112" s="23"/>
      <c r="T112" s="66"/>
      <c r="U112" s="23"/>
      <c r="V112" s="73"/>
      <c r="W112" s="9"/>
      <c r="X112" s="9"/>
      <c r="Y112" s="23"/>
      <c r="Z112" s="68"/>
    </row>
    <row r="114">
      <c r="B114" s="51" t="s">
        <v>35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52" t="s">
        <v>14</v>
      </c>
      <c r="W114" s="3"/>
      <c r="X114" s="17"/>
      <c r="Y114" s="53" t="str">
        <f>SUM(Z116:Z125)&amp;"/"&amp;if(dget(base_spells,"8th",F2:F3),dget(base_spells,"8th",F2:F3)+dget(bonus_spells,"8th",H2:H3),0)</f>
        <v>0/0</v>
      </c>
      <c r="Z114" s="43"/>
    </row>
    <row r="115">
      <c r="B115" s="55" t="s">
        <v>15</v>
      </c>
      <c r="C115" s="55"/>
      <c r="D115" s="56" t="s">
        <v>17</v>
      </c>
      <c r="E115" s="23"/>
      <c r="F115" s="56" t="s">
        <v>18</v>
      </c>
      <c r="G115" s="23"/>
      <c r="H115" s="56" t="s">
        <v>19</v>
      </c>
      <c r="I115" s="23"/>
      <c r="J115" s="56" t="s">
        <v>20</v>
      </c>
      <c r="K115" s="23"/>
      <c r="L115" s="56" t="s">
        <v>21</v>
      </c>
      <c r="M115" s="23"/>
      <c r="N115" s="56" t="s">
        <v>22</v>
      </c>
      <c r="O115" s="23"/>
      <c r="P115" s="56" t="s">
        <v>23</v>
      </c>
      <c r="Q115" s="23"/>
      <c r="R115" s="56" t="s">
        <v>24</v>
      </c>
      <c r="S115" s="23"/>
      <c r="T115" s="56" t="s">
        <v>25</v>
      </c>
      <c r="U115" s="23"/>
      <c r="V115" s="56" t="s">
        <v>26</v>
      </c>
      <c r="W115" s="9"/>
      <c r="X115" s="9"/>
      <c r="Y115" s="23"/>
      <c r="Z115" s="55" t="s">
        <v>38</v>
      </c>
    </row>
    <row r="116">
      <c r="B116" s="57" t="str">
        <f t="shared" ref="B116:B125" si="9">if(isblank(indirect("'Prepared Spells'!B"&amp;row())),,right(indirect("'Prepared Spells'!B"&amp;row()),len(indirect("'Prepared Spells'!B"&amp;row()))-2))</f>
        <v/>
      </c>
      <c r="C116" s="57"/>
      <c r="D116" s="58" t="str">
        <f>IFERROR(__xludf.DUMMYFUNCTION("if(isblank(indirect(""B""&amp;row())),,FILTER(SuperList,'Spell List'!$C$16:$C$184=indirect(""B""&amp;row())))"),"")</f>
        <v/>
      </c>
      <c r="E116" s="17"/>
      <c r="F116" s="59"/>
      <c r="G116" s="17"/>
      <c r="H116" s="60"/>
      <c r="I116" s="17"/>
      <c r="J116" s="59"/>
      <c r="K116" s="17"/>
      <c r="L116" s="59"/>
      <c r="M116" s="17"/>
      <c r="N116" s="59"/>
      <c r="O116" s="17"/>
      <c r="P116" s="59"/>
      <c r="Q116" s="17"/>
      <c r="R116" s="59"/>
      <c r="S116" s="17"/>
      <c r="T116" s="59"/>
      <c r="U116" s="17"/>
      <c r="V116" s="61"/>
      <c r="W116" s="3"/>
      <c r="X116" s="3"/>
      <c r="Y116" s="17"/>
      <c r="Z116" s="62"/>
    </row>
    <row r="117">
      <c r="B117" s="63" t="str">
        <f t="shared" si="9"/>
        <v/>
      </c>
      <c r="C117" s="63"/>
      <c r="D117" s="65" t="str">
        <f>IFERROR(__xludf.DUMMYFUNCTION("if(isblank(indirect(""B""&amp;row())),,FILTER(SuperList,'Spell List'!$C$16:$C$184=indirect(""B""&amp;row())))"),"")</f>
        <v/>
      </c>
      <c r="E117" s="23"/>
      <c r="F117" s="66"/>
      <c r="G117" s="23"/>
      <c r="H117" s="22"/>
      <c r="I117" s="23"/>
      <c r="J117" s="66"/>
      <c r="K117" s="23"/>
      <c r="L117" s="66"/>
      <c r="M117" s="23"/>
      <c r="N117" s="66"/>
      <c r="O117" s="23"/>
      <c r="P117" s="66"/>
      <c r="Q117" s="23"/>
      <c r="R117" s="66"/>
      <c r="S117" s="23"/>
      <c r="T117" s="66"/>
      <c r="U117" s="23"/>
      <c r="V117" s="73"/>
      <c r="W117" s="9"/>
      <c r="X117" s="9"/>
      <c r="Y117" s="23"/>
      <c r="Z117" s="68"/>
    </row>
    <row r="118">
      <c r="B118" s="57" t="str">
        <f t="shared" si="9"/>
        <v/>
      </c>
      <c r="C118" s="57"/>
      <c r="D118" s="58" t="str">
        <f>IFERROR(__xludf.DUMMYFUNCTION("if(isblank(indirect(""B""&amp;row())),,FILTER(SuperList,'Spell List'!$C$16:$C$184=indirect(""B""&amp;row())))"),"")</f>
        <v/>
      </c>
      <c r="E118" s="17"/>
      <c r="F118" s="59"/>
      <c r="G118" s="17"/>
      <c r="H118" s="60"/>
      <c r="I118" s="17"/>
      <c r="J118" s="59"/>
      <c r="K118" s="17"/>
      <c r="L118" s="59"/>
      <c r="M118" s="17"/>
      <c r="N118" s="59"/>
      <c r="O118" s="17"/>
      <c r="P118" s="59"/>
      <c r="Q118" s="17"/>
      <c r="R118" s="59"/>
      <c r="S118" s="17"/>
      <c r="T118" s="59"/>
      <c r="U118" s="17"/>
      <c r="V118" s="61"/>
      <c r="W118" s="3"/>
      <c r="X118" s="3"/>
      <c r="Y118" s="17"/>
      <c r="Z118" s="70"/>
    </row>
    <row r="119">
      <c r="B119" s="63" t="str">
        <f t="shared" si="9"/>
        <v/>
      </c>
      <c r="C119" s="63"/>
      <c r="D119" s="65" t="str">
        <f>IFERROR(__xludf.DUMMYFUNCTION("if(isblank(indirect(""B""&amp;row())),,FILTER(SuperList,'Spell List'!$C$16:$C$184=indirect(""B""&amp;row())))"),"")</f>
        <v/>
      </c>
      <c r="E119" s="23"/>
      <c r="F119" s="66"/>
      <c r="G119" s="23"/>
      <c r="H119" s="22"/>
      <c r="I119" s="23"/>
      <c r="J119" s="66"/>
      <c r="K119" s="23"/>
      <c r="L119" s="66"/>
      <c r="M119" s="23"/>
      <c r="N119" s="66"/>
      <c r="O119" s="23"/>
      <c r="P119" s="66"/>
      <c r="Q119" s="23"/>
      <c r="R119" s="66"/>
      <c r="S119" s="23"/>
      <c r="T119" s="66"/>
      <c r="U119" s="23"/>
      <c r="V119" s="73"/>
      <c r="W119" s="9"/>
      <c r="X119" s="9"/>
      <c r="Y119" s="23"/>
      <c r="Z119" s="68"/>
    </row>
    <row r="120">
      <c r="B120" s="57" t="str">
        <f t="shared" si="9"/>
        <v/>
      </c>
      <c r="C120" s="57"/>
      <c r="D120" s="58" t="str">
        <f>IFERROR(__xludf.DUMMYFUNCTION("if(isblank(indirect(""B""&amp;row())),,FILTER(SuperList,'Spell List'!$C$16:$C$184=indirect(""B""&amp;row())))"),"")</f>
        <v/>
      </c>
      <c r="E120" s="17"/>
      <c r="F120" s="59"/>
      <c r="G120" s="17"/>
      <c r="H120" s="60"/>
      <c r="I120" s="17"/>
      <c r="J120" s="59"/>
      <c r="K120" s="17"/>
      <c r="L120" s="59"/>
      <c r="M120" s="17"/>
      <c r="N120" s="59"/>
      <c r="O120" s="17"/>
      <c r="P120" s="59"/>
      <c r="Q120" s="17"/>
      <c r="R120" s="59"/>
      <c r="S120" s="17"/>
      <c r="T120" s="59"/>
      <c r="U120" s="17"/>
      <c r="V120" s="61"/>
      <c r="W120" s="3"/>
      <c r="X120" s="3"/>
      <c r="Y120" s="17"/>
      <c r="Z120" s="70"/>
    </row>
    <row r="121">
      <c r="B121" s="63" t="str">
        <f t="shared" si="9"/>
        <v/>
      </c>
      <c r="C121" s="63"/>
      <c r="D121" s="65" t="str">
        <f>IFERROR(__xludf.DUMMYFUNCTION("if(isblank(indirect(""B""&amp;row())),,FILTER(SuperList,'Spell List'!$C$16:$C$184=indirect(""B""&amp;row())))"),"")</f>
        <v/>
      </c>
      <c r="E121" s="23"/>
      <c r="F121" s="66"/>
      <c r="G121" s="23"/>
      <c r="H121" s="22"/>
      <c r="I121" s="23"/>
      <c r="J121" s="66"/>
      <c r="K121" s="23"/>
      <c r="L121" s="66"/>
      <c r="M121" s="23"/>
      <c r="N121" s="66"/>
      <c r="O121" s="23"/>
      <c r="P121" s="66"/>
      <c r="Q121" s="23"/>
      <c r="R121" s="66"/>
      <c r="S121" s="23"/>
      <c r="T121" s="66"/>
      <c r="U121" s="23"/>
      <c r="V121" s="73"/>
      <c r="W121" s="9"/>
      <c r="X121" s="9"/>
      <c r="Y121" s="23"/>
      <c r="Z121" s="68"/>
    </row>
    <row r="122">
      <c r="B122" s="57" t="str">
        <f t="shared" si="9"/>
        <v/>
      </c>
      <c r="C122" s="57"/>
      <c r="D122" s="58" t="str">
        <f>IFERROR(__xludf.DUMMYFUNCTION("if(isblank(indirect(""B""&amp;row())),,FILTER(SuperList,'Spell List'!$C$16:$C$184=indirect(""B""&amp;row())))"),"")</f>
        <v/>
      </c>
      <c r="E122" s="17"/>
      <c r="F122" s="59"/>
      <c r="G122" s="17"/>
      <c r="H122" s="60"/>
      <c r="I122" s="17"/>
      <c r="J122" s="59"/>
      <c r="K122" s="17"/>
      <c r="L122" s="59"/>
      <c r="M122" s="17"/>
      <c r="N122" s="59"/>
      <c r="O122" s="17"/>
      <c r="P122" s="59"/>
      <c r="Q122" s="17"/>
      <c r="R122" s="59"/>
      <c r="S122" s="17"/>
      <c r="T122" s="59"/>
      <c r="U122" s="17"/>
      <c r="V122" s="61"/>
      <c r="W122" s="3"/>
      <c r="X122" s="3"/>
      <c r="Y122" s="17"/>
      <c r="Z122" s="70"/>
    </row>
    <row r="123">
      <c r="B123" s="63" t="str">
        <f t="shared" si="9"/>
        <v/>
      </c>
      <c r="C123" s="63"/>
      <c r="D123" s="65" t="str">
        <f>IFERROR(__xludf.DUMMYFUNCTION("if(isblank(indirect(""B""&amp;row())),,FILTER(SuperList,'Spell List'!$C$16:$C$184=indirect(""B""&amp;row())))"),"")</f>
        <v/>
      </c>
      <c r="E123" s="23"/>
      <c r="F123" s="66"/>
      <c r="G123" s="23"/>
      <c r="H123" s="22"/>
      <c r="I123" s="23"/>
      <c r="J123" s="66"/>
      <c r="K123" s="23"/>
      <c r="L123" s="66"/>
      <c r="M123" s="23"/>
      <c r="N123" s="66"/>
      <c r="O123" s="23"/>
      <c r="P123" s="66"/>
      <c r="Q123" s="23"/>
      <c r="R123" s="66"/>
      <c r="S123" s="23"/>
      <c r="T123" s="66"/>
      <c r="U123" s="23"/>
      <c r="V123" s="73"/>
      <c r="W123" s="9"/>
      <c r="X123" s="9"/>
      <c r="Y123" s="23"/>
      <c r="Z123" s="68"/>
    </row>
    <row r="124">
      <c r="B124" s="57" t="str">
        <f t="shared" si="9"/>
        <v/>
      </c>
      <c r="C124" s="57"/>
      <c r="D124" s="58" t="str">
        <f>IFERROR(__xludf.DUMMYFUNCTION("if(isblank(indirect(""B""&amp;row())),,FILTER(SuperList,'Spell List'!$C$16:$C$184=indirect(""B""&amp;row())))"),"")</f>
        <v/>
      </c>
      <c r="E124" s="17"/>
      <c r="F124" s="59"/>
      <c r="G124" s="17"/>
      <c r="H124" s="60"/>
      <c r="I124" s="17"/>
      <c r="J124" s="59"/>
      <c r="K124" s="17"/>
      <c r="L124" s="59"/>
      <c r="M124" s="17"/>
      <c r="N124" s="59"/>
      <c r="O124" s="17"/>
      <c r="P124" s="59"/>
      <c r="Q124" s="17"/>
      <c r="R124" s="59"/>
      <c r="S124" s="17"/>
      <c r="T124" s="59"/>
      <c r="U124" s="17"/>
      <c r="V124" s="61"/>
      <c r="W124" s="3"/>
      <c r="X124" s="3"/>
      <c r="Y124" s="17"/>
      <c r="Z124" s="70"/>
    </row>
    <row r="125">
      <c r="B125" s="63" t="str">
        <f t="shared" si="9"/>
        <v/>
      </c>
      <c r="C125" s="63"/>
      <c r="D125" s="65" t="str">
        <f>IFERROR(__xludf.DUMMYFUNCTION("if(isblank(indirect(""B""&amp;row())),,FILTER(SuperList,'Spell List'!$C$16:$C$184=indirect(""B""&amp;row())))"),"")</f>
        <v/>
      </c>
      <c r="E125" s="23"/>
      <c r="F125" s="66"/>
      <c r="G125" s="23"/>
      <c r="H125" s="22"/>
      <c r="I125" s="23"/>
      <c r="J125" s="66"/>
      <c r="K125" s="23"/>
      <c r="L125" s="66"/>
      <c r="M125" s="23"/>
      <c r="N125" s="66"/>
      <c r="O125" s="23"/>
      <c r="P125" s="66"/>
      <c r="Q125" s="23"/>
      <c r="R125" s="66"/>
      <c r="S125" s="23"/>
      <c r="T125" s="66"/>
      <c r="U125" s="23"/>
      <c r="V125" s="73"/>
      <c r="W125" s="9"/>
      <c r="X125" s="9"/>
      <c r="Y125" s="23"/>
      <c r="Z125" s="68"/>
    </row>
    <row r="127">
      <c r="B127" s="51" t="s">
        <v>36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52" t="s">
        <v>14</v>
      </c>
      <c r="W127" s="3"/>
      <c r="X127" s="17"/>
      <c r="Y127" s="53" t="str">
        <f>SUM(Z129:Z138)&amp;"/"&amp;if(dget(base_spells,"9th",F2:F3),dget(base_spells,"9th",F2:F3)+dget(bonus_spells,"9th",H2:H3),0)</f>
        <v>0/0</v>
      </c>
      <c r="Z127" s="43"/>
    </row>
    <row r="128">
      <c r="B128" s="55" t="s">
        <v>15</v>
      </c>
      <c r="C128" s="55"/>
      <c r="D128" s="56" t="s">
        <v>17</v>
      </c>
      <c r="E128" s="23"/>
      <c r="F128" s="56" t="s">
        <v>18</v>
      </c>
      <c r="G128" s="23"/>
      <c r="H128" s="56" t="s">
        <v>19</v>
      </c>
      <c r="I128" s="23"/>
      <c r="J128" s="56" t="s">
        <v>20</v>
      </c>
      <c r="K128" s="23"/>
      <c r="L128" s="56" t="s">
        <v>21</v>
      </c>
      <c r="M128" s="23"/>
      <c r="N128" s="56" t="s">
        <v>22</v>
      </c>
      <c r="O128" s="23"/>
      <c r="P128" s="56" t="s">
        <v>23</v>
      </c>
      <c r="Q128" s="23"/>
      <c r="R128" s="56" t="s">
        <v>24</v>
      </c>
      <c r="S128" s="23"/>
      <c r="T128" s="56" t="s">
        <v>25</v>
      </c>
      <c r="U128" s="23"/>
      <c r="V128" s="56" t="s">
        <v>26</v>
      </c>
      <c r="W128" s="9"/>
      <c r="X128" s="9"/>
      <c r="Y128" s="23"/>
      <c r="Z128" s="55" t="s">
        <v>38</v>
      </c>
    </row>
    <row r="129">
      <c r="B129" s="57" t="str">
        <f t="shared" ref="B129:B138" si="10">if(isblank(indirect("'Prepared Spells'!B"&amp;row())),,right(indirect("'Prepared Spells'!B"&amp;row()),len(indirect("'Prepared Spells'!B"&amp;row()))-2))</f>
        <v/>
      </c>
      <c r="C129" s="57"/>
      <c r="D129" s="58" t="str">
        <f>IFERROR(__xludf.DUMMYFUNCTION("if(isblank(indirect(""B""&amp;row())),,FILTER(SuperList,'Spell List'!$C$16:$C$184=indirect(""B""&amp;row())))"),"")</f>
        <v/>
      </c>
      <c r="E129" s="17"/>
      <c r="F129" s="59"/>
      <c r="G129" s="17"/>
      <c r="H129" s="60"/>
      <c r="I129" s="17"/>
      <c r="J129" s="59"/>
      <c r="K129" s="17"/>
      <c r="L129" s="59"/>
      <c r="M129" s="17"/>
      <c r="N129" s="59"/>
      <c r="O129" s="17"/>
      <c r="P129" s="59"/>
      <c r="Q129" s="17"/>
      <c r="R129" s="59"/>
      <c r="S129" s="17"/>
      <c r="T129" s="59"/>
      <c r="U129" s="17"/>
      <c r="V129" s="61"/>
      <c r="W129" s="3"/>
      <c r="X129" s="3"/>
      <c r="Y129" s="17"/>
      <c r="Z129" s="62"/>
    </row>
    <row r="130">
      <c r="B130" s="63" t="str">
        <f t="shared" si="10"/>
        <v/>
      </c>
      <c r="C130" s="63"/>
      <c r="D130" s="65" t="str">
        <f>IFERROR(__xludf.DUMMYFUNCTION("if(isblank(indirect(""B""&amp;row())),,FILTER(SuperList,'Spell List'!$C$16:$C$184=indirect(""B""&amp;row())))"),"")</f>
        <v/>
      </c>
      <c r="E130" s="23"/>
      <c r="F130" s="66"/>
      <c r="G130" s="23"/>
      <c r="H130" s="22"/>
      <c r="I130" s="23"/>
      <c r="J130" s="66"/>
      <c r="K130" s="23"/>
      <c r="L130" s="66"/>
      <c r="M130" s="23"/>
      <c r="N130" s="66"/>
      <c r="O130" s="23"/>
      <c r="P130" s="66"/>
      <c r="Q130" s="23"/>
      <c r="R130" s="66"/>
      <c r="S130" s="23"/>
      <c r="T130" s="66"/>
      <c r="U130" s="23"/>
      <c r="V130" s="73"/>
      <c r="W130" s="9"/>
      <c r="X130" s="9"/>
      <c r="Y130" s="23"/>
      <c r="Z130" s="68"/>
    </row>
    <row r="131">
      <c r="B131" s="57" t="str">
        <f t="shared" si="10"/>
        <v/>
      </c>
      <c r="C131" s="57"/>
      <c r="D131" s="58" t="str">
        <f>IFERROR(__xludf.DUMMYFUNCTION("if(isblank(indirect(""B""&amp;row())),,FILTER(SuperList,'Spell List'!$C$16:$C$184=indirect(""B""&amp;row())))"),"")</f>
        <v/>
      </c>
      <c r="E131" s="17"/>
      <c r="F131" s="59"/>
      <c r="G131" s="17"/>
      <c r="H131" s="60"/>
      <c r="I131" s="17"/>
      <c r="J131" s="59"/>
      <c r="K131" s="17"/>
      <c r="L131" s="59"/>
      <c r="M131" s="17"/>
      <c r="N131" s="59"/>
      <c r="O131" s="17"/>
      <c r="P131" s="59"/>
      <c r="Q131" s="17"/>
      <c r="R131" s="59"/>
      <c r="S131" s="17"/>
      <c r="T131" s="59"/>
      <c r="U131" s="17"/>
      <c r="V131" s="61"/>
      <c r="W131" s="3"/>
      <c r="X131" s="3"/>
      <c r="Y131" s="17"/>
      <c r="Z131" s="70"/>
    </row>
    <row r="132">
      <c r="B132" s="63" t="str">
        <f t="shared" si="10"/>
        <v/>
      </c>
      <c r="C132" s="63"/>
      <c r="D132" s="65" t="str">
        <f>IFERROR(__xludf.DUMMYFUNCTION("if(isblank(indirect(""B""&amp;row())),,FILTER(SuperList,'Spell List'!$C$16:$C$184=indirect(""B""&amp;row())))"),"")</f>
        <v/>
      </c>
      <c r="E132" s="23"/>
      <c r="F132" s="66"/>
      <c r="G132" s="23"/>
      <c r="H132" s="22"/>
      <c r="I132" s="23"/>
      <c r="J132" s="66"/>
      <c r="K132" s="23"/>
      <c r="L132" s="66"/>
      <c r="M132" s="23"/>
      <c r="N132" s="66"/>
      <c r="O132" s="23"/>
      <c r="P132" s="66"/>
      <c r="Q132" s="23"/>
      <c r="R132" s="66"/>
      <c r="S132" s="23"/>
      <c r="T132" s="66"/>
      <c r="U132" s="23"/>
      <c r="V132" s="73"/>
      <c r="W132" s="9"/>
      <c r="X132" s="9"/>
      <c r="Y132" s="23"/>
      <c r="Z132" s="68"/>
    </row>
    <row r="133">
      <c r="B133" s="57" t="str">
        <f t="shared" si="10"/>
        <v/>
      </c>
      <c r="C133" s="57"/>
      <c r="D133" s="58" t="str">
        <f>IFERROR(__xludf.DUMMYFUNCTION("if(isblank(indirect(""B""&amp;row())),,FILTER(SuperList,'Spell List'!$C$16:$C$184=indirect(""B""&amp;row())))"),"")</f>
        <v/>
      </c>
      <c r="E133" s="17"/>
      <c r="F133" s="59"/>
      <c r="G133" s="17"/>
      <c r="H133" s="60"/>
      <c r="I133" s="17"/>
      <c r="J133" s="59"/>
      <c r="K133" s="17"/>
      <c r="L133" s="59"/>
      <c r="M133" s="17"/>
      <c r="N133" s="59"/>
      <c r="O133" s="17"/>
      <c r="P133" s="59"/>
      <c r="Q133" s="17"/>
      <c r="R133" s="59"/>
      <c r="S133" s="17"/>
      <c r="T133" s="59"/>
      <c r="U133" s="17"/>
      <c r="V133" s="61"/>
      <c r="W133" s="3"/>
      <c r="X133" s="3"/>
      <c r="Y133" s="17"/>
      <c r="Z133" s="70"/>
    </row>
    <row r="134">
      <c r="B134" s="63" t="str">
        <f t="shared" si="10"/>
        <v/>
      </c>
      <c r="C134" s="63"/>
      <c r="D134" s="65" t="str">
        <f>IFERROR(__xludf.DUMMYFUNCTION("if(isblank(indirect(""B""&amp;row())),,FILTER(SuperList,'Spell List'!$C$16:$C$184=indirect(""B""&amp;row())))"),"")</f>
        <v/>
      </c>
      <c r="E134" s="23"/>
      <c r="F134" s="66"/>
      <c r="G134" s="23"/>
      <c r="H134" s="22"/>
      <c r="I134" s="23"/>
      <c r="J134" s="66"/>
      <c r="K134" s="23"/>
      <c r="L134" s="66"/>
      <c r="M134" s="23"/>
      <c r="N134" s="66"/>
      <c r="O134" s="23"/>
      <c r="P134" s="66"/>
      <c r="Q134" s="23"/>
      <c r="R134" s="66"/>
      <c r="S134" s="23"/>
      <c r="T134" s="66"/>
      <c r="U134" s="23"/>
      <c r="V134" s="73"/>
      <c r="W134" s="9"/>
      <c r="X134" s="9"/>
      <c r="Y134" s="23"/>
      <c r="Z134" s="68"/>
    </row>
    <row r="135">
      <c r="B135" s="57" t="str">
        <f t="shared" si="10"/>
        <v/>
      </c>
      <c r="C135" s="57"/>
      <c r="D135" s="58" t="str">
        <f>IFERROR(__xludf.DUMMYFUNCTION("if(isblank(indirect(""B""&amp;row())),,FILTER(SuperList,'Spell List'!$C$16:$C$184=indirect(""B""&amp;row())))"),"")</f>
        <v/>
      </c>
      <c r="E135" s="17"/>
      <c r="F135" s="59"/>
      <c r="G135" s="17"/>
      <c r="H135" s="60"/>
      <c r="I135" s="17"/>
      <c r="J135" s="59"/>
      <c r="K135" s="17"/>
      <c r="L135" s="59"/>
      <c r="M135" s="17"/>
      <c r="N135" s="59"/>
      <c r="O135" s="17"/>
      <c r="P135" s="59"/>
      <c r="Q135" s="17"/>
      <c r="R135" s="59"/>
      <c r="S135" s="17"/>
      <c r="T135" s="59"/>
      <c r="U135" s="17"/>
      <c r="V135" s="61"/>
      <c r="W135" s="3"/>
      <c r="X135" s="3"/>
      <c r="Y135" s="17"/>
      <c r="Z135" s="70"/>
    </row>
    <row r="136">
      <c r="B136" s="63" t="str">
        <f t="shared" si="10"/>
        <v/>
      </c>
      <c r="C136" s="63"/>
      <c r="D136" s="65" t="str">
        <f>IFERROR(__xludf.DUMMYFUNCTION("if(isblank(indirect(""B""&amp;row())),,FILTER(SuperList,'Spell List'!$C$16:$C$184=indirect(""B""&amp;row())))"),"")</f>
        <v/>
      </c>
      <c r="E136" s="23"/>
      <c r="F136" s="66"/>
      <c r="G136" s="23"/>
      <c r="H136" s="22"/>
      <c r="I136" s="23"/>
      <c r="J136" s="66"/>
      <c r="K136" s="23"/>
      <c r="L136" s="66"/>
      <c r="M136" s="23"/>
      <c r="N136" s="66"/>
      <c r="O136" s="23"/>
      <c r="P136" s="66"/>
      <c r="Q136" s="23"/>
      <c r="R136" s="66"/>
      <c r="S136" s="23"/>
      <c r="T136" s="66"/>
      <c r="U136" s="23"/>
      <c r="V136" s="73"/>
      <c r="W136" s="9"/>
      <c r="X136" s="9"/>
      <c r="Y136" s="23"/>
      <c r="Z136" s="68"/>
    </row>
    <row r="137">
      <c r="B137" s="57" t="str">
        <f t="shared" si="10"/>
        <v/>
      </c>
      <c r="C137" s="57"/>
      <c r="D137" s="58" t="str">
        <f>IFERROR(__xludf.DUMMYFUNCTION("if(isblank(indirect(""B""&amp;row())),,FILTER(SuperList,'Spell List'!$C$16:$C$184=indirect(""B""&amp;row())))"),"")</f>
        <v/>
      </c>
      <c r="E137" s="17"/>
      <c r="F137" s="59"/>
      <c r="G137" s="17"/>
      <c r="H137" s="60"/>
      <c r="I137" s="17"/>
      <c r="J137" s="59"/>
      <c r="K137" s="17"/>
      <c r="L137" s="59"/>
      <c r="M137" s="17"/>
      <c r="N137" s="59"/>
      <c r="O137" s="17"/>
      <c r="P137" s="59"/>
      <c r="Q137" s="17"/>
      <c r="R137" s="59"/>
      <c r="S137" s="17"/>
      <c r="T137" s="59"/>
      <c r="U137" s="17"/>
      <c r="V137" s="61"/>
      <c r="W137" s="3"/>
      <c r="X137" s="3"/>
      <c r="Y137" s="17"/>
      <c r="Z137" s="70"/>
    </row>
    <row r="138">
      <c r="B138" s="63" t="str">
        <f t="shared" si="10"/>
        <v/>
      </c>
      <c r="C138" s="63"/>
      <c r="D138" s="65" t="str">
        <f>IFERROR(__xludf.DUMMYFUNCTION("if(isblank(indirect(""B""&amp;row())),,FILTER(SuperList,'Spell List'!$C$16:$C$184=indirect(""B""&amp;row())))"),"")</f>
        <v/>
      </c>
      <c r="E138" s="23"/>
      <c r="F138" s="66"/>
      <c r="G138" s="23"/>
      <c r="H138" s="22"/>
      <c r="I138" s="23"/>
      <c r="J138" s="66"/>
      <c r="K138" s="23"/>
      <c r="L138" s="66"/>
      <c r="M138" s="23"/>
      <c r="N138" s="66"/>
      <c r="O138" s="23"/>
      <c r="P138" s="66"/>
      <c r="Q138" s="23"/>
      <c r="R138" s="66"/>
      <c r="S138" s="23"/>
      <c r="T138" s="66"/>
      <c r="U138" s="23"/>
      <c r="V138" s="73"/>
      <c r="W138" s="9"/>
      <c r="X138" s="9"/>
      <c r="Y138" s="23"/>
      <c r="Z138" s="68"/>
    </row>
  </sheetData>
  <mergeCells count="1091">
    <mergeCell ref="P129:Q129"/>
    <mergeCell ref="R129:S129"/>
    <mergeCell ref="T129:U129"/>
    <mergeCell ref="V129:Y129"/>
    <mergeCell ref="N128:O128"/>
    <mergeCell ref="P128:Q128"/>
    <mergeCell ref="V128:Y128"/>
    <mergeCell ref="D129:E129"/>
    <mergeCell ref="F129:G129"/>
    <mergeCell ref="H129:I129"/>
    <mergeCell ref="J129:K129"/>
    <mergeCell ref="R121:S121"/>
    <mergeCell ref="T121:U121"/>
    <mergeCell ref="V121:Y121"/>
    <mergeCell ref="D121:E121"/>
    <mergeCell ref="F121:G121"/>
    <mergeCell ref="H121:I121"/>
    <mergeCell ref="J121:K121"/>
    <mergeCell ref="L121:M121"/>
    <mergeCell ref="N121:O121"/>
    <mergeCell ref="P121:Q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N130:O130"/>
    <mergeCell ref="P130:Q130"/>
    <mergeCell ref="R130:S130"/>
    <mergeCell ref="T130:U130"/>
    <mergeCell ref="V130:Y130"/>
    <mergeCell ref="L129:M129"/>
    <mergeCell ref="N129:O129"/>
    <mergeCell ref="D130:E130"/>
    <mergeCell ref="F130:G130"/>
    <mergeCell ref="H130:I130"/>
    <mergeCell ref="J130:K130"/>
    <mergeCell ref="L130:M130"/>
    <mergeCell ref="R131:S131"/>
    <mergeCell ref="T131:U131"/>
    <mergeCell ref="V131:Y131"/>
    <mergeCell ref="D131:E131"/>
    <mergeCell ref="F131:G131"/>
    <mergeCell ref="H131:I131"/>
    <mergeCell ref="J131:K131"/>
    <mergeCell ref="L131:M131"/>
    <mergeCell ref="N131:O131"/>
    <mergeCell ref="P131:Q131"/>
    <mergeCell ref="R132:S132"/>
    <mergeCell ref="T132:U132"/>
    <mergeCell ref="V132:Y132"/>
    <mergeCell ref="D132:E132"/>
    <mergeCell ref="F132:G132"/>
    <mergeCell ref="H132:I132"/>
    <mergeCell ref="J132:K132"/>
    <mergeCell ref="L132:M132"/>
    <mergeCell ref="N132:O132"/>
    <mergeCell ref="P132:Q132"/>
    <mergeCell ref="R133:S133"/>
    <mergeCell ref="T133:U133"/>
    <mergeCell ref="V133:Y133"/>
    <mergeCell ref="D133:E133"/>
    <mergeCell ref="F133:G133"/>
    <mergeCell ref="H133:I133"/>
    <mergeCell ref="J133:K133"/>
    <mergeCell ref="L133:M133"/>
    <mergeCell ref="N133:O133"/>
    <mergeCell ref="P133:Q133"/>
    <mergeCell ref="R137:S137"/>
    <mergeCell ref="T137:U137"/>
    <mergeCell ref="V137:Y137"/>
    <mergeCell ref="D137:E137"/>
    <mergeCell ref="F137:G137"/>
    <mergeCell ref="H137:I137"/>
    <mergeCell ref="J137:K137"/>
    <mergeCell ref="L137:M137"/>
    <mergeCell ref="N137:O137"/>
    <mergeCell ref="P137:Q137"/>
    <mergeCell ref="R134:S134"/>
    <mergeCell ref="T134:U134"/>
    <mergeCell ref="V134:Y134"/>
    <mergeCell ref="D134:E134"/>
    <mergeCell ref="F134:G134"/>
    <mergeCell ref="H134:I134"/>
    <mergeCell ref="J134:K134"/>
    <mergeCell ref="L134:M134"/>
    <mergeCell ref="N134:O134"/>
    <mergeCell ref="P134:Q134"/>
    <mergeCell ref="R135:S135"/>
    <mergeCell ref="T135:U135"/>
    <mergeCell ref="V135:Y135"/>
    <mergeCell ref="D135:E135"/>
    <mergeCell ref="F135:G135"/>
    <mergeCell ref="H135:I135"/>
    <mergeCell ref="J135:K135"/>
    <mergeCell ref="L135:M135"/>
    <mergeCell ref="N135:O135"/>
    <mergeCell ref="P135:Q135"/>
    <mergeCell ref="R136:S136"/>
    <mergeCell ref="T136:U136"/>
    <mergeCell ref="V136:Y136"/>
    <mergeCell ref="D136:E136"/>
    <mergeCell ref="F136:G136"/>
    <mergeCell ref="H136:I136"/>
    <mergeCell ref="J136:K136"/>
    <mergeCell ref="L136:M136"/>
    <mergeCell ref="N136:O136"/>
    <mergeCell ref="P136:Q136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15:S115"/>
    <mergeCell ref="T115:U115"/>
    <mergeCell ref="B114:U114"/>
    <mergeCell ref="V114:X114"/>
    <mergeCell ref="D115:E115"/>
    <mergeCell ref="F115:G115"/>
    <mergeCell ref="H115:I115"/>
    <mergeCell ref="J115:K115"/>
    <mergeCell ref="L115:M115"/>
    <mergeCell ref="P116:Q116"/>
    <mergeCell ref="R116:S116"/>
    <mergeCell ref="T116:U116"/>
    <mergeCell ref="V116:Y116"/>
    <mergeCell ref="N115:O115"/>
    <mergeCell ref="P115:Q115"/>
    <mergeCell ref="V115:Y115"/>
    <mergeCell ref="D116:E116"/>
    <mergeCell ref="F116:G116"/>
    <mergeCell ref="H116:I116"/>
    <mergeCell ref="J116:K116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N117:O117"/>
    <mergeCell ref="P117:Q117"/>
    <mergeCell ref="R117:S117"/>
    <mergeCell ref="T117:U117"/>
    <mergeCell ref="V117:Y117"/>
    <mergeCell ref="L116:M116"/>
    <mergeCell ref="N116:O116"/>
    <mergeCell ref="D117:E117"/>
    <mergeCell ref="F117:G117"/>
    <mergeCell ref="H117:I117"/>
    <mergeCell ref="J117:K117"/>
    <mergeCell ref="L117:M117"/>
    <mergeCell ref="R118:S118"/>
    <mergeCell ref="T118:U118"/>
    <mergeCell ref="V118:Y118"/>
    <mergeCell ref="D118:E118"/>
    <mergeCell ref="F118:G118"/>
    <mergeCell ref="H118:I118"/>
    <mergeCell ref="J118:K118"/>
    <mergeCell ref="L118:M118"/>
    <mergeCell ref="N118:O118"/>
    <mergeCell ref="P118:Q118"/>
    <mergeCell ref="R119:S119"/>
    <mergeCell ref="T119:U119"/>
    <mergeCell ref="V119:Y119"/>
    <mergeCell ref="D119:E119"/>
    <mergeCell ref="F119:G119"/>
    <mergeCell ref="H119:I119"/>
    <mergeCell ref="J119:K119"/>
    <mergeCell ref="L119:M119"/>
    <mergeCell ref="N119:O119"/>
    <mergeCell ref="P119:Q119"/>
    <mergeCell ref="R120:S120"/>
    <mergeCell ref="T120:U120"/>
    <mergeCell ref="V120:Y120"/>
    <mergeCell ref="D120:E120"/>
    <mergeCell ref="F120:G120"/>
    <mergeCell ref="H120:I120"/>
    <mergeCell ref="J120:K120"/>
    <mergeCell ref="L120:M120"/>
    <mergeCell ref="N120:O120"/>
    <mergeCell ref="P120:Q120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R128:S128"/>
    <mergeCell ref="T128:U128"/>
    <mergeCell ref="B127:U127"/>
    <mergeCell ref="V127:X127"/>
    <mergeCell ref="D128:E128"/>
    <mergeCell ref="F128:G128"/>
    <mergeCell ref="H128:I128"/>
    <mergeCell ref="J128:K128"/>
    <mergeCell ref="L128:M128"/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X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4:S24"/>
    <mergeCell ref="T24:U24"/>
    <mergeCell ref="B23:U23"/>
    <mergeCell ref="V23:X23"/>
    <mergeCell ref="D24:E24"/>
    <mergeCell ref="F24:G24"/>
    <mergeCell ref="H24:I24"/>
    <mergeCell ref="J24:K24"/>
    <mergeCell ref="L24:M24"/>
    <mergeCell ref="P25:Q25"/>
    <mergeCell ref="R25:S25"/>
    <mergeCell ref="T25:U25"/>
    <mergeCell ref="V25:Y25"/>
    <mergeCell ref="N24:O24"/>
    <mergeCell ref="P24:Q24"/>
    <mergeCell ref="V24:Y24"/>
    <mergeCell ref="D25:E25"/>
    <mergeCell ref="F25:G25"/>
    <mergeCell ref="H25:I25"/>
    <mergeCell ref="J25:K25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N26:O26"/>
    <mergeCell ref="P26:Q26"/>
    <mergeCell ref="R26:S26"/>
    <mergeCell ref="T26:U26"/>
    <mergeCell ref="V26:Y26"/>
    <mergeCell ref="L25:M25"/>
    <mergeCell ref="N25:O25"/>
    <mergeCell ref="D26:E26"/>
    <mergeCell ref="F26:G26"/>
    <mergeCell ref="H26:I26"/>
    <mergeCell ref="J26:K26"/>
    <mergeCell ref="L26:M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7:S37"/>
    <mergeCell ref="T37:U37"/>
    <mergeCell ref="B36:U36"/>
    <mergeCell ref="V36:X36"/>
    <mergeCell ref="D37:E37"/>
    <mergeCell ref="F37:G37"/>
    <mergeCell ref="H37:I37"/>
    <mergeCell ref="J37:K37"/>
    <mergeCell ref="L37:M37"/>
    <mergeCell ref="P38:Q38"/>
    <mergeCell ref="R38:S38"/>
    <mergeCell ref="T38:U38"/>
    <mergeCell ref="V38:Y38"/>
    <mergeCell ref="N37:O37"/>
    <mergeCell ref="P37:Q37"/>
    <mergeCell ref="V37:Y37"/>
    <mergeCell ref="D38:E38"/>
    <mergeCell ref="F38:G38"/>
    <mergeCell ref="H38:I38"/>
    <mergeCell ref="J38:K38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N39:O39"/>
    <mergeCell ref="P39:Q39"/>
    <mergeCell ref="R39:S39"/>
    <mergeCell ref="T39:U39"/>
    <mergeCell ref="V39:Y39"/>
    <mergeCell ref="L38:M38"/>
    <mergeCell ref="N38:O38"/>
    <mergeCell ref="D39:E39"/>
    <mergeCell ref="F39:G39"/>
    <mergeCell ref="H39:I39"/>
    <mergeCell ref="J39:K39"/>
    <mergeCell ref="L39:M39"/>
    <mergeCell ref="R40:S40"/>
    <mergeCell ref="T40:U40"/>
    <mergeCell ref="V40:Y40"/>
    <mergeCell ref="D40:E40"/>
    <mergeCell ref="F40:G40"/>
    <mergeCell ref="H40:I40"/>
    <mergeCell ref="J40:K40"/>
    <mergeCell ref="L40:M40"/>
    <mergeCell ref="N40:O40"/>
    <mergeCell ref="P40:Q40"/>
    <mergeCell ref="R41:S41"/>
    <mergeCell ref="T41:U41"/>
    <mergeCell ref="V41:Y41"/>
    <mergeCell ref="D41:E41"/>
    <mergeCell ref="F41:G41"/>
    <mergeCell ref="H41:I41"/>
    <mergeCell ref="J41:K41"/>
    <mergeCell ref="L41:M41"/>
    <mergeCell ref="N41:O41"/>
    <mergeCell ref="P41:Q41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50:S50"/>
    <mergeCell ref="T50:U50"/>
    <mergeCell ref="B49:U49"/>
    <mergeCell ref="V49:X49"/>
    <mergeCell ref="D50:E50"/>
    <mergeCell ref="F50:G50"/>
    <mergeCell ref="H50:I50"/>
    <mergeCell ref="J50:K50"/>
    <mergeCell ref="L50:M50"/>
    <mergeCell ref="P51:Q51"/>
    <mergeCell ref="R51:S51"/>
    <mergeCell ref="T51:U51"/>
    <mergeCell ref="V51:Y51"/>
    <mergeCell ref="N50:O50"/>
    <mergeCell ref="P50:Q50"/>
    <mergeCell ref="V50:Y50"/>
    <mergeCell ref="D51:E51"/>
    <mergeCell ref="F51:G51"/>
    <mergeCell ref="H51:I51"/>
    <mergeCell ref="J51:K51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N52:O52"/>
    <mergeCell ref="P52:Q52"/>
    <mergeCell ref="R52:S52"/>
    <mergeCell ref="T52:U52"/>
    <mergeCell ref="V52:Y52"/>
    <mergeCell ref="L51:M51"/>
    <mergeCell ref="N51:O51"/>
    <mergeCell ref="D52:E52"/>
    <mergeCell ref="F52:G52"/>
    <mergeCell ref="H52:I52"/>
    <mergeCell ref="J52:K52"/>
    <mergeCell ref="L52:M52"/>
    <mergeCell ref="R53:S53"/>
    <mergeCell ref="T53:U53"/>
    <mergeCell ref="V53:Y53"/>
    <mergeCell ref="D53:E53"/>
    <mergeCell ref="F53:G53"/>
    <mergeCell ref="H53:I53"/>
    <mergeCell ref="J53:K53"/>
    <mergeCell ref="L53:M53"/>
    <mergeCell ref="N53:O53"/>
    <mergeCell ref="P53:Q53"/>
    <mergeCell ref="R54:S54"/>
    <mergeCell ref="T54:U54"/>
    <mergeCell ref="V54:Y54"/>
    <mergeCell ref="D54:E54"/>
    <mergeCell ref="F54:G54"/>
    <mergeCell ref="H54:I54"/>
    <mergeCell ref="J54:K54"/>
    <mergeCell ref="L54:M54"/>
    <mergeCell ref="N54:O54"/>
    <mergeCell ref="P54:Q54"/>
    <mergeCell ref="R55:S55"/>
    <mergeCell ref="T55:U55"/>
    <mergeCell ref="V55:Y55"/>
    <mergeCell ref="D55:E55"/>
    <mergeCell ref="F55:G55"/>
    <mergeCell ref="H55:I55"/>
    <mergeCell ref="J55:K55"/>
    <mergeCell ref="L55:M55"/>
    <mergeCell ref="N55:O55"/>
    <mergeCell ref="P55:Q55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3:S63"/>
    <mergeCell ref="T63:U63"/>
    <mergeCell ref="B62:U62"/>
    <mergeCell ref="V62:X62"/>
    <mergeCell ref="D63:E63"/>
    <mergeCell ref="F63:G63"/>
    <mergeCell ref="H63:I63"/>
    <mergeCell ref="J63:K63"/>
    <mergeCell ref="L63:M63"/>
    <mergeCell ref="P77:Q77"/>
    <mergeCell ref="R77:S77"/>
    <mergeCell ref="T77:U77"/>
    <mergeCell ref="V77:Y77"/>
    <mergeCell ref="N76:O76"/>
    <mergeCell ref="P76:Q76"/>
    <mergeCell ref="V76:Y76"/>
    <mergeCell ref="D77:E77"/>
    <mergeCell ref="F77:G77"/>
    <mergeCell ref="H77:I77"/>
    <mergeCell ref="J77:K77"/>
    <mergeCell ref="R69:S69"/>
    <mergeCell ref="T69:U69"/>
    <mergeCell ref="V69:Y69"/>
    <mergeCell ref="D69:E69"/>
    <mergeCell ref="F69:G69"/>
    <mergeCell ref="H69:I69"/>
    <mergeCell ref="J69:K69"/>
    <mergeCell ref="L69:M69"/>
    <mergeCell ref="N69:O69"/>
    <mergeCell ref="P69:Q69"/>
    <mergeCell ref="R70:S70"/>
    <mergeCell ref="T70:U70"/>
    <mergeCell ref="V70:Y70"/>
    <mergeCell ref="D70:E70"/>
    <mergeCell ref="F70:G70"/>
    <mergeCell ref="H70:I70"/>
    <mergeCell ref="J70:K70"/>
    <mergeCell ref="L70:M70"/>
    <mergeCell ref="N70:O70"/>
    <mergeCell ref="P70:Q70"/>
    <mergeCell ref="R71:S71"/>
    <mergeCell ref="T71:U71"/>
    <mergeCell ref="V71:Y71"/>
    <mergeCell ref="D71:E71"/>
    <mergeCell ref="F71:G71"/>
    <mergeCell ref="H71:I71"/>
    <mergeCell ref="J71:K71"/>
    <mergeCell ref="L71:M71"/>
    <mergeCell ref="N71:O71"/>
    <mergeCell ref="P71:Q71"/>
    <mergeCell ref="N78:O78"/>
    <mergeCell ref="P78:Q78"/>
    <mergeCell ref="R78:S78"/>
    <mergeCell ref="T78:U78"/>
    <mergeCell ref="V78:Y78"/>
    <mergeCell ref="P64:Q64"/>
    <mergeCell ref="R64:S64"/>
    <mergeCell ref="T64:U64"/>
    <mergeCell ref="V64:Y64"/>
    <mergeCell ref="N63:O63"/>
    <mergeCell ref="P63:Q63"/>
    <mergeCell ref="V63:Y63"/>
    <mergeCell ref="D64:E64"/>
    <mergeCell ref="F64:G64"/>
    <mergeCell ref="H64:I64"/>
    <mergeCell ref="J64:K64"/>
    <mergeCell ref="R56:S56"/>
    <mergeCell ref="T56:U56"/>
    <mergeCell ref="V56:Y56"/>
    <mergeCell ref="D56:E56"/>
    <mergeCell ref="F56:G56"/>
    <mergeCell ref="H56:I56"/>
    <mergeCell ref="J56:K56"/>
    <mergeCell ref="L56:M56"/>
    <mergeCell ref="N56:O56"/>
    <mergeCell ref="P56:Q56"/>
    <mergeCell ref="R57:S57"/>
    <mergeCell ref="T57:U57"/>
    <mergeCell ref="V57:Y57"/>
    <mergeCell ref="D57:E57"/>
    <mergeCell ref="F57:G57"/>
    <mergeCell ref="H57:I57"/>
    <mergeCell ref="J57:K57"/>
    <mergeCell ref="L57:M57"/>
    <mergeCell ref="N57:O57"/>
    <mergeCell ref="P57:Q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N65:O65"/>
    <mergeCell ref="P65:Q65"/>
    <mergeCell ref="R65:S65"/>
    <mergeCell ref="T65:U65"/>
    <mergeCell ref="V65:Y65"/>
    <mergeCell ref="L64:M64"/>
    <mergeCell ref="N64:O64"/>
    <mergeCell ref="D65:E65"/>
    <mergeCell ref="F65:G65"/>
    <mergeCell ref="H65:I65"/>
    <mergeCell ref="J65:K65"/>
    <mergeCell ref="L65:M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7:S67"/>
    <mergeCell ref="T67:U67"/>
    <mergeCell ref="V67:Y67"/>
    <mergeCell ref="D67:E67"/>
    <mergeCell ref="F67:G67"/>
    <mergeCell ref="H67:I67"/>
    <mergeCell ref="J67:K67"/>
    <mergeCell ref="L67:M67"/>
    <mergeCell ref="N67:O67"/>
    <mergeCell ref="P67:Q67"/>
    <mergeCell ref="R68:S68"/>
    <mergeCell ref="T68:U68"/>
    <mergeCell ref="V68:Y68"/>
    <mergeCell ref="D68:E68"/>
    <mergeCell ref="F68:G68"/>
    <mergeCell ref="H68:I68"/>
    <mergeCell ref="J68:K68"/>
    <mergeCell ref="L68:M68"/>
    <mergeCell ref="N68:O68"/>
    <mergeCell ref="P68:Q68"/>
    <mergeCell ref="R72:S72"/>
    <mergeCell ref="T72:U72"/>
    <mergeCell ref="V72:Y72"/>
    <mergeCell ref="D72:E72"/>
    <mergeCell ref="F72:G72"/>
    <mergeCell ref="H72:I72"/>
    <mergeCell ref="J72:K72"/>
    <mergeCell ref="L72:M72"/>
    <mergeCell ref="N72:O72"/>
    <mergeCell ref="P72:Q72"/>
    <mergeCell ref="R73:S73"/>
    <mergeCell ref="T73:U73"/>
    <mergeCell ref="V73:Y73"/>
    <mergeCell ref="D73:E73"/>
    <mergeCell ref="F73:G73"/>
    <mergeCell ref="H73:I73"/>
    <mergeCell ref="J73:K73"/>
    <mergeCell ref="L73:M73"/>
    <mergeCell ref="N73:O73"/>
    <mergeCell ref="P73:Q73"/>
    <mergeCell ref="R76:S76"/>
    <mergeCell ref="T76:U76"/>
    <mergeCell ref="B75:U75"/>
    <mergeCell ref="V75:X75"/>
    <mergeCell ref="D76:E76"/>
    <mergeCell ref="F76:G76"/>
    <mergeCell ref="H76:I76"/>
    <mergeCell ref="J76:K76"/>
    <mergeCell ref="L76:M76"/>
    <mergeCell ref="L77:M77"/>
    <mergeCell ref="N77:O77"/>
    <mergeCell ref="D78:E78"/>
    <mergeCell ref="F78:G78"/>
    <mergeCell ref="H78:I78"/>
    <mergeCell ref="J78:K78"/>
    <mergeCell ref="L78:M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R85:S85"/>
    <mergeCell ref="T85:U85"/>
    <mergeCell ref="V85:Y85"/>
    <mergeCell ref="D85:E85"/>
    <mergeCell ref="F85:G85"/>
    <mergeCell ref="H85:I85"/>
    <mergeCell ref="J85:K85"/>
    <mergeCell ref="L85:M85"/>
    <mergeCell ref="N85:O85"/>
    <mergeCell ref="P85:Q85"/>
    <mergeCell ref="R86:S86"/>
    <mergeCell ref="T86:U86"/>
    <mergeCell ref="V86:Y86"/>
    <mergeCell ref="D86:E86"/>
    <mergeCell ref="F86:G86"/>
    <mergeCell ref="H86:I86"/>
    <mergeCell ref="J86:K86"/>
    <mergeCell ref="L86:M86"/>
    <mergeCell ref="N86:O86"/>
    <mergeCell ref="P86:Q86"/>
    <mergeCell ref="R89:S89"/>
    <mergeCell ref="T89:U89"/>
    <mergeCell ref="B88:U88"/>
    <mergeCell ref="V88:X88"/>
    <mergeCell ref="D89:E89"/>
    <mergeCell ref="F89:G89"/>
    <mergeCell ref="H89:I89"/>
    <mergeCell ref="J89:K89"/>
    <mergeCell ref="L89:M89"/>
    <mergeCell ref="P90:Q90"/>
    <mergeCell ref="R90:S90"/>
    <mergeCell ref="T90:U90"/>
    <mergeCell ref="V90:Y90"/>
    <mergeCell ref="N89:O89"/>
    <mergeCell ref="P89:Q89"/>
    <mergeCell ref="V89:Y89"/>
    <mergeCell ref="D90:E90"/>
    <mergeCell ref="F90:G90"/>
    <mergeCell ref="H90:I90"/>
    <mergeCell ref="J90:K90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83:S83"/>
    <mergeCell ref="T83:U83"/>
    <mergeCell ref="V83:Y83"/>
    <mergeCell ref="D83:E83"/>
    <mergeCell ref="F83:G83"/>
    <mergeCell ref="H83:I83"/>
    <mergeCell ref="J83:K83"/>
    <mergeCell ref="L83:M83"/>
    <mergeCell ref="N83:O83"/>
    <mergeCell ref="P83:Q83"/>
    <mergeCell ref="R84:S84"/>
    <mergeCell ref="T84:U84"/>
    <mergeCell ref="V84:Y84"/>
    <mergeCell ref="D84:E84"/>
    <mergeCell ref="F84:G84"/>
    <mergeCell ref="H84:I84"/>
    <mergeCell ref="J84:K84"/>
    <mergeCell ref="L84:M84"/>
    <mergeCell ref="N84:O84"/>
    <mergeCell ref="P84:Q84"/>
    <mergeCell ref="N91:O91"/>
    <mergeCell ref="P91:Q91"/>
    <mergeCell ref="R91:S91"/>
    <mergeCell ref="T91:U91"/>
    <mergeCell ref="V91:Y91"/>
    <mergeCell ref="L90:M90"/>
    <mergeCell ref="N90:O90"/>
    <mergeCell ref="D91:E91"/>
    <mergeCell ref="F91:G91"/>
    <mergeCell ref="H91:I91"/>
    <mergeCell ref="J91:K91"/>
    <mergeCell ref="L91:M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99:S99"/>
    <mergeCell ref="T99:U99"/>
    <mergeCell ref="V99:Y99"/>
    <mergeCell ref="D99:E99"/>
    <mergeCell ref="F99:G99"/>
    <mergeCell ref="H99:I99"/>
    <mergeCell ref="J99:K99"/>
    <mergeCell ref="L99:M99"/>
    <mergeCell ref="N99:O99"/>
    <mergeCell ref="P99:Q99"/>
    <mergeCell ref="R102:S102"/>
    <mergeCell ref="T102:U102"/>
    <mergeCell ref="B101:U101"/>
    <mergeCell ref="V101:X101"/>
    <mergeCell ref="D102:E102"/>
    <mergeCell ref="F102:G102"/>
    <mergeCell ref="H102:I102"/>
    <mergeCell ref="J102:K102"/>
    <mergeCell ref="L102:M102"/>
    <mergeCell ref="P103:Q103"/>
    <mergeCell ref="R103:S103"/>
    <mergeCell ref="T103:U103"/>
    <mergeCell ref="V103:Y103"/>
    <mergeCell ref="N102:O102"/>
    <mergeCell ref="P102:Q102"/>
    <mergeCell ref="V102:Y102"/>
    <mergeCell ref="D103:E103"/>
    <mergeCell ref="F103:G103"/>
    <mergeCell ref="H103:I103"/>
    <mergeCell ref="J103:K103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N104:O104"/>
    <mergeCell ref="P104:Q104"/>
    <mergeCell ref="R104:S104"/>
    <mergeCell ref="T104:U104"/>
    <mergeCell ref="V104:Y104"/>
    <mergeCell ref="L103:M103"/>
    <mergeCell ref="N103:O103"/>
    <mergeCell ref="D104:E104"/>
    <mergeCell ref="F104:G104"/>
    <mergeCell ref="H104:I104"/>
    <mergeCell ref="J104:K104"/>
    <mergeCell ref="L104:M104"/>
    <mergeCell ref="R105:S105"/>
    <mergeCell ref="T105:U105"/>
    <mergeCell ref="V105:Y105"/>
    <mergeCell ref="D105:E105"/>
    <mergeCell ref="F105:G105"/>
    <mergeCell ref="H105:I105"/>
    <mergeCell ref="J105:K105"/>
    <mergeCell ref="L105:M105"/>
    <mergeCell ref="N105:O105"/>
    <mergeCell ref="P105:Q105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</mergeCells>
  <conditionalFormatting sqref="B16:E21 B25:E34 B38:E47 B51:E60 B64:E73 B77:E86 B90:E99 B103:E112 B116:E125 B129:E138">
    <cfRule type="expression" dxfId="0" priority="1">
      <formula>INDIRECT(CONCAT("D",ROW()))</formula>
    </cfRule>
  </conditionalFormatting>
  <dataValidations>
    <dataValidation type="list" allowBlank="1" sqref="C64:C73">
      <formula1>'Spell List'!$C$97:$D$113</formula1>
    </dataValidation>
    <dataValidation type="list" allowBlank="1" sqref="C77:C86">
      <formula1>'Spell List'!$C$114:$D$132</formula1>
    </dataValidation>
    <dataValidation type="list" allowBlank="1" sqref="C51:C60">
      <formula1>'Spell List'!$C$75:$D$96</formula1>
    </dataValidation>
    <dataValidation type="list" allowBlank="1" sqref="C116:C125">
      <formula1>'Spell List'!$C$164:$D$174</formula1>
    </dataValidation>
    <dataValidation type="list" allowBlank="1" sqref="C25:C34">
      <formula1>'Spell List'!$C$29:$D$48</formula1>
    </dataValidation>
    <dataValidation type="list" allowBlank="1" sqref="C38:C47">
      <formula1>'Spell List'!$C$49:$D$74</formula1>
    </dataValidation>
    <dataValidation type="list" allowBlank="1" sqref="C90:C99">
      <formula1>'Spell List'!$C$133:$D$150</formula1>
    </dataValidation>
    <dataValidation type="list" allowBlank="1" sqref="C103:C112">
      <formula1>'Spell List'!$C$151:$D$163</formula1>
    </dataValidation>
    <dataValidation type="list" allowBlank="1" sqref="C129:C138">
      <formula1>'Spell List'!$C$175:$D$184</formula1>
    </dataValidation>
  </dataValidations>
  <hyperlinks>
    <hyperlink display="Orisons" location="Prepared Spells!B14:Y21" ref="B3"/>
    <hyperlink display="1st Level Spells" location="Prepared Spells!B23:Y34" ref="B4"/>
    <hyperlink display="2nd Level Spells" location="Prepared Spells!B36:Y47" ref="B5"/>
    <hyperlink display="3rd Level Spells" location="Prepared Spells!B49:Y60" ref="B6"/>
    <hyperlink display="4th Level Spells" location="Prepared Spells!B62:Y73" ref="B7"/>
    <hyperlink display="5th Level Spells" location="Prepared Spells!B75:Y86" ref="B8"/>
    <hyperlink display="6th Level Spells" location="Prepared Spells!B88:Y99" ref="B9"/>
    <hyperlink display="7th Level Spells" location="Prepared Spells!B101:Y112" ref="B10"/>
    <hyperlink display="8th Level Spells" location="Prepared Spells!B114:Y125" ref="B11"/>
    <hyperlink display="9th Level Spells" location="Prepared Spells!B127:Y138" ref="B12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6" t="s">
        <v>1</v>
      </c>
      <c r="B2" s="76" t="s">
        <v>39</v>
      </c>
      <c r="C2" s="76" t="s">
        <v>40</v>
      </c>
      <c r="D2" s="76" t="s">
        <v>41</v>
      </c>
      <c r="E2" s="76" t="s">
        <v>42</v>
      </c>
      <c r="F2" s="76" t="s">
        <v>43</v>
      </c>
      <c r="G2" s="76" t="s">
        <v>44</v>
      </c>
      <c r="H2" s="76" t="s">
        <v>45</v>
      </c>
      <c r="I2" s="76" t="s">
        <v>46</v>
      </c>
      <c r="J2" s="76" t="s">
        <v>47</v>
      </c>
      <c r="K2" s="76" t="s">
        <v>48</v>
      </c>
    </row>
    <row r="3">
      <c r="A3" s="76">
        <v>1.0</v>
      </c>
      <c r="B3" s="76">
        <v>3.0</v>
      </c>
      <c r="C3" s="76">
        <v>1.0</v>
      </c>
    </row>
    <row r="4">
      <c r="A4" s="76">
        <v>2.0</v>
      </c>
      <c r="B4" s="76">
        <v>4.0</v>
      </c>
      <c r="C4" s="76">
        <v>2.0</v>
      </c>
    </row>
    <row r="5">
      <c r="A5" s="76">
        <v>3.0</v>
      </c>
      <c r="B5" s="76">
        <v>4.0</v>
      </c>
      <c r="C5" s="76">
        <v>2.0</v>
      </c>
      <c r="D5" s="76">
        <v>1.0</v>
      </c>
    </row>
    <row r="6">
      <c r="A6" s="76">
        <v>4.0</v>
      </c>
      <c r="B6" s="76">
        <v>5.0</v>
      </c>
      <c r="C6" s="76">
        <v>3.0</v>
      </c>
      <c r="D6" s="76">
        <v>2.0</v>
      </c>
    </row>
    <row r="7">
      <c r="A7" s="76">
        <v>5.0</v>
      </c>
      <c r="B7" s="76">
        <v>5.0</v>
      </c>
      <c r="C7" s="76">
        <v>3.0</v>
      </c>
      <c r="D7" s="76">
        <v>2.0</v>
      </c>
      <c r="E7" s="76">
        <v>1.0</v>
      </c>
    </row>
    <row r="8">
      <c r="A8" s="76">
        <v>6.0</v>
      </c>
      <c r="B8" s="76">
        <v>5.0</v>
      </c>
      <c r="C8" s="76">
        <v>3.0</v>
      </c>
      <c r="D8" s="76">
        <v>3.0</v>
      </c>
      <c r="E8" s="76">
        <v>2.0</v>
      </c>
    </row>
    <row r="9">
      <c r="A9" s="76">
        <v>7.0</v>
      </c>
      <c r="B9" s="76">
        <v>6.0</v>
      </c>
      <c r="C9" s="76">
        <v>4.0</v>
      </c>
      <c r="D9" s="76">
        <v>3.0</v>
      </c>
      <c r="E9" s="76">
        <v>2.0</v>
      </c>
      <c r="F9" s="76">
        <v>1.0</v>
      </c>
    </row>
    <row r="10">
      <c r="A10" s="76">
        <v>8.0</v>
      </c>
      <c r="B10" s="76">
        <v>6.0</v>
      </c>
      <c r="C10" s="76">
        <v>4.0</v>
      </c>
      <c r="D10" s="76">
        <v>3.0</v>
      </c>
      <c r="E10" s="76">
        <v>3.0</v>
      </c>
      <c r="F10" s="76">
        <v>2.0</v>
      </c>
    </row>
    <row r="11">
      <c r="A11" s="76">
        <v>9.0</v>
      </c>
      <c r="B11" s="76">
        <v>6.0</v>
      </c>
      <c r="C11" s="76">
        <v>4.0</v>
      </c>
      <c r="D11" s="76">
        <v>4.0</v>
      </c>
      <c r="E11" s="76">
        <v>3.0</v>
      </c>
      <c r="F11" s="76">
        <v>2.0</v>
      </c>
      <c r="G11" s="76">
        <v>1.0</v>
      </c>
    </row>
    <row r="12">
      <c r="A12" s="76">
        <v>10.0</v>
      </c>
      <c r="B12" s="76">
        <v>6.0</v>
      </c>
      <c r="C12" s="76">
        <v>4.0</v>
      </c>
      <c r="D12" s="76">
        <v>4.0</v>
      </c>
      <c r="E12" s="76">
        <v>3.0</v>
      </c>
      <c r="F12" s="76">
        <v>3.0</v>
      </c>
      <c r="G12" s="76">
        <v>2.0</v>
      </c>
    </row>
    <row r="13">
      <c r="A13" s="76">
        <v>11.0</v>
      </c>
      <c r="B13" s="76">
        <v>6.0</v>
      </c>
      <c r="C13" s="76">
        <v>5.0</v>
      </c>
      <c r="D13" s="76">
        <v>4.0</v>
      </c>
      <c r="E13" s="76">
        <v>4.0</v>
      </c>
      <c r="F13" s="76">
        <v>3.0</v>
      </c>
      <c r="G13" s="76">
        <v>2.0</v>
      </c>
      <c r="H13" s="76">
        <v>1.0</v>
      </c>
    </row>
    <row r="14">
      <c r="A14" s="76">
        <v>12.0</v>
      </c>
      <c r="B14" s="76">
        <v>6.0</v>
      </c>
      <c r="C14" s="76">
        <v>5.0</v>
      </c>
      <c r="D14" s="76">
        <v>4.0</v>
      </c>
      <c r="E14" s="76">
        <v>4.0</v>
      </c>
      <c r="F14" s="76">
        <v>3.0</v>
      </c>
      <c r="G14" s="76">
        <v>3.0</v>
      </c>
      <c r="H14" s="76">
        <v>2.0</v>
      </c>
    </row>
    <row r="15">
      <c r="A15" s="76">
        <v>13.0</v>
      </c>
      <c r="B15" s="76">
        <v>6.0</v>
      </c>
      <c r="C15" s="76">
        <v>5.0</v>
      </c>
      <c r="D15" s="76">
        <v>5.0</v>
      </c>
      <c r="E15" s="76">
        <v>4.0</v>
      </c>
      <c r="F15" s="76">
        <v>4.0</v>
      </c>
      <c r="G15" s="76">
        <v>3.0</v>
      </c>
      <c r="H15" s="76">
        <v>2.0</v>
      </c>
      <c r="I15" s="76">
        <v>1.0</v>
      </c>
    </row>
    <row r="16">
      <c r="A16" s="76">
        <v>14.0</v>
      </c>
      <c r="B16" s="76">
        <v>6.0</v>
      </c>
      <c r="C16" s="76">
        <v>5.0</v>
      </c>
      <c r="D16" s="76">
        <v>5.0</v>
      </c>
      <c r="E16" s="76">
        <v>4.0</v>
      </c>
      <c r="F16" s="76">
        <v>4.0</v>
      </c>
      <c r="G16" s="76">
        <v>3.0</v>
      </c>
      <c r="H16" s="76">
        <v>3.0</v>
      </c>
      <c r="I16" s="76">
        <v>2.0</v>
      </c>
    </row>
    <row r="17">
      <c r="A17" s="76">
        <v>15.0</v>
      </c>
      <c r="B17" s="76">
        <v>6.0</v>
      </c>
      <c r="C17" s="76">
        <v>5.0</v>
      </c>
      <c r="D17" s="76">
        <v>5.0</v>
      </c>
      <c r="E17" s="76">
        <v>5.0</v>
      </c>
      <c r="F17" s="76">
        <v>4.0</v>
      </c>
      <c r="G17" s="76">
        <v>4.0</v>
      </c>
      <c r="H17" s="76">
        <v>3.0</v>
      </c>
      <c r="I17" s="76">
        <v>2.0</v>
      </c>
      <c r="J17" s="76">
        <v>1.0</v>
      </c>
    </row>
    <row r="18">
      <c r="A18" s="76">
        <v>16.0</v>
      </c>
      <c r="B18" s="76">
        <v>6.0</v>
      </c>
      <c r="C18" s="76">
        <v>5.0</v>
      </c>
      <c r="D18" s="76">
        <v>5.0</v>
      </c>
      <c r="E18" s="76">
        <v>5.0</v>
      </c>
      <c r="F18" s="76">
        <v>4.0</v>
      </c>
      <c r="G18" s="76">
        <v>4.0</v>
      </c>
      <c r="H18" s="76">
        <v>3.0</v>
      </c>
      <c r="I18" s="76">
        <v>3.0</v>
      </c>
      <c r="J18" s="76">
        <v>2.0</v>
      </c>
    </row>
    <row r="19">
      <c r="A19" s="76">
        <v>17.0</v>
      </c>
      <c r="B19" s="76">
        <v>6.0</v>
      </c>
      <c r="C19" s="76">
        <v>5.0</v>
      </c>
      <c r="D19" s="76">
        <v>5.0</v>
      </c>
      <c r="E19" s="76">
        <v>5.0</v>
      </c>
      <c r="F19" s="76">
        <v>5.0</v>
      </c>
      <c r="G19" s="76">
        <v>4.0</v>
      </c>
      <c r="H19" s="76">
        <v>4.0</v>
      </c>
      <c r="I19" s="76">
        <v>3.0</v>
      </c>
      <c r="J19" s="76">
        <v>2.0</v>
      </c>
      <c r="K19" s="76">
        <v>1.0</v>
      </c>
    </row>
    <row r="20">
      <c r="A20" s="76">
        <v>18.0</v>
      </c>
      <c r="B20" s="76">
        <v>6.0</v>
      </c>
      <c r="C20" s="76">
        <v>5.0</v>
      </c>
      <c r="D20" s="76">
        <v>5.0</v>
      </c>
      <c r="E20" s="76">
        <v>5.0</v>
      </c>
      <c r="F20" s="76">
        <v>5.0</v>
      </c>
      <c r="G20" s="76">
        <v>4.0</v>
      </c>
      <c r="H20" s="76">
        <v>4.0</v>
      </c>
      <c r="I20" s="76">
        <v>3.0</v>
      </c>
      <c r="J20" s="76">
        <v>3.0</v>
      </c>
      <c r="K20" s="76">
        <v>2.0</v>
      </c>
    </row>
    <row r="21">
      <c r="A21" s="76">
        <v>19.0</v>
      </c>
      <c r="B21" s="76">
        <v>6.0</v>
      </c>
      <c r="C21" s="76">
        <v>5.0</v>
      </c>
      <c r="D21" s="76">
        <v>5.0</v>
      </c>
      <c r="E21" s="76">
        <v>5.0</v>
      </c>
      <c r="F21" s="76">
        <v>5.0</v>
      </c>
      <c r="G21" s="76">
        <v>5.0</v>
      </c>
      <c r="H21" s="76">
        <v>4.0</v>
      </c>
      <c r="I21" s="76">
        <v>4.0</v>
      </c>
      <c r="J21" s="76">
        <v>3.0</v>
      </c>
      <c r="K21" s="76">
        <v>3.0</v>
      </c>
    </row>
    <row r="22">
      <c r="A22" s="76">
        <v>20.0</v>
      </c>
      <c r="B22" s="76">
        <v>6.0</v>
      </c>
      <c r="C22" s="76">
        <v>5.0</v>
      </c>
      <c r="D22" s="76">
        <v>5.0</v>
      </c>
      <c r="E22" s="76">
        <v>5.0</v>
      </c>
      <c r="F22" s="76">
        <v>5.0</v>
      </c>
      <c r="G22" s="76">
        <v>5.0</v>
      </c>
      <c r="H22" s="76">
        <v>4.0</v>
      </c>
      <c r="I22" s="76">
        <v>4.0</v>
      </c>
      <c r="J22" s="76">
        <v>4.0</v>
      </c>
      <c r="K22" s="76">
        <v>4.0</v>
      </c>
    </row>
    <row r="25">
      <c r="A25" s="76" t="s">
        <v>2</v>
      </c>
      <c r="B25" s="76" t="s">
        <v>40</v>
      </c>
      <c r="C25" s="76" t="s">
        <v>41</v>
      </c>
      <c r="D25" s="76" t="s">
        <v>42</v>
      </c>
      <c r="E25" s="76" t="s">
        <v>43</v>
      </c>
      <c r="F25" s="76" t="s">
        <v>44</v>
      </c>
      <c r="G25" s="76" t="s">
        <v>45</v>
      </c>
      <c r="H25" s="76" t="s">
        <v>46</v>
      </c>
      <c r="I25" s="76" t="s">
        <v>47</v>
      </c>
      <c r="J25" s="76" t="s">
        <v>48</v>
      </c>
    </row>
    <row r="26">
      <c r="A26" s="76">
        <v>-5.0</v>
      </c>
    </row>
    <row r="27">
      <c r="A27" s="76">
        <v>-4.0</v>
      </c>
    </row>
    <row r="28">
      <c r="A28" s="76">
        <v>-3.0</v>
      </c>
    </row>
    <row r="29">
      <c r="A29" s="76">
        <v>-2.0</v>
      </c>
    </row>
    <row r="30">
      <c r="A30" s="76">
        <v>-1.0</v>
      </c>
    </row>
    <row r="31">
      <c r="A31" s="76">
        <v>0.0</v>
      </c>
    </row>
    <row r="32">
      <c r="A32" s="76">
        <v>1.0</v>
      </c>
      <c r="B32" s="76">
        <v>1.0</v>
      </c>
    </row>
    <row r="33">
      <c r="A33" s="76">
        <v>2.0</v>
      </c>
      <c r="B33" s="76">
        <v>1.0</v>
      </c>
      <c r="C33" s="76">
        <v>1.0</v>
      </c>
    </row>
    <row r="34">
      <c r="A34" s="76">
        <v>3.0</v>
      </c>
      <c r="B34" s="76">
        <v>1.0</v>
      </c>
      <c r="C34" s="76">
        <v>1.0</v>
      </c>
      <c r="D34" s="76">
        <v>1.0</v>
      </c>
    </row>
    <row r="35">
      <c r="A35" s="76">
        <v>4.0</v>
      </c>
      <c r="B35" s="76">
        <v>1.0</v>
      </c>
      <c r="C35" s="76">
        <v>1.0</v>
      </c>
      <c r="D35" s="76">
        <v>1.0</v>
      </c>
      <c r="E35" s="76">
        <v>1.0</v>
      </c>
    </row>
    <row r="36">
      <c r="A36" s="76">
        <v>5.0</v>
      </c>
      <c r="B36" s="76">
        <v>2.0</v>
      </c>
      <c r="C36" s="76">
        <v>1.0</v>
      </c>
      <c r="D36" s="76">
        <v>1.0</v>
      </c>
      <c r="E36" s="76">
        <v>1.0</v>
      </c>
      <c r="F36" s="76">
        <v>1.0</v>
      </c>
    </row>
    <row r="37">
      <c r="A37" s="76">
        <v>6.0</v>
      </c>
      <c r="B37" s="76">
        <v>2.0</v>
      </c>
      <c r="C37" s="76">
        <v>2.0</v>
      </c>
      <c r="D37" s="76">
        <v>1.0</v>
      </c>
      <c r="E37" s="76">
        <v>1.0</v>
      </c>
      <c r="F37" s="76">
        <v>1.0</v>
      </c>
      <c r="G37" s="76">
        <v>1.0</v>
      </c>
    </row>
    <row r="38">
      <c r="A38" s="76">
        <v>7.0</v>
      </c>
      <c r="B38" s="76">
        <v>2.0</v>
      </c>
      <c r="C38" s="76">
        <v>2.0</v>
      </c>
      <c r="D38" s="76">
        <v>2.0</v>
      </c>
      <c r="E38" s="76">
        <v>1.0</v>
      </c>
      <c r="F38" s="76">
        <v>1.0</v>
      </c>
      <c r="G38" s="76">
        <v>1.0</v>
      </c>
      <c r="H38" s="76">
        <v>1.0</v>
      </c>
    </row>
    <row r="39">
      <c r="A39" s="76">
        <v>8.0</v>
      </c>
      <c r="B39" s="76">
        <v>2.0</v>
      </c>
      <c r="C39" s="76">
        <v>2.0</v>
      </c>
      <c r="D39" s="76">
        <v>2.0</v>
      </c>
      <c r="E39" s="76">
        <v>2.0</v>
      </c>
      <c r="F39" s="76">
        <v>1.0</v>
      </c>
      <c r="G39" s="76">
        <v>1.0</v>
      </c>
      <c r="H39" s="76">
        <v>1.0</v>
      </c>
      <c r="I39" s="76">
        <v>1.0</v>
      </c>
    </row>
    <row r="40">
      <c r="A40" s="76">
        <v>9.0</v>
      </c>
      <c r="B40" s="76">
        <v>3.0</v>
      </c>
      <c r="C40" s="76">
        <v>2.0</v>
      </c>
      <c r="D40" s="76">
        <v>2.0</v>
      </c>
      <c r="E40" s="76">
        <v>2.0</v>
      </c>
      <c r="F40" s="76">
        <v>2.0</v>
      </c>
      <c r="G40" s="76">
        <v>1.0</v>
      </c>
      <c r="H40" s="76">
        <v>1.0</v>
      </c>
      <c r="I40" s="76">
        <v>1.0</v>
      </c>
      <c r="J40" s="76">
        <v>1.0</v>
      </c>
    </row>
    <row r="41">
      <c r="A41" s="76">
        <v>10.0</v>
      </c>
      <c r="B41" s="76">
        <v>3.0</v>
      </c>
      <c r="C41" s="76">
        <v>3.0</v>
      </c>
      <c r="D41" s="76">
        <v>2.0</v>
      </c>
      <c r="E41" s="76">
        <v>2.0</v>
      </c>
      <c r="F41" s="76">
        <v>2.0</v>
      </c>
      <c r="G41" s="76">
        <v>2.0</v>
      </c>
      <c r="H41" s="76">
        <v>1.0</v>
      </c>
      <c r="I41" s="76">
        <v>1.0</v>
      </c>
      <c r="J41" s="76">
        <v>1.0</v>
      </c>
    </row>
    <row r="42">
      <c r="A42" s="76">
        <v>11.0</v>
      </c>
      <c r="B42" s="76">
        <v>3.0</v>
      </c>
      <c r="C42" s="76">
        <v>3.0</v>
      </c>
      <c r="D42" s="76">
        <v>3.0</v>
      </c>
      <c r="E42" s="76">
        <v>2.0</v>
      </c>
      <c r="F42" s="76">
        <v>2.0</v>
      </c>
      <c r="G42" s="76">
        <v>2.0</v>
      </c>
      <c r="H42" s="76">
        <v>2.0</v>
      </c>
      <c r="I42" s="76">
        <v>1.0</v>
      </c>
      <c r="J42" s="76">
        <v>1.0</v>
      </c>
    </row>
    <row r="43">
      <c r="A43" s="76">
        <v>12.0</v>
      </c>
      <c r="B43" s="76">
        <v>3.0</v>
      </c>
      <c r="C43" s="76">
        <v>3.0</v>
      </c>
      <c r="D43" s="76">
        <v>3.0</v>
      </c>
      <c r="E43" s="76">
        <v>3.0</v>
      </c>
      <c r="F43" s="76">
        <v>2.0</v>
      </c>
      <c r="G43" s="76">
        <v>2.0</v>
      </c>
      <c r="H43" s="76">
        <v>2.0</v>
      </c>
      <c r="I43" s="76">
        <v>2.0</v>
      </c>
      <c r="J43" s="76">
        <v>1.0</v>
      </c>
    </row>
    <row r="44">
      <c r="A44" s="76">
        <v>13.0</v>
      </c>
      <c r="B44" s="76">
        <v>4.0</v>
      </c>
      <c r="C44" s="76">
        <v>3.0</v>
      </c>
      <c r="D44" s="76">
        <v>3.0</v>
      </c>
      <c r="E44" s="76">
        <v>3.0</v>
      </c>
      <c r="F44" s="76">
        <v>3.0</v>
      </c>
      <c r="G44" s="76">
        <v>2.0</v>
      </c>
      <c r="H44" s="76">
        <v>2.0</v>
      </c>
      <c r="I44" s="76">
        <v>2.0</v>
      </c>
      <c r="J44" s="76">
        <v>2.0</v>
      </c>
    </row>
    <row r="45">
      <c r="A45" s="76">
        <v>14.0</v>
      </c>
      <c r="B45" s="76">
        <v>4.0</v>
      </c>
      <c r="C45" s="76">
        <v>4.0</v>
      </c>
      <c r="D45" s="76">
        <v>3.0</v>
      </c>
      <c r="E45" s="76">
        <v>3.0</v>
      </c>
      <c r="F45" s="76">
        <v>3.0</v>
      </c>
      <c r="G45" s="76">
        <v>3.0</v>
      </c>
      <c r="H45" s="76">
        <v>2.0</v>
      </c>
      <c r="I45" s="76">
        <v>2.0</v>
      </c>
      <c r="J45" s="76">
        <v>2.0</v>
      </c>
    </row>
    <row r="46">
      <c r="A46" s="76">
        <v>15.0</v>
      </c>
      <c r="B46" s="76">
        <v>4.0</v>
      </c>
      <c r="C46" s="76">
        <v>4.0</v>
      </c>
      <c r="D46" s="76">
        <v>4.0</v>
      </c>
      <c r="E46" s="76">
        <v>3.0</v>
      </c>
      <c r="F46" s="76">
        <v>3.0</v>
      </c>
      <c r="G46" s="76">
        <v>3.0</v>
      </c>
      <c r="H46" s="76">
        <v>3.0</v>
      </c>
      <c r="I46" s="76">
        <v>2.0</v>
      </c>
      <c r="J46" s="76">
        <v>2.0</v>
      </c>
    </row>
    <row r="47">
      <c r="A47" s="76">
        <v>16.0</v>
      </c>
      <c r="B47" s="76">
        <v>4.0</v>
      </c>
      <c r="C47" s="76">
        <v>4.0</v>
      </c>
      <c r="D47" s="76">
        <v>4.0</v>
      </c>
      <c r="E47" s="76">
        <v>4.0</v>
      </c>
      <c r="F47" s="76">
        <v>3.0</v>
      </c>
      <c r="G47" s="76">
        <v>3.0</v>
      </c>
      <c r="H47" s="76">
        <v>3.0</v>
      </c>
      <c r="I47" s="76">
        <v>3.0</v>
      </c>
      <c r="J47" s="76">
        <v>2.0</v>
      </c>
    </row>
    <row r="48">
      <c r="A48" s="76">
        <v>17.0</v>
      </c>
      <c r="B48" s="76">
        <v>5.0</v>
      </c>
      <c r="C48" s="76">
        <v>4.0</v>
      </c>
      <c r="D48" s="76">
        <v>4.0</v>
      </c>
      <c r="E48" s="76">
        <v>4.0</v>
      </c>
      <c r="F48" s="76">
        <v>4.0</v>
      </c>
      <c r="G48" s="76">
        <v>3.0</v>
      </c>
      <c r="H48" s="76">
        <v>3.0</v>
      </c>
      <c r="I48" s="76">
        <v>3.0</v>
      </c>
      <c r="J48" s="76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3.14"/>
    <col customWidth="1" min="2" max="2" width="21.43"/>
    <col customWidth="1" min="3" max="3" width="17.0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10" width="8.43"/>
    <col customWidth="1" min="11" max="11" width="6.57"/>
    <col customWidth="1" min="12" max="12" width="7.86"/>
    <col customWidth="1" min="13" max="14" width="14.43"/>
    <col customWidth="1" min="15" max="15" width="10.86"/>
    <col customWidth="1" min="16" max="16" width="8.29"/>
    <col customWidth="1" min="17" max="17" width="9.29"/>
    <col customWidth="1" min="18" max="18" width="7.14"/>
    <col customWidth="1" min="19" max="19" width="8.86"/>
    <col customWidth="1" min="20" max="20" width="9.29"/>
    <col customWidth="1" min="21" max="22" width="7.29"/>
    <col customWidth="1" min="23" max="23" width="4.86"/>
    <col customWidth="1" min="24" max="24" width="14.43"/>
    <col customWidth="1" min="25" max="25" width="3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2" t="s">
        <v>0</v>
      </c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4" t="s">
        <v>49</v>
      </c>
      <c r="C3" s="9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13" t="s">
        <v>4</v>
      </c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4" t="s">
        <v>5</v>
      </c>
      <c r="C5" s="9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3" t="s">
        <v>6</v>
      </c>
      <c r="C6" s="3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1"/>
      <c r="B7" s="14" t="s">
        <v>7</v>
      </c>
      <c r="C7" s="9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/>
      <c r="B8" s="13" t="s">
        <v>8</v>
      </c>
      <c r="C8" s="3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4" t="s">
        <v>9</v>
      </c>
      <c r="C9" s="9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13" t="s">
        <v>10</v>
      </c>
      <c r="C10" s="3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4" t="s">
        <v>11</v>
      </c>
      <c r="C11" s="9"/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>
      <c r="A12" s="1"/>
      <c r="B12" s="13" t="s">
        <v>12</v>
      </c>
      <c r="C12" s="3"/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5" t="s">
        <v>50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7"/>
    </row>
    <row r="15">
      <c r="A15" s="1"/>
      <c r="B15" s="21" t="s">
        <v>1</v>
      </c>
      <c r="C15" s="22" t="s">
        <v>15</v>
      </c>
      <c r="D15" s="23"/>
      <c r="E15" s="22" t="s">
        <v>18</v>
      </c>
      <c r="F15" s="23"/>
      <c r="G15" s="22" t="s">
        <v>19</v>
      </c>
      <c r="H15" s="23"/>
      <c r="I15" s="22" t="s">
        <v>20</v>
      </c>
      <c r="J15" s="23"/>
      <c r="K15" s="22" t="s">
        <v>21</v>
      </c>
      <c r="L15" s="23"/>
      <c r="M15" s="22" t="s">
        <v>22</v>
      </c>
      <c r="N15" s="23"/>
      <c r="O15" s="22" t="s">
        <v>23</v>
      </c>
      <c r="P15" s="23"/>
      <c r="Q15" s="22" t="s">
        <v>24</v>
      </c>
      <c r="R15" s="23"/>
      <c r="S15" s="22" t="s">
        <v>25</v>
      </c>
      <c r="T15" s="23"/>
      <c r="U15" s="22" t="s">
        <v>26</v>
      </c>
      <c r="V15" s="9"/>
      <c r="W15" s="9"/>
      <c r="X15" s="23"/>
    </row>
    <row r="16">
      <c r="A16" s="1"/>
      <c r="B16" s="77">
        <v>0.0</v>
      </c>
      <c r="C16" s="78" t="s">
        <v>51</v>
      </c>
      <c r="D16" s="17"/>
      <c r="E16" s="28" t="s">
        <v>52</v>
      </c>
      <c r="F16" s="17"/>
      <c r="G16" s="28" t="s">
        <v>53</v>
      </c>
      <c r="H16" s="17"/>
      <c r="I16" s="28" t="s">
        <v>54</v>
      </c>
      <c r="J16" s="17"/>
      <c r="K16" s="28" t="str">
        <f>CONCAT("Close: ", CONCAT(25+(5*FLOOR(Level/2,1)), " ft"))</f>
        <v>Close: 25 ft</v>
      </c>
      <c r="L16" s="17"/>
      <c r="M16" s="28" t="str">
        <f>CONCAT("Up to ",CONCAT(Level*2, " gallons of water
2 gallons/level."))</f>
        <v>Up to 2 gallons of water
2 gallons/level.</v>
      </c>
      <c r="N16" s="17"/>
      <c r="O16" s="28" t="s">
        <v>55</v>
      </c>
      <c r="P16" s="17"/>
      <c r="Q16" s="28" t="s">
        <v>56</v>
      </c>
      <c r="R16" s="17"/>
      <c r="S16" s="28" t="s">
        <v>57</v>
      </c>
      <c r="T16" s="17"/>
      <c r="U16" s="79" t="str">
        <f>CONCAT("Creates ",CONCAT(Level*2, " gallons of pure water, 2 gallons/level"))</f>
        <v>Creates 2 gallons of pure water, 2 gallons/level</v>
      </c>
      <c r="V16" s="3"/>
      <c r="W16" s="3"/>
      <c r="X16" s="17"/>
    </row>
    <row r="17">
      <c r="A17" s="1"/>
      <c r="B17" s="31">
        <v>0.0</v>
      </c>
      <c r="C17" s="80" t="s">
        <v>58</v>
      </c>
      <c r="D17" s="23"/>
      <c r="E17" s="34" t="s">
        <v>59</v>
      </c>
      <c r="F17" s="23"/>
      <c r="G17" s="34" t="s">
        <v>53</v>
      </c>
      <c r="H17" s="23"/>
      <c r="I17" s="34" t="s">
        <v>54</v>
      </c>
      <c r="J17" s="23"/>
      <c r="K17" s="34" t="s">
        <v>60</v>
      </c>
      <c r="L17" s="23"/>
      <c r="M17" s="34" t="s">
        <v>61</v>
      </c>
      <c r="N17" s="23"/>
      <c r="O17" s="34" t="s">
        <v>55</v>
      </c>
      <c r="P17" s="23"/>
      <c r="Q17" s="34" t="s">
        <v>62</v>
      </c>
      <c r="R17" s="23"/>
      <c r="S17" s="34" t="s">
        <v>63</v>
      </c>
      <c r="T17" s="23"/>
      <c r="U17" s="81" t="s">
        <v>64</v>
      </c>
      <c r="V17" s="9"/>
      <c r="W17" s="9"/>
      <c r="X17" s="23"/>
    </row>
    <row r="18">
      <c r="A18" s="1"/>
      <c r="B18" s="25">
        <v>0.0</v>
      </c>
      <c r="C18" s="78" t="s">
        <v>65</v>
      </c>
      <c r="D18" s="17"/>
      <c r="E18" s="28" t="s">
        <v>66</v>
      </c>
      <c r="F18" s="17"/>
      <c r="G18" s="28" t="s">
        <v>53</v>
      </c>
      <c r="H18" s="17"/>
      <c r="I18" s="28" t="s">
        <v>54</v>
      </c>
      <c r="J18" s="17"/>
      <c r="K18" s="28" t="s">
        <v>67</v>
      </c>
      <c r="L18" s="17"/>
      <c r="M18" s="28" t="s">
        <v>68</v>
      </c>
      <c r="N18" s="17"/>
      <c r="O18" s="28" t="str">
        <f>CONCAT("Up to ",CONCAT(Level, " minute(s)
 Concentration, up to 1 minute/level"))</f>
        <v>Up to 1 minute(s)
 Concentration, up to 1 minute/level</v>
      </c>
      <c r="P18" s="17"/>
      <c r="Q18" s="28" t="s">
        <v>56</v>
      </c>
      <c r="R18" s="17"/>
      <c r="S18" s="28" t="s">
        <v>57</v>
      </c>
      <c r="T18" s="17"/>
      <c r="U18" s="79" t="s">
        <v>69</v>
      </c>
      <c r="V18" s="3"/>
      <c r="W18" s="3"/>
      <c r="X18" s="17"/>
    </row>
    <row r="19">
      <c r="A19" s="1"/>
      <c r="B19" s="82">
        <v>0.0</v>
      </c>
      <c r="C19" s="80" t="s">
        <v>70</v>
      </c>
      <c r="D19" s="23"/>
      <c r="E19" s="34" t="s">
        <v>66</v>
      </c>
      <c r="F19" s="23"/>
      <c r="G19" s="34" t="s">
        <v>53</v>
      </c>
      <c r="H19" s="23"/>
      <c r="I19" s="34" t="s">
        <v>54</v>
      </c>
      <c r="J19" s="23"/>
      <c r="K19" s="34" t="str">
        <f>CONCAT("Close: ", CONCAT(25+(5*FLOOR(Level/2,1)), " ft"))</f>
        <v>Close: 25 ft</v>
      </c>
      <c r="L19" s="23"/>
      <c r="M19" s="34" t="s">
        <v>71</v>
      </c>
      <c r="N19" s="23"/>
      <c r="O19" s="34" t="s">
        <v>55</v>
      </c>
      <c r="P19" s="23"/>
      <c r="Q19" s="34" t="s">
        <v>56</v>
      </c>
      <c r="R19" s="23"/>
      <c r="S19" s="34" t="s">
        <v>57</v>
      </c>
      <c r="T19" s="23"/>
      <c r="U19" s="81" t="s">
        <v>72</v>
      </c>
      <c r="V19" s="9"/>
      <c r="W19" s="9"/>
      <c r="X19" s="23"/>
    </row>
    <row r="20">
      <c r="A20" s="1"/>
      <c r="B20" s="25">
        <v>0.0</v>
      </c>
      <c r="C20" s="78" t="s">
        <v>73</v>
      </c>
      <c r="D20" s="17"/>
      <c r="E20" s="28" t="s">
        <v>74</v>
      </c>
      <c r="F20" s="17"/>
      <c r="G20" s="28" t="s">
        <v>75</v>
      </c>
      <c r="H20" s="17"/>
      <c r="I20" s="28" t="s">
        <v>54</v>
      </c>
      <c r="J20" s="17"/>
      <c r="K20" s="28" t="str">
        <f>CONCAT("Close: ", CONCAT(25+(5*FLOOR(Level/2,1)), " ft"))</f>
        <v>Close: 25 ft</v>
      </c>
      <c r="L20" s="17"/>
      <c r="M20" s="28" t="s">
        <v>76</v>
      </c>
      <c r="N20" s="17"/>
      <c r="O20" s="28" t="s">
        <v>55</v>
      </c>
      <c r="P20" s="17"/>
      <c r="Q20" s="28" t="s">
        <v>77</v>
      </c>
      <c r="R20" s="17"/>
      <c r="S20" s="28" t="s">
        <v>78</v>
      </c>
      <c r="T20" s="17"/>
      <c r="U20" s="79" t="s">
        <v>79</v>
      </c>
      <c r="V20" s="3"/>
      <c r="W20" s="3"/>
      <c r="X20" s="17"/>
    </row>
    <row r="21">
      <c r="A21" s="1"/>
      <c r="B21" s="82">
        <v>0.0</v>
      </c>
      <c r="C21" s="80" t="s">
        <v>80</v>
      </c>
      <c r="D21" s="23"/>
      <c r="E21" s="34" t="s">
        <v>66</v>
      </c>
      <c r="F21" s="23"/>
      <c r="G21" s="34" t="s">
        <v>53</v>
      </c>
      <c r="H21" s="23"/>
      <c r="I21" s="34" t="s">
        <v>54</v>
      </c>
      <c r="J21" s="23"/>
      <c r="K21" s="34" t="s">
        <v>60</v>
      </c>
      <c r="L21" s="23"/>
      <c r="M21" s="34" t="s">
        <v>61</v>
      </c>
      <c r="N21" s="23"/>
      <c r="O21" s="34" t="s">
        <v>81</v>
      </c>
      <c r="P21" s="23"/>
      <c r="Q21" s="34" t="s">
        <v>82</v>
      </c>
      <c r="R21" s="23"/>
      <c r="S21" s="34" t="s">
        <v>78</v>
      </c>
      <c r="T21" s="23"/>
      <c r="U21" s="81" t="s">
        <v>83</v>
      </c>
      <c r="V21" s="9"/>
      <c r="W21" s="9"/>
      <c r="X21" s="23"/>
    </row>
    <row r="22">
      <c r="A22" s="1"/>
      <c r="B22" s="25">
        <v>0.0</v>
      </c>
      <c r="C22" s="78" t="s">
        <v>84</v>
      </c>
      <c r="D22" s="17"/>
      <c r="E22" s="28" t="s">
        <v>66</v>
      </c>
      <c r="F22" s="17"/>
      <c r="G22" s="28" t="s">
        <v>53</v>
      </c>
      <c r="H22" s="17"/>
      <c r="I22" s="28" t="s">
        <v>54</v>
      </c>
      <c r="J22" s="17"/>
      <c r="K22" s="28" t="s">
        <v>85</v>
      </c>
      <c r="L22" s="17"/>
      <c r="M22" s="28" t="s">
        <v>86</v>
      </c>
      <c r="N22" s="17"/>
      <c r="O22" s="28" t="s">
        <v>55</v>
      </c>
      <c r="P22" s="17"/>
      <c r="Q22" s="28" t="s">
        <v>87</v>
      </c>
      <c r="R22" s="17"/>
      <c r="S22" s="28" t="s">
        <v>87</v>
      </c>
      <c r="T22" s="17"/>
      <c r="U22" s="79" t="s">
        <v>88</v>
      </c>
      <c r="V22" s="3"/>
      <c r="W22" s="3"/>
      <c r="X22" s="17"/>
    </row>
    <row r="23">
      <c r="A23" s="1"/>
      <c r="B23" s="82">
        <v>0.0</v>
      </c>
      <c r="C23" s="80" t="s">
        <v>89</v>
      </c>
      <c r="D23" s="23"/>
      <c r="E23" s="34" t="s">
        <v>74</v>
      </c>
      <c r="F23" s="23"/>
      <c r="G23" s="34" t="s">
        <v>90</v>
      </c>
      <c r="H23" s="23"/>
      <c r="I23" s="34" t="s">
        <v>54</v>
      </c>
      <c r="J23" s="23"/>
      <c r="K23" s="34" t="s">
        <v>60</v>
      </c>
      <c r="L23" s="23"/>
      <c r="M23" s="34" t="s">
        <v>91</v>
      </c>
      <c r="N23" s="23"/>
      <c r="O23" s="34" t="str">
        <f>CONCAT(Level*10, " minutes
10 minutes/level")</f>
        <v>10 minutes
10 minutes/level</v>
      </c>
      <c r="P23" s="23"/>
      <c r="Q23" s="34" t="s">
        <v>56</v>
      </c>
      <c r="R23" s="23"/>
      <c r="S23" s="34" t="s">
        <v>57</v>
      </c>
      <c r="T23" s="23"/>
      <c r="U23" s="81" t="s">
        <v>92</v>
      </c>
      <c r="V23" s="9"/>
      <c r="W23" s="9"/>
      <c r="X23" s="23"/>
    </row>
    <row r="24">
      <c r="A24" s="1"/>
      <c r="B24" s="25">
        <v>0.0</v>
      </c>
      <c r="C24" s="78" t="s">
        <v>93</v>
      </c>
      <c r="D24" s="17"/>
      <c r="E24" s="28" t="s">
        <v>94</v>
      </c>
      <c r="F24" s="17"/>
      <c r="G24" s="28" t="s">
        <v>53</v>
      </c>
      <c r="H24" s="17"/>
      <c r="I24" s="28" t="s">
        <v>54</v>
      </c>
      <c r="J24" s="17"/>
      <c r="K24" s="28" t="s">
        <v>95</v>
      </c>
      <c r="L24" s="17"/>
      <c r="M24" s="28" t="s">
        <v>96</v>
      </c>
      <c r="N24" s="17"/>
      <c r="O24" s="28" t="s">
        <v>55</v>
      </c>
      <c r="P24" s="17"/>
      <c r="Q24" s="28" t="s">
        <v>97</v>
      </c>
      <c r="R24" s="17"/>
      <c r="S24" s="28" t="s">
        <v>98</v>
      </c>
      <c r="T24" s="17"/>
      <c r="U24" s="79" t="s">
        <v>99</v>
      </c>
      <c r="V24" s="3"/>
      <c r="W24" s="3"/>
      <c r="X24" s="17"/>
    </row>
    <row r="25">
      <c r="A25" s="1"/>
      <c r="B25" s="31">
        <v>0.0</v>
      </c>
      <c r="C25" s="80" t="s">
        <v>100</v>
      </c>
      <c r="D25" s="23"/>
      <c r="E25" s="34" t="s">
        <v>94</v>
      </c>
      <c r="F25" s="23"/>
      <c r="G25" s="34" t="s">
        <v>53</v>
      </c>
      <c r="H25" s="23"/>
      <c r="I25" s="34" t="s">
        <v>54</v>
      </c>
      <c r="J25" s="23"/>
      <c r="K25" s="34" t="s">
        <v>95</v>
      </c>
      <c r="L25" s="23"/>
      <c r="M25" s="34" t="str">
        <f>CONCAT(Level, " cu ft of contaminated food or water, 1 cu ft/level.")</f>
        <v>1 cu ft of contaminated food or water, 1 cu ft/level.</v>
      </c>
      <c r="N25" s="23"/>
      <c r="O25" s="34" t="s">
        <v>55</v>
      </c>
      <c r="P25" s="23"/>
      <c r="Q25" s="34" t="s">
        <v>101</v>
      </c>
      <c r="R25" s="23"/>
      <c r="S25" s="34" t="s">
        <v>102</v>
      </c>
      <c r="T25" s="23"/>
      <c r="U25" s="81" t="str">
        <f>CONCAT("Purifies ",CONCAT(Level, " cu ft of food or water, 1 cu ft/level"))</f>
        <v>Purifies 1 cu ft of food or water, 1 cu ft/level</v>
      </c>
      <c r="V25" s="9"/>
      <c r="W25" s="9"/>
      <c r="X25" s="23"/>
    </row>
    <row r="26">
      <c r="A26" s="1"/>
      <c r="B26" s="25">
        <v>0.0</v>
      </c>
      <c r="C26" s="78" t="s">
        <v>103</v>
      </c>
      <c r="D26" s="17"/>
      <c r="E26" s="28" t="s">
        <v>66</v>
      </c>
      <c r="F26" s="17"/>
      <c r="G26" s="28" t="s">
        <v>104</v>
      </c>
      <c r="H26" s="17"/>
      <c r="I26" s="28" t="s">
        <v>54</v>
      </c>
      <c r="J26" s="17"/>
      <c r="K26" s="28" t="s">
        <v>85</v>
      </c>
      <c r="L26" s="17"/>
      <c r="M26" s="28" t="s">
        <v>86</v>
      </c>
      <c r="N26" s="17"/>
      <c r="O26" s="28" t="str">
        <f>CONCAT(Level*10, " minutes
10 minutes/level")</f>
        <v>10 minutes
10 minutes/level</v>
      </c>
      <c r="P26" s="17"/>
      <c r="Q26" s="28" t="s">
        <v>87</v>
      </c>
      <c r="R26" s="17"/>
      <c r="S26" s="28" t="s">
        <v>87</v>
      </c>
      <c r="T26" s="17"/>
      <c r="U26" s="79" t="s">
        <v>105</v>
      </c>
      <c r="V26" s="3"/>
      <c r="W26" s="3"/>
      <c r="X26" s="17"/>
      <c r="Y26" s="54"/>
    </row>
    <row r="27">
      <c r="A27" s="1"/>
      <c r="B27" s="31">
        <v>0.0</v>
      </c>
      <c r="C27" s="83" t="s">
        <v>106</v>
      </c>
      <c r="D27" s="23"/>
      <c r="E27" s="84" t="s">
        <v>107</v>
      </c>
      <c r="F27" s="23"/>
      <c r="G27" s="34" t="s">
        <v>108</v>
      </c>
      <c r="H27" s="23"/>
      <c r="I27" s="84" t="s">
        <v>54</v>
      </c>
      <c r="J27" s="23"/>
      <c r="K27" s="84" t="s">
        <v>60</v>
      </c>
      <c r="L27" s="23"/>
      <c r="M27" s="34" t="s">
        <v>61</v>
      </c>
      <c r="N27" s="23"/>
      <c r="O27" s="84" t="s">
        <v>109</v>
      </c>
      <c r="P27" s="23"/>
      <c r="Q27" s="84" t="s">
        <v>82</v>
      </c>
      <c r="R27" s="23"/>
      <c r="S27" s="34" t="s">
        <v>110</v>
      </c>
      <c r="T27" s="23"/>
      <c r="U27" s="85" t="s">
        <v>111</v>
      </c>
      <c r="V27" s="9"/>
      <c r="W27" s="9"/>
      <c r="X27" s="23"/>
      <c r="Y27" s="47"/>
    </row>
    <row r="28">
      <c r="A28" s="1"/>
      <c r="B28" s="77">
        <v>0.0</v>
      </c>
      <c r="C28" s="86" t="s">
        <v>112</v>
      </c>
      <c r="D28" s="17"/>
      <c r="E28" s="28" t="s">
        <v>94</v>
      </c>
      <c r="F28" s="17"/>
      <c r="G28" s="28" t="s">
        <v>108</v>
      </c>
      <c r="H28" s="17"/>
      <c r="I28" s="87" t="s">
        <v>54</v>
      </c>
      <c r="J28" s="17"/>
      <c r="K28" s="87" t="s">
        <v>60</v>
      </c>
      <c r="L28" s="17"/>
      <c r="M28" s="28" t="s">
        <v>61</v>
      </c>
      <c r="N28" s="17"/>
      <c r="O28" s="87" t="s">
        <v>109</v>
      </c>
      <c r="P28" s="17"/>
      <c r="Q28" s="87" t="s">
        <v>82</v>
      </c>
      <c r="R28" s="17"/>
      <c r="S28" s="28" t="s">
        <v>110</v>
      </c>
      <c r="T28" s="17"/>
      <c r="U28" s="88" t="s">
        <v>113</v>
      </c>
      <c r="V28" s="3"/>
      <c r="W28" s="3"/>
      <c r="X28" s="17"/>
      <c r="Y28" s="47"/>
    </row>
    <row r="29">
      <c r="A29" s="1"/>
      <c r="B29" s="82">
        <v>1.0</v>
      </c>
      <c r="C29" s="80" t="s">
        <v>114</v>
      </c>
      <c r="D29" s="23"/>
      <c r="E29" s="34" t="s">
        <v>115</v>
      </c>
      <c r="F29" s="23"/>
      <c r="G29" s="34" t="s">
        <v>53</v>
      </c>
      <c r="H29" s="23"/>
      <c r="I29" s="34" t="s">
        <v>54</v>
      </c>
      <c r="J29" s="23"/>
      <c r="K29" s="34" t="str">
        <f>CONCAT("Close: ", CONCAT(25+(5*FLOOR(Level/2,1)), " ft"))</f>
        <v>Close: 25 ft</v>
      </c>
      <c r="L29" s="23"/>
      <c r="M29" s="34" t="s">
        <v>116</v>
      </c>
      <c r="N29" s="23"/>
      <c r="O29" s="34" t="str">
        <f>CONCAT(Level, " minute(s)
1 minute/level")</f>
        <v>1 minute(s)
1 minute/level</v>
      </c>
      <c r="P29" s="23"/>
      <c r="Q29" s="34" t="s">
        <v>117</v>
      </c>
      <c r="R29" s="23"/>
      <c r="S29" s="34" t="s">
        <v>78</v>
      </c>
      <c r="T29" s="23"/>
      <c r="U29" s="81" t="str">
        <f>CONCAT("Calms (2d4+",CONCAT(Level, ") HD of animals, +1/level."))</f>
        <v>Calms (2d4+1) HD of animals, +1/level.</v>
      </c>
      <c r="V29" s="9"/>
      <c r="W29" s="9"/>
      <c r="X29" s="23"/>
      <c r="Y29" s="47"/>
    </row>
    <row r="30">
      <c r="A30" s="1"/>
      <c r="B30" s="25">
        <v>1.0</v>
      </c>
      <c r="C30" s="78" t="s">
        <v>118</v>
      </c>
      <c r="D30" s="17"/>
      <c r="E30" s="28" t="s">
        <v>119</v>
      </c>
      <c r="F30" s="17"/>
      <c r="G30" s="28" t="s">
        <v>53</v>
      </c>
      <c r="H30" s="17"/>
      <c r="I30" s="28" t="s">
        <v>54</v>
      </c>
      <c r="J30" s="17"/>
      <c r="K30" s="28" t="str">
        <f>CONCAT("Close: ", CONCAT(25+(5*FLOOR(Level/2,1)), " ft"))</f>
        <v>Close: 25 ft</v>
      </c>
      <c r="L30" s="17"/>
      <c r="M30" s="28" t="s">
        <v>120</v>
      </c>
      <c r="N30" s="17"/>
      <c r="O30" s="28" t="str">
        <f>CONCAT(Level, " hour(s)
1 hour/level")</f>
        <v>1 hour(s)
1 hour/level</v>
      </c>
      <c r="P30" s="17"/>
      <c r="Q30" s="28" t="s">
        <v>121</v>
      </c>
      <c r="R30" s="17"/>
      <c r="S30" s="28" t="s">
        <v>78</v>
      </c>
      <c r="T30" s="17"/>
      <c r="U30" s="79" t="s">
        <v>122</v>
      </c>
      <c r="V30" s="3"/>
      <c r="W30" s="3"/>
      <c r="X30" s="17"/>
      <c r="Y30" s="71"/>
    </row>
    <row r="31">
      <c r="A31" s="1"/>
      <c r="B31" s="82">
        <v>1.0</v>
      </c>
      <c r="C31" s="80" t="s">
        <v>123</v>
      </c>
      <c r="D31" s="23"/>
      <c r="E31" s="34" t="s">
        <v>59</v>
      </c>
      <c r="F31" s="23"/>
      <c r="G31" s="34" t="s">
        <v>53</v>
      </c>
      <c r="H31" s="23"/>
      <c r="I31" s="34" t="s">
        <v>54</v>
      </c>
      <c r="J31" s="23"/>
      <c r="K31" s="34" t="s">
        <v>60</v>
      </c>
      <c r="L31" s="23"/>
      <c r="M31" s="34" t="s">
        <v>61</v>
      </c>
      <c r="N31" s="23"/>
      <c r="O31" s="34" t="s">
        <v>55</v>
      </c>
      <c r="P31" s="23"/>
      <c r="Q31" s="34" t="s">
        <v>62</v>
      </c>
      <c r="R31" s="23"/>
      <c r="S31" s="34" t="s">
        <v>63</v>
      </c>
      <c r="T31" s="23"/>
      <c r="U31" s="81" t="str">
        <f>CONCAT("Cures 1d8+",CONCAT(MIN(Level,5), " damage, +1/level, max +5"))</f>
        <v>Cures 1d8+1 damage, +1/level, max +5</v>
      </c>
      <c r="V31" s="9"/>
      <c r="W31" s="9"/>
      <c r="X31" s="23"/>
      <c r="Y31" s="74"/>
    </row>
    <row r="32">
      <c r="A32" s="1"/>
      <c r="B32" s="25">
        <v>1.0</v>
      </c>
      <c r="C32" s="78" t="s">
        <v>124</v>
      </c>
      <c r="D32" s="17"/>
      <c r="E32" s="28" t="s">
        <v>66</v>
      </c>
      <c r="F32" s="17"/>
      <c r="G32" s="28" t="s">
        <v>53</v>
      </c>
      <c r="H32" s="17"/>
      <c r="I32" s="28" t="s">
        <v>54</v>
      </c>
      <c r="J32" s="17"/>
      <c r="K32" s="28" t="str">
        <f>CONCAT("Long: ", CONCAT(400+(40*Level), " ft"))</f>
        <v>Long: 440 ft</v>
      </c>
      <c r="L32" s="17"/>
      <c r="M32" s="28" t="s">
        <v>68</v>
      </c>
      <c r="N32" s="17"/>
      <c r="O32" s="28" t="str">
        <f>CONCAT("Up to ",CONCAT(Level*10, " minutes
 Concentration, up to 10 minutes/level"))</f>
        <v>Up to 10 minutes
 Concentration, up to 10 minutes/level</v>
      </c>
      <c r="P32" s="17"/>
      <c r="Q32" s="28" t="s">
        <v>56</v>
      </c>
      <c r="R32" s="17"/>
      <c r="S32" s="28" t="s">
        <v>57</v>
      </c>
      <c r="T32" s="17"/>
      <c r="U32" s="79" t="s">
        <v>125</v>
      </c>
      <c r="V32" s="3"/>
      <c r="W32" s="3"/>
      <c r="X32" s="17"/>
      <c r="Y32" s="74"/>
    </row>
    <row r="33">
      <c r="A33" s="1"/>
      <c r="B33" s="31">
        <v>1.0</v>
      </c>
      <c r="C33" s="80" t="s">
        <v>126</v>
      </c>
      <c r="D33" s="23"/>
      <c r="E33" s="34" t="s">
        <v>66</v>
      </c>
      <c r="F33" s="23"/>
      <c r="G33" s="34" t="s">
        <v>53</v>
      </c>
      <c r="H33" s="23"/>
      <c r="I33" s="34" t="s">
        <v>54</v>
      </c>
      <c r="J33" s="23"/>
      <c r="K33" s="34" t="s">
        <v>67</v>
      </c>
      <c r="L33" s="23"/>
      <c r="M33" s="34" t="s">
        <v>68</v>
      </c>
      <c r="N33" s="23"/>
      <c r="O33" s="34" t="str">
        <f>CONCAT("Up to ",CONCAT(Level*10, " minutes
 Concentration, up to 10 minutes/level"))</f>
        <v>Up to 10 minutes
 Concentration, up to 10 minutes/level</v>
      </c>
      <c r="P33" s="23"/>
      <c r="Q33" s="34" t="s">
        <v>56</v>
      </c>
      <c r="R33" s="23"/>
      <c r="S33" s="34" t="s">
        <v>57</v>
      </c>
      <c r="T33" s="23"/>
      <c r="U33" s="81" t="s">
        <v>127</v>
      </c>
      <c r="V33" s="9"/>
      <c r="W33" s="9"/>
      <c r="X33" s="23"/>
      <c r="Y33" s="74"/>
    </row>
    <row r="34">
      <c r="A34" s="1"/>
      <c r="B34" s="25">
        <v>1.0</v>
      </c>
      <c r="C34" s="86" t="s">
        <v>128</v>
      </c>
      <c r="D34" s="17"/>
      <c r="E34" s="27" t="s">
        <v>107</v>
      </c>
      <c r="F34" s="17"/>
      <c r="G34" s="27" t="s">
        <v>53</v>
      </c>
      <c r="H34" s="17"/>
      <c r="I34" s="27" t="s">
        <v>54</v>
      </c>
      <c r="J34" s="17"/>
      <c r="K34" s="27" t="s">
        <v>60</v>
      </c>
      <c r="L34" s="17"/>
      <c r="M34" s="27" t="s">
        <v>129</v>
      </c>
      <c r="N34" s="17"/>
      <c r="O34" s="27" t="s">
        <v>130</v>
      </c>
      <c r="P34" s="17"/>
      <c r="Q34" s="27" t="s">
        <v>82</v>
      </c>
      <c r="R34" s="17"/>
      <c r="S34" s="27" t="s">
        <v>110</v>
      </c>
      <c r="T34" s="17"/>
      <c r="U34" s="29" t="s">
        <v>131</v>
      </c>
      <c r="V34" s="3"/>
      <c r="W34" s="3"/>
      <c r="X34" s="17"/>
      <c r="Y34" s="74"/>
    </row>
    <row r="35">
      <c r="A35" s="1"/>
      <c r="B35" s="82">
        <v>1.0</v>
      </c>
      <c r="C35" s="83" t="s">
        <v>132</v>
      </c>
      <c r="D35" s="23"/>
      <c r="E35" s="34" t="s">
        <v>94</v>
      </c>
      <c r="F35" s="23"/>
      <c r="G35" s="34" t="s">
        <v>133</v>
      </c>
      <c r="H35" s="23"/>
      <c r="I35" s="33" t="s">
        <v>54</v>
      </c>
      <c r="J35" s="23"/>
      <c r="K35" s="33" t="str">
        <f>CONCAT("Long: ", CONCAT(400+(40*Level), " ft"))</f>
        <v>Long: 440 ft</v>
      </c>
      <c r="L35" s="23"/>
      <c r="M35" s="34" t="s">
        <v>134</v>
      </c>
      <c r="N35" s="23"/>
      <c r="O35" s="34" t="str">
        <f>CONCAT(Level, " minute(s) (D)
1 minute/level")</f>
        <v>1 minute(s) (D)
1 minute/level</v>
      </c>
      <c r="P35" s="23"/>
      <c r="Q35" s="34" t="s">
        <v>135</v>
      </c>
      <c r="R35" s="23"/>
      <c r="S35" s="34" t="s">
        <v>57</v>
      </c>
      <c r="T35" s="23"/>
      <c r="U35" s="81" t="s">
        <v>136</v>
      </c>
      <c r="V35" s="9"/>
      <c r="W35" s="9"/>
      <c r="X35" s="23"/>
      <c r="Y35" s="74"/>
    </row>
    <row r="36">
      <c r="A36" s="1"/>
      <c r="B36" s="25">
        <v>1.0</v>
      </c>
      <c r="C36" s="86" t="s">
        <v>137</v>
      </c>
      <c r="D36" s="17"/>
      <c r="E36" s="28" t="s">
        <v>74</v>
      </c>
      <c r="F36" s="17"/>
      <c r="G36" s="28" t="s">
        <v>133</v>
      </c>
      <c r="H36" s="17"/>
      <c r="I36" s="27" t="s">
        <v>54</v>
      </c>
      <c r="J36" s="17"/>
      <c r="K36" s="27" t="str">
        <f>CONCAT("Long: ", CONCAT(400+(40*Level), " ft"))</f>
        <v>Long: 440 ft</v>
      </c>
      <c r="L36" s="17"/>
      <c r="M36" s="28" t="s">
        <v>138</v>
      </c>
      <c r="N36" s="17"/>
      <c r="O36" s="28" t="str">
        <f>CONCAT(Level, " minute(s) (D)
1 minute/level")</f>
        <v>1 minute(s) (D)
1 minute/level</v>
      </c>
      <c r="P36" s="17"/>
      <c r="Q36" s="28" t="s">
        <v>56</v>
      </c>
      <c r="R36" s="17"/>
      <c r="S36" s="28" t="s">
        <v>78</v>
      </c>
      <c r="T36" s="17"/>
      <c r="U36" s="79" t="s">
        <v>139</v>
      </c>
      <c r="V36" s="3"/>
      <c r="W36" s="3"/>
      <c r="X36" s="17"/>
      <c r="Y36" s="74"/>
    </row>
    <row r="37">
      <c r="A37" s="1"/>
      <c r="B37" s="82">
        <v>1.0</v>
      </c>
      <c r="C37" s="80" t="s">
        <v>140</v>
      </c>
      <c r="D37" s="23"/>
      <c r="E37" s="34" t="s">
        <v>94</v>
      </c>
      <c r="F37" s="23"/>
      <c r="G37" s="34" t="s">
        <v>133</v>
      </c>
      <c r="H37" s="23"/>
      <c r="I37" s="34" t="s">
        <v>54</v>
      </c>
      <c r="J37" s="23"/>
      <c r="K37" s="34" t="s">
        <v>60</v>
      </c>
      <c r="L37" s="23"/>
      <c r="M37" s="34" t="s">
        <v>141</v>
      </c>
      <c r="N37" s="23"/>
      <c r="O37" s="34" t="str">
        <f>CONCAT(Level, " day(s)
1 day/level")</f>
        <v>1 day(s)
1 day/level</v>
      </c>
      <c r="P37" s="23"/>
      <c r="Q37" s="34" t="s">
        <v>56</v>
      </c>
      <c r="R37" s="23"/>
      <c r="S37" s="34" t="s">
        <v>78</v>
      </c>
      <c r="T37" s="23"/>
      <c r="U37" s="81" t="s">
        <v>142</v>
      </c>
      <c r="V37" s="9"/>
      <c r="W37" s="9"/>
      <c r="X37" s="23"/>
      <c r="Y37" s="74"/>
    </row>
    <row r="38">
      <c r="A38" s="1"/>
      <c r="B38" s="25">
        <v>1.0</v>
      </c>
      <c r="C38" s="78" t="s">
        <v>143</v>
      </c>
      <c r="D38" s="17"/>
      <c r="E38" s="28" t="s">
        <v>107</v>
      </c>
      <c r="F38" s="17"/>
      <c r="G38" s="28" t="s">
        <v>144</v>
      </c>
      <c r="H38" s="17"/>
      <c r="I38" s="28" t="s">
        <v>54</v>
      </c>
      <c r="J38" s="17"/>
      <c r="K38" s="28" t="s">
        <v>60</v>
      </c>
      <c r="L38" s="17"/>
      <c r="M38" s="28" t="str">
        <f>CONCAT(Level, " creature(s) touched, 1 creature/level.")</f>
        <v>1 creature(s) touched, 1 creature/level.</v>
      </c>
      <c r="N38" s="17"/>
      <c r="O38" s="28" t="str">
        <f>CONCAT(Level*10, " minutes (D)
10 minutes/level")</f>
        <v>10 minutes (D)
10 minutes/level</v>
      </c>
      <c r="P38" s="17"/>
      <c r="Q38" s="28" t="s">
        <v>82</v>
      </c>
      <c r="R38" s="17"/>
      <c r="S38" s="28" t="s">
        <v>78</v>
      </c>
      <c r="T38" s="17"/>
      <c r="U38" s="79" t="str">
        <f>CONCAT("Animals can't perceive ",CONCAT(Level, " subject(s), 1 subject/level."))</f>
        <v>Animals can't perceive 1 subject(s), 1 subject/level.</v>
      </c>
      <c r="V38" s="3"/>
      <c r="W38" s="3"/>
      <c r="X38" s="17"/>
      <c r="Y38" s="74"/>
    </row>
    <row r="39">
      <c r="A39" s="1"/>
      <c r="B39" s="82">
        <v>1.0</v>
      </c>
      <c r="C39" s="80" t="s">
        <v>145</v>
      </c>
      <c r="D39" s="23"/>
      <c r="E39" s="34" t="s">
        <v>94</v>
      </c>
      <c r="F39" s="23"/>
      <c r="G39" s="34" t="s">
        <v>146</v>
      </c>
      <c r="H39" s="23"/>
      <c r="I39" s="34" t="s">
        <v>54</v>
      </c>
      <c r="J39" s="23"/>
      <c r="K39" s="34" t="s">
        <v>60</v>
      </c>
      <c r="L39" s="23"/>
      <c r="M39" s="34" t="s">
        <v>129</v>
      </c>
      <c r="N39" s="23"/>
      <c r="O39" s="34" t="str">
        <f>CONCAT(Level, " minute(s) (D)
1 minute/level")</f>
        <v>1 minute(s) (D)
1 minute/level</v>
      </c>
      <c r="P39" s="23"/>
      <c r="Q39" s="34" t="s">
        <v>82</v>
      </c>
      <c r="R39" s="23"/>
      <c r="S39" s="34" t="s">
        <v>78</v>
      </c>
      <c r="T39" s="23"/>
      <c r="U39" s="81" t="s">
        <v>147</v>
      </c>
      <c r="V39" s="9"/>
      <c r="W39" s="9"/>
      <c r="X39" s="23"/>
      <c r="Y39" s="74"/>
    </row>
    <row r="40">
      <c r="A40" s="1"/>
      <c r="B40" s="25">
        <v>1.0</v>
      </c>
      <c r="C40" s="78" t="s">
        <v>148</v>
      </c>
      <c r="D40" s="17"/>
      <c r="E40" s="28" t="s">
        <v>94</v>
      </c>
      <c r="F40" s="17"/>
      <c r="G40" s="28" t="s">
        <v>146</v>
      </c>
      <c r="H40" s="17"/>
      <c r="I40" s="28" t="s">
        <v>54</v>
      </c>
      <c r="J40" s="17"/>
      <c r="K40" s="28" t="s">
        <v>60</v>
      </c>
      <c r="L40" s="17"/>
      <c r="M40" s="28" t="s">
        <v>129</v>
      </c>
      <c r="N40" s="17"/>
      <c r="O40" s="28" t="str">
        <f>CONCAT(Level, " minute(s) (D)
1 minute/level")</f>
        <v>1 minute(s) (D)
1 minute/level</v>
      </c>
      <c r="P40" s="17"/>
      <c r="Q40" s="28" t="s">
        <v>82</v>
      </c>
      <c r="R40" s="17"/>
      <c r="S40" s="28" t="s">
        <v>78</v>
      </c>
      <c r="T40" s="17"/>
      <c r="U40" s="79" t="s">
        <v>149</v>
      </c>
      <c r="V40" s="3"/>
      <c r="W40" s="3"/>
      <c r="X40" s="17"/>
      <c r="Y40" s="74"/>
    </row>
    <row r="41">
      <c r="A41" s="1"/>
      <c r="B41" s="82">
        <v>1.0</v>
      </c>
      <c r="C41" s="80" t="s">
        <v>150</v>
      </c>
      <c r="D41" s="23"/>
      <c r="E41" s="34" t="s">
        <v>94</v>
      </c>
      <c r="F41" s="23"/>
      <c r="G41" s="34" t="s">
        <v>133</v>
      </c>
      <c r="H41" s="23"/>
      <c r="I41" s="34" t="s">
        <v>54</v>
      </c>
      <c r="J41" s="23"/>
      <c r="K41" s="34" t="s">
        <v>60</v>
      </c>
      <c r="L41" s="23"/>
      <c r="M41" s="34" t="s">
        <v>151</v>
      </c>
      <c r="N41" s="23"/>
      <c r="O41" s="34" t="str">
        <f>CONCAT(Level, " minute(s)
1 minute/level")</f>
        <v>1 minute(s)
1 minute/level</v>
      </c>
      <c r="P41" s="23"/>
      <c r="Q41" s="34" t="s">
        <v>82</v>
      </c>
      <c r="R41" s="23"/>
      <c r="S41" s="34" t="s">
        <v>110</v>
      </c>
      <c r="T41" s="23"/>
      <c r="U41" s="81" t="s">
        <v>152</v>
      </c>
      <c r="V41" s="9"/>
      <c r="W41" s="9"/>
      <c r="X41" s="23"/>
      <c r="Y41" s="74"/>
    </row>
    <row r="42">
      <c r="A42" s="1"/>
      <c r="B42" s="25">
        <v>1.0</v>
      </c>
      <c r="C42" s="78" t="s">
        <v>153</v>
      </c>
      <c r="D42" s="17"/>
      <c r="E42" s="28" t="s">
        <v>94</v>
      </c>
      <c r="F42" s="17"/>
      <c r="G42" s="28" t="s">
        <v>133</v>
      </c>
      <c r="H42" s="17"/>
      <c r="I42" s="28" t="s">
        <v>54</v>
      </c>
      <c r="J42" s="17"/>
      <c r="K42" s="28" t="s">
        <v>60</v>
      </c>
      <c r="L42" s="17"/>
      <c r="M42" s="28" t="s">
        <v>154</v>
      </c>
      <c r="N42" s="17"/>
      <c r="O42" s="28" t="s">
        <v>155</v>
      </c>
      <c r="P42" s="17"/>
      <c r="Q42" s="28" t="s">
        <v>97</v>
      </c>
      <c r="R42" s="17"/>
      <c r="S42" s="28" t="s">
        <v>98</v>
      </c>
      <c r="T42" s="17"/>
      <c r="U42" s="79" t="s">
        <v>156</v>
      </c>
      <c r="V42" s="3"/>
      <c r="W42" s="3"/>
      <c r="X42" s="17"/>
      <c r="Y42" s="74"/>
    </row>
    <row r="43">
      <c r="A43" s="1"/>
      <c r="B43" s="82">
        <v>1.0</v>
      </c>
      <c r="C43" s="80" t="s">
        <v>157</v>
      </c>
      <c r="D43" s="23"/>
      <c r="E43" s="34" t="s">
        <v>158</v>
      </c>
      <c r="F43" s="23"/>
      <c r="G43" s="34" t="s">
        <v>53</v>
      </c>
      <c r="H43" s="23"/>
      <c r="I43" s="34" t="s">
        <v>54</v>
      </c>
      <c r="J43" s="23"/>
      <c r="K43" s="34" t="s">
        <v>159</v>
      </c>
      <c r="L43" s="23"/>
      <c r="M43" s="34" t="s">
        <v>160</v>
      </c>
      <c r="N43" s="23"/>
      <c r="O43" s="34" t="str">
        <f>CONCAT(Level, " minute(s)
1 minute/level")</f>
        <v>1 minute(s)
1 minute/level</v>
      </c>
      <c r="P43" s="23"/>
      <c r="Q43" s="34" t="s">
        <v>56</v>
      </c>
      <c r="R43" s="23"/>
      <c r="S43" s="34" t="s">
        <v>57</v>
      </c>
      <c r="T43" s="23"/>
      <c r="U43" s="81" t="s">
        <v>161</v>
      </c>
      <c r="V43" s="9"/>
      <c r="W43" s="9"/>
      <c r="X43" s="23"/>
      <c r="Y43" s="74"/>
    </row>
    <row r="44">
      <c r="A44" s="1"/>
      <c r="B44" s="25">
        <v>1.0</v>
      </c>
      <c r="C44" s="78" t="s">
        <v>162</v>
      </c>
      <c r="D44" s="17"/>
      <c r="E44" s="28" t="s">
        <v>94</v>
      </c>
      <c r="F44" s="17"/>
      <c r="G44" s="28" t="s">
        <v>133</v>
      </c>
      <c r="H44" s="17"/>
      <c r="I44" s="28" t="s">
        <v>54</v>
      </c>
      <c r="J44" s="17"/>
      <c r="K44" s="28" t="s">
        <v>60</v>
      </c>
      <c r="L44" s="17"/>
      <c r="M44" s="28" t="str">
        <f>CONCAT(Level, " creature(s) touched, 1 creature/level.")</f>
        <v>1 creature(s) touched, 1 creature/level.</v>
      </c>
      <c r="N44" s="17"/>
      <c r="O44" s="28" t="str">
        <f>CONCAT(Level, " hour(s) (D)
1 hour/level")</f>
        <v>1 hour(s) (D)
1 hour/level</v>
      </c>
      <c r="P44" s="17"/>
      <c r="Q44" s="28" t="s">
        <v>82</v>
      </c>
      <c r="R44" s="17"/>
      <c r="S44" s="28" t="s">
        <v>110</v>
      </c>
      <c r="T44" s="17"/>
      <c r="U44" s="79" t="str">
        <f>CONCAT(Level, " subject(s) leave no tracks, 1 subject/level.")</f>
        <v>1 subject(s) leave no tracks, 1 subject/level.</v>
      </c>
      <c r="V44" s="3"/>
      <c r="W44" s="3"/>
      <c r="X44" s="17"/>
      <c r="Y44" s="74"/>
    </row>
    <row r="45">
      <c r="A45" s="1"/>
      <c r="B45" s="82">
        <v>1.0</v>
      </c>
      <c r="C45" s="80" t="s">
        <v>163</v>
      </c>
      <c r="D45" s="23"/>
      <c r="E45" s="34" t="s">
        <v>164</v>
      </c>
      <c r="F45" s="23"/>
      <c r="G45" s="34" t="s">
        <v>53</v>
      </c>
      <c r="H45" s="23"/>
      <c r="I45" s="34" t="s">
        <v>54</v>
      </c>
      <c r="J45" s="23"/>
      <c r="K45" s="34" t="s">
        <v>165</v>
      </c>
      <c r="L45" s="23"/>
      <c r="M45" s="34" t="s">
        <v>166</v>
      </c>
      <c r="N45" s="23"/>
      <c r="O45" s="34" t="str">
        <f>CONCAT(Level, " minute(s) (D)
1 minute/level")</f>
        <v>1 minute(s) (D)
1 minute/level</v>
      </c>
      <c r="P45" s="23"/>
      <c r="Q45" s="34" t="s">
        <v>56</v>
      </c>
      <c r="R45" s="23"/>
      <c r="S45" s="34" t="s">
        <v>78</v>
      </c>
      <c r="T45" s="23"/>
      <c r="U45" s="81" t="str">
        <f>CONCAT("1d6+",CONCAT(Level, " damage, +1/level, touch or thrown"))</f>
        <v>1d6+1 damage, +1/level, touch or thrown</v>
      </c>
      <c r="V45" s="9"/>
      <c r="W45" s="9"/>
      <c r="X45" s="23"/>
      <c r="Y45" s="74"/>
    </row>
    <row r="46">
      <c r="A46" s="1"/>
      <c r="B46" s="25">
        <v>1.0</v>
      </c>
      <c r="C46" s="78" t="s">
        <v>167</v>
      </c>
      <c r="D46" s="17"/>
      <c r="E46" s="28" t="s">
        <v>94</v>
      </c>
      <c r="F46" s="17"/>
      <c r="G46" s="28" t="s">
        <v>133</v>
      </c>
      <c r="H46" s="17"/>
      <c r="I46" s="28" t="s">
        <v>54</v>
      </c>
      <c r="J46" s="17"/>
      <c r="K46" s="28" t="s">
        <v>60</v>
      </c>
      <c r="L46" s="17"/>
      <c r="M46" s="28" t="s">
        <v>168</v>
      </c>
      <c r="N46" s="17"/>
      <c r="O46" s="28" t="str">
        <f>CONCAT(Level, " minute(s)
1 minute/level")</f>
        <v>1 minute(s)
1 minute/level</v>
      </c>
      <c r="P46" s="17"/>
      <c r="Q46" s="28" t="s">
        <v>101</v>
      </c>
      <c r="R46" s="17"/>
      <c r="S46" s="28" t="s">
        <v>102</v>
      </c>
      <c r="T46" s="17"/>
      <c r="U46" s="79" t="s">
        <v>169</v>
      </c>
      <c r="V46" s="3"/>
      <c r="W46" s="3"/>
      <c r="X46" s="17"/>
      <c r="Y46" s="74"/>
    </row>
    <row r="47">
      <c r="A47" s="1"/>
      <c r="B47" s="82">
        <v>1.0</v>
      </c>
      <c r="C47" s="80" t="s">
        <v>170</v>
      </c>
      <c r="D47" s="23"/>
      <c r="E47" s="34" t="s">
        <v>66</v>
      </c>
      <c r="F47" s="23"/>
      <c r="G47" s="34" t="s">
        <v>53</v>
      </c>
      <c r="H47" s="23"/>
      <c r="I47" s="34" t="s">
        <v>54</v>
      </c>
      <c r="J47" s="23"/>
      <c r="K47" s="34" t="s">
        <v>85</v>
      </c>
      <c r="L47" s="23"/>
      <c r="M47" s="34" t="s">
        <v>86</v>
      </c>
      <c r="N47" s="23"/>
      <c r="O47" s="34" t="str">
        <f>CONCAT(Level, " minute(s)
1 minute/level")</f>
        <v>1 minute(s)
1 minute/level</v>
      </c>
      <c r="P47" s="23"/>
      <c r="Q47" s="34" t="s">
        <v>87</v>
      </c>
      <c r="R47" s="23"/>
      <c r="S47" s="34" t="s">
        <v>87</v>
      </c>
      <c r="T47" s="23"/>
      <c r="U47" s="81" t="s">
        <v>171</v>
      </c>
      <c r="V47" s="9"/>
      <c r="W47" s="9"/>
      <c r="X47" s="23"/>
    </row>
    <row r="48">
      <c r="A48" s="1"/>
      <c r="B48" s="25">
        <v>1.0</v>
      </c>
      <c r="C48" s="78" t="s">
        <v>172</v>
      </c>
      <c r="D48" s="17"/>
      <c r="E48" s="28" t="s">
        <v>173</v>
      </c>
      <c r="F48" s="17"/>
      <c r="G48" s="28" t="s">
        <v>133</v>
      </c>
      <c r="H48" s="17"/>
      <c r="I48" s="28" t="s">
        <v>174</v>
      </c>
      <c r="J48" s="17"/>
      <c r="K48" s="28" t="str">
        <f>CONCAT("Close: ", CONCAT(25+(5*FLOOR(Level/2,1)), " ft"))</f>
        <v>Close: 25 ft</v>
      </c>
      <c r="L48" s="17"/>
      <c r="M48" s="28" t="s">
        <v>175</v>
      </c>
      <c r="N48" s="17"/>
      <c r="O48" s="28" t="str">
        <f>CONCAT(Level, " round(s) (D)
1 round/level")</f>
        <v>1 round(s) (D)
1 round/level</v>
      </c>
      <c r="P48" s="17"/>
      <c r="Q48" s="28" t="s">
        <v>56</v>
      </c>
      <c r="R48" s="17"/>
      <c r="S48" s="28" t="s">
        <v>57</v>
      </c>
      <c r="T48" s="17"/>
      <c r="U48" s="79" t="s">
        <v>176</v>
      </c>
      <c r="V48" s="3"/>
      <c r="W48" s="3"/>
      <c r="X48" s="17"/>
    </row>
    <row r="49">
      <c r="A49" s="1"/>
      <c r="B49" s="82">
        <v>2.0</v>
      </c>
      <c r="C49" s="80" t="s">
        <v>177</v>
      </c>
      <c r="D49" s="23"/>
      <c r="E49" s="34" t="s">
        <v>115</v>
      </c>
      <c r="F49" s="23"/>
      <c r="G49" s="34" t="s">
        <v>146</v>
      </c>
      <c r="H49" s="23"/>
      <c r="I49" s="34" t="s">
        <v>54</v>
      </c>
      <c r="J49" s="23"/>
      <c r="K49" s="34" t="str">
        <f>CONCAT("Close: ", CONCAT(25+(5*FLOOR(Level/2,1)), " ft"))</f>
        <v>Close: 25 ft</v>
      </c>
      <c r="L49" s="23"/>
      <c r="M49" s="34" t="s">
        <v>178</v>
      </c>
      <c r="N49" s="23"/>
      <c r="O49" s="34" t="str">
        <f>CONCAT(Level, " days
1 day/level")</f>
        <v>1 days
1 day/level</v>
      </c>
      <c r="P49" s="23"/>
      <c r="Q49" s="34" t="s">
        <v>179</v>
      </c>
      <c r="R49" s="23"/>
      <c r="S49" s="34" t="s">
        <v>78</v>
      </c>
      <c r="T49" s="23"/>
      <c r="U49" s="81" t="s">
        <v>180</v>
      </c>
      <c r="V49" s="9"/>
      <c r="W49" s="9"/>
      <c r="X49" s="23"/>
    </row>
    <row r="50">
      <c r="A50" s="1"/>
      <c r="B50" s="25">
        <v>2.0</v>
      </c>
      <c r="C50" s="78" t="s">
        <v>181</v>
      </c>
      <c r="D50" s="17"/>
      <c r="E50" s="28" t="s">
        <v>182</v>
      </c>
      <c r="F50" s="17"/>
      <c r="G50" s="28" t="s">
        <v>53</v>
      </c>
      <c r="H50" s="17"/>
      <c r="I50" s="28" t="s">
        <v>54</v>
      </c>
      <c r="J50" s="17"/>
      <c r="K50" s="28" t="str">
        <f>CONCAT("Close: ", CONCAT(25+(5*FLOOR(Level/2,1)), " ft"))</f>
        <v>Close: 25 ft</v>
      </c>
      <c r="L50" s="17"/>
      <c r="M50" s="28" t="s">
        <v>183</v>
      </c>
      <c r="N50" s="17"/>
      <c r="O50" s="28" t="s">
        <v>184</v>
      </c>
      <c r="P50" s="17"/>
      <c r="Q50" s="28" t="s">
        <v>117</v>
      </c>
      <c r="R50" s="17"/>
      <c r="S50" s="28" t="s">
        <v>78</v>
      </c>
      <c r="T50" s="17"/>
      <c r="U50" s="79" t="s">
        <v>185</v>
      </c>
      <c r="V50" s="3"/>
      <c r="W50" s="3"/>
      <c r="X50" s="17"/>
    </row>
    <row r="51">
      <c r="A51" s="1"/>
      <c r="B51" s="82">
        <v>2.0</v>
      </c>
      <c r="C51" s="80" t="s">
        <v>186</v>
      </c>
      <c r="D51" s="23"/>
      <c r="E51" s="34" t="s">
        <v>94</v>
      </c>
      <c r="F51" s="23"/>
      <c r="G51" s="34" t="s">
        <v>133</v>
      </c>
      <c r="H51" s="23"/>
      <c r="I51" s="34" t="s">
        <v>54</v>
      </c>
      <c r="J51" s="23"/>
      <c r="K51" s="34" t="s">
        <v>60</v>
      </c>
      <c r="L51" s="23"/>
      <c r="M51" s="34" t="s">
        <v>187</v>
      </c>
      <c r="N51" s="23"/>
      <c r="O51" s="34" t="str">
        <f>CONCAT(Level*10, " minutes
10 minutes/level")</f>
        <v>10 minutes
10 minutes/level</v>
      </c>
      <c r="P51" s="23"/>
      <c r="Q51" s="34" t="s">
        <v>56</v>
      </c>
      <c r="R51" s="23"/>
      <c r="S51" s="34" t="s">
        <v>110</v>
      </c>
      <c r="T51" s="23"/>
      <c r="U51" s="81" t="s">
        <v>188</v>
      </c>
      <c r="V51" s="9"/>
      <c r="W51" s="9"/>
      <c r="X51" s="23"/>
    </row>
    <row r="52">
      <c r="A52" s="1"/>
      <c r="B52" s="25">
        <v>2.0</v>
      </c>
      <c r="C52" s="78" t="s">
        <v>189</v>
      </c>
      <c r="D52" s="17"/>
      <c r="E52" s="28" t="s">
        <v>94</v>
      </c>
      <c r="F52" s="17"/>
      <c r="G52" s="28" t="s">
        <v>133</v>
      </c>
      <c r="H52" s="17"/>
      <c r="I52" s="28" t="s">
        <v>54</v>
      </c>
      <c r="J52" s="17"/>
      <c r="K52" s="28" t="s">
        <v>60</v>
      </c>
      <c r="L52" s="17"/>
      <c r="M52" s="28" t="s">
        <v>129</v>
      </c>
      <c r="N52" s="17"/>
      <c r="O52" s="28" t="str">
        <f>CONCAT(Level, " minutes
1 minute/level")</f>
        <v>1 minutes
1 minute/level</v>
      </c>
      <c r="P52" s="17"/>
      <c r="Q52" s="28" t="s">
        <v>82</v>
      </c>
      <c r="R52" s="17"/>
      <c r="S52" s="28" t="s">
        <v>78</v>
      </c>
      <c r="T52" s="17"/>
      <c r="U52" s="79" t="str">
        <f>CONCAT("Subject gains +4 to Con for ",CONCAT(Level," minutes, 1 minute/level"))</f>
        <v>Subject gains +4 to Con for 1 minutes, 1 minute/level</v>
      </c>
      <c r="V52" s="3"/>
      <c r="W52" s="3"/>
      <c r="X52" s="17"/>
    </row>
    <row r="53">
      <c r="A53" s="1"/>
      <c r="B53" s="82">
        <v>2.0</v>
      </c>
      <c r="C53" s="80" t="s">
        <v>190</v>
      </c>
      <c r="D53" s="23"/>
      <c r="E53" s="34" t="s">
        <v>94</v>
      </c>
      <c r="F53" s="23"/>
      <c r="G53" s="34" t="s">
        <v>108</v>
      </c>
      <c r="H53" s="23"/>
      <c r="I53" s="34" t="s">
        <v>54</v>
      </c>
      <c r="J53" s="23"/>
      <c r="K53" s="34" t="s">
        <v>60</v>
      </c>
      <c r="L53" s="23"/>
      <c r="M53" s="34" t="s">
        <v>129</v>
      </c>
      <c r="N53" s="23"/>
      <c r="O53" s="34" t="str">
        <f>CONCAT(Level, " minutes
1 minute/level")</f>
        <v>1 minutes
1 minute/level</v>
      </c>
      <c r="P53" s="23"/>
      <c r="Q53" s="34" t="s">
        <v>82</v>
      </c>
      <c r="R53" s="23"/>
      <c r="S53" s="34" t="s">
        <v>110</v>
      </c>
      <c r="T53" s="23"/>
      <c r="U53" s="81" t="str">
        <f>CONCAT("Subject gains +4 to Str for ",CONCAT(Level," minutes, 1 minute/level"))</f>
        <v>Subject gains +4 to Str for 1 minutes, 1 minute/level</v>
      </c>
      <c r="V53" s="9"/>
      <c r="W53" s="9"/>
      <c r="X53" s="23"/>
    </row>
    <row r="54">
      <c r="A54" s="1"/>
      <c r="B54" s="25">
        <v>2.0</v>
      </c>
      <c r="C54" s="78" t="s">
        <v>191</v>
      </c>
      <c r="D54" s="17"/>
      <c r="E54" s="28" t="s">
        <v>94</v>
      </c>
      <c r="F54" s="17"/>
      <c r="G54" s="28" t="s">
        <v>146</v>
      </c>
      <c r="H54" s="17"/>
      <c r="I54" s="28" t="s">
        <v>54</v>
      </c>
      <c r="J54" s="17"/>
      <c r="K54" s="28" t="s">
        <v>60</v>
      </c>
      <c r="L54" s="17"/>
      <c r="M54" s="28" t="s">
        <v>129</v>
      </c>
      <c r="N54" s="17"/>
      <c r="O54" s="28" t="str">
        <f>CONCAT(Level, " minutes
1 minute/level")</f>
        <v>1 minutes
1 minute/level</v>
      </c>
      <c r="P54" s="17"/>
      <c r="Q54" s="28" t="s">
        <v>82</v>
      </c>
      <c r="R54" s="17"/>
      <c r="S54" s="28" t="s">
        <v>192</v>
      </c>
      <c r="T54" s="17"/>
      <c r="U54" s="79" t="str">
        <f>CONCAT("Subject gains +4 to Dex for ",CONCAT(Level," minutes, 1 minute/level"))</f>
        <v>Subject gains +4 to Dex for 1 minutes, 1 minute/level</v>
      </c>
      <c r="V54" s="3"/>
      <c r="W54" s="3"/>
      <c r="X54" s="17"/>
    </row>
    <row r="55">
      <c r="A55" s="1"/>
      <c r="B55" s="82">
        <v>2.0</v>
      </c>
      <c r="C55" s="80" t="s">
        <v>193</v>
      </c>
      <c r="D55" s="23"/>
      <c r="E55" s="34" t="s">
        <v>194</v>
      </c>
      <c r="F55" s="23"/>
      <c r="G55" s="34" t="s">
        <v>133</v>
      </c>
      <c r="H55" s="23"/>
      <c r="I55" s="34" t="s">
        <v>54</v>
      </c>
      <c r="J55" s="23"/>
      <c r="K55" s="34" t="str">
        <f>CONCAT("Close: ", CONCAT(25+(5*FLOOR(Level/2,1)), " ft"))</f>
        <v>Close: 25 ft</v>
      </c>
      <c r="L55" s="23"/>
      <c r="M55" s="34" t="str">
        <f>CONCAT("Metal equipment of ",CONCAT(MAX(FLOOR(Level/2,1),1), CONCAT(" creatures, 1 creature per 2 levels, no two of which can be more than 30 ft. apart
or
 ",CONCAT(Level*25, " lbs of metal, 25 lbs/level, none of which can be more than 30 ft. away from any of the rest"))))</f>
        <v>Metal equipment of 1 creatures, 1 creature per 2 levels, no two of which can be more than 30 ft. apart
or
 25 lbs of metal, 25 lbs/level, none of which can be more than 30 ft. away from any of the rest</v>
      </c>
      <c r="N55" s="23"/>
      <c r="O55" s="34" t="s">
        <v>195</v>
      </c>
      <c r="P55" s="23"/>
      <c r="Q55" s="34" t="s">
        <v>101</v>
      </c>
      <c r="R55" s="23"/>
      <c r="S55" s="34" t="s">
        <v>102</v>
      </c>
      <c r="T55" s="23"/>
      <c r="U55" s="81" t="s">
        <v>196</v>
      </c>
      <c r="V55" s="9"/>
      <c r="W55" s="9"/>
      <c r="X55" s="23"/>
    </row>
    <row r="56">
      <c r="A56" s="1"/>
      <c r="B56" s="25">
        <v>2.0</v>
      </c>
      <c r="C56" s="78" t="s">
        <v>197</v>
      </c>
      <c r="D56" s="17"/>
      <c r="E56" s="28" t="s">
        <v>59</v>
      </c>
      <c r="F56" s="17"/>
      <c r="G56" s="27" t="s">
        <v>133</v>
      </c>
      <c r="H56" s="17"/>
      <c r="I56" s="27" t="s">
        <v>54</v>
      </c>
      <c r="J56" s="17"/>
      <c r="K56" s="27" t="s">
        <v>60</v>
      </c>
      <c r="L56" s="17"/>
      <c r="M56" s="27" t="s">
        <v>129</v>
      </c>
      <c r="N56" s="17"/>
      <c r="O56" s="27" t="str">
        <f>CONCAT(Level, " hours
1 hour/level")</f>
        <v>1 hours
1 hour/level</v>
      </c>
      <c r="P56" s="17"/>
      <c r="Q56" s="27" t="s">
        <v>198</v>
      </c>
      <c r="R56" s="17"/>
      <c r="S56" s="27" t="s">
        <v>110</v>
      </c>
      <c r="T56" s="17"/>
      <c r="U56" s="29" t="str">
        <f>CONCAT("Stops poison from harming subject for ",CONCAT(FLOOR(Level,1)," hours, 1 hour/level"))</f>
        <v>Stops poison from harming subject for 1 hours, 1 hour/level</v>
      </c>
      <c r="V56" s="3"/>
      <c r="W56" s="3"/>
      <c r="X56" s="17"/>
    </row>
    <row r="57">
      <c r="A57" s="1"/>
      <c r="B57" s="82">
        <v>2.0</v>
      </c>
      <c r="C57" s="80" t="s">
        <v>199</v>
      </c>
      <c r="D57" s="23"/>
      <c r="E57" s="34" t="s">
        <v>200</v>
      </c>
      <c r="F57" s="23"/>
      <c r="G57" s="34" t="s">
        <v>201</v>
      </c>
      <c r="H57" s="23"/>
      <c r="I57" s="34" t="s">
        <v>202</v>
      </c>
      <c r="J57" s="23"/>
      <c r="K57" s="33" t="s">
        <v>60</v>
      </c>
      <c r="L57" s="23"/>
      <c r="M57" s="34" t="s">
        <v>203</v>
      </c>
      <c r="N57" s="23"/>
      <c r="O57" s="34" t="s">
        <v>204</v>
      </c>
      <c r="P57" s="23"/>
      <c r="Q57" s="34" t="s">
        <v>205</v>
      </c>
      <c r="R57" s="23"/>
      <c r="S57" s="34" t="s">
        <v>78</v>
      </c>
      <c r="T57" s="23"/>
      <c r="U57" s="35" t="str">
        <f>CONCAT("Opened object deals 1d4+",CONCAT(Level," damage, +1/level"))</f>
        <v>Opened object deals 1d4+1 damage, +1/level</v>
      </c>
      <c r="V57" s="9"/>
      <c r="W57" s="9"/>
      <c r="X57" s="23"/>
    </row>
    <row r="58">
      <c r="A58" s="1"/>
      <c r="B58" s="25">
        <v>2.0</v>
      </c>
      <c r="C58" s="78" t="s">
        <v>206</v>
      </c>
      <c r="D58" s="17"/>
      <c r="E58" s="28" t="s">
        <v>164</v>
      </c>
      <c r="F58" s="17"/>
      <c r="G58" s="28" t="s">
        <v>133</v>
      </c>
      <c r="H58" s="17"/>
      <c r="I58" s="28" t="s">
        <v>54</v>
      </c>
      <c r="J58" s="17"/>
      <c r="K58" s="28" t="s">
        <v>165</v>
      </c>
      <c r="L58" s="17"/>
      <c r="M58" s="28" t="s">
        <v>207</v>
      </c>
      <c r="N58" s="17"/>
      <c r="O58" s="28" t="str">
        <f>CONCAT(Level, " minutes (D)
1 minute/level")</f>
        <v>1 minutes (D)
1 minute/level</v>
      </c>
      <c r="P58" s="17"/>
      <c r="Q58" s="28" t="s">
        <v>56</v>
      </c>
      <c r="R58" s="17"/>
      <c r="S58" s="28" t="s">
        <v>78</v>
      </c>
      <c r="T58" s="17"/>
      <c r="U58" s="29" t="str">
        <f>CONCAT("Touch attack deals 1d8+",CONCAT(MAX(FLOOR(Level/2,1),1)," damage, +1 per 2 levels"))</f>
        <v>Touch attack deals 1d8+1 damage, +1 per 2 levels</v>
      </c>
      <c r="V58" s="3"/>
      <c r="W58" s="3"/>
      <c r="X58" s="17"/>
    </row>
    <row r="59">
      <c r="A59" s="1"/>
      <c r="B59" s="82">
        <v>2.0</v>
      </c>
      <c r="C59" s="80" t="s">
        <v>208</v>
      </c>
      <c r="D59" s="23"/>
      <c r="E59" s="34" t="s">
        <v>164</v>
      </c>
      <c r="F59" s="23"/>
      <c r="G59" s="34" t="s">
        <v>133</v>
      </c>
      <c r="H59" s="23"/>
      <c r="I59" s="34" t="s">
        <v>54</v>
      </c>
      <c r="J59" s="23"/>
      <c r="K59" s="34" t="str">
        <f>CONCAT("Medium: ", CONCAT(100+(10*Level), " ft"))</f>
        <v>Medium: 110 ft</v>
      </c>
      <c r="L59" s="23"/>
      <c r="M59" s="34" t="s">
        <v>209</v>
      </c>
      <c r="N59" s="23"/>
      <c r="O59" s="34" t="str">
        <f>CONCAT(Level, " rounds (D)
1 round/level")</f>
        <v>1 rounds (D)
1 round/level</v>
      </c>
      <c r="P59" s="23"/>
      <c r="Q59" s="34" t="s">
        <v>210</v>
      </c>
      <c r="R59" s="23"/>
      <c r="S59" s="34" t="s">
        <v>78</v>
      </c>
      <c r="T59" s="23"/>
      <c r="U59" s="35" t="str">
        <f>CONCAT("Creates rolling ball of fire, 2d6 damage, lasts ",CONCAT(Level," rounds, 1 round/level"))</f>
        <v>Creates rolling ball of fire, 2d6 damage, lasts 1 rounds, 1 round/level</v>
      </c>
      <c r="V59" s="9"/>
      <c r="W59" s="9"/>
      <c r="X59" s="23"/>
    </row>
    <row r="60">
      <c r="A60" s="1"/>
      <c r="B60" s="25">
        <v>2.0</v>
      </c>
      <c r="C60" s="78" t="s">
        <v>211</v>
      </c>
      <c r="D60" s="17"/>
      <c r="E60" s="28" t="s">
        <v>158</v>
      </c>
      <c r="F60" s="17"/>
      <c r="G60" s="28" t="s">
        <v>53</v>
      </c>
      <c r="H60" s="17"/>
      <c r="I60" s="28" t="s">
        <v>54</v>
      </c>
      <c r="J60" s="17"/>
      <c r="K60" s="28" t="str">
        <f>CONCAT("Medium: ", CONCAT(100+(10*Level), " ft"))</f>
        <v>Medium: 110 ft</v>
      </c>
      <c r="L60" s="17"/>
      <c r="M60" s="28" t="s">
        <v>212</v>
      </c>
      <c r="N60" s="17"/>
      <c r="O60" s="28" t="str">
        <f>CONCAT(Level*10, " minutes
10 minutes/level")</f>
        <v>10 minutes
10 minutes/level</v>
      </c>
      <c r="P60" s="17"/>
      <c r="Q60" s="28" t="s">
        <v>56</v>
      </c>
      <c r="R60" s="17"/>
      <c r="S60" s="28" t="s">
        <v>57</v>
      </c>
      <c r="T60" s="17"/>
      <c r="U60" s="79" t="s">
        <v>213</v>
      </c>
      <c r="V60" s="3"/>
      <c r="W60" s="3"/>
      <c r="X60" s="17"/>
    </row>
    <row r="61">
      <c r="A61" s="1"/>
      <c r="B61" s="82">
        <v>2.0</v>
      </c>
      <c r="C61" s="80" t="s">
        <v>214</v>
      </c>
      <c r="D61" s="23"/>
      <c r="E61" s="34" t="s">
        <v>215</v>
      </c>
      <c r="F61" s="23"/>
      <c r="G61" s="34" t="s">
        <v>53</v>
      </c>
      <c r="H61" s="23"/>
      <c r="I61" s="34" t="s">
        <v>54</v>
      </c>
      <c r="J61" s="23"/>
      <c r="K61" s="34" t="s">
        <v>67</v>
      </c>
      <c r="L61" s="23"/>
      <c r="M61" s="34" t="s">
        <v>216</v>
      </c>
      <c r="N61" s="23"/>
      <c r="O61" s="34" t="s">
        <v>174</v>
      </c>
      <c r="P61" s="23"/>
      <c r="Q61" s="34" t="s">
        <v>77</v>
      </c>
      <c r="R61" s="23"/>
      <c r="S61" s="34" t="s">
        <v>78</v>
      </c>
      <c r="T61" s="23"/>
      <c r="U61" s="81" t="s">
        <v>217</v>
      </c>
      <c r="V61" s="9"/>
      <c r="W61" s="9"/>
      <c r="X61" s="23"/>
    </row>
    <row r="62">
      <c r="A62" s="1"/>
      <c r="B62" s="25">
        <v>2.0</v>
      </c>
      <c r="C62" s="78" t="s">
        <v>218</v>
      </c>
      <c r="D62" s="17"/>
      <c r="E62" s="28" t="s">
        <v>219</v>
      </c>
      <c r="F62" s="17"/>
      <c r="G62" s="28" t="s">
        <v>133</v>
      </c>
      <c r="H62" s="17"/>
      <c r="I62" s="28" t="s">
        <v>54</v>
      </c>
      <c r="J62" s="17"/>
      <c r="K62" s="28" t="str">
        <f>CONCAT("Close: ", CONCAT(25+(5*FLOOR(Level/2,1)), " ft"))</f>
        <v>Close: 25 ft</v>
      </c>
      <c r="L62" s="17"/>
      <c r="M62" s="28" t="str">
        <f>CONCAT("Metal equipment of ",CONCAT(MAX(FLOOR(Level/2,1),1), CONCAT(" creatures, 1 creature per 2 levels, no two of which can be more than 30 ft. apart
or
 ",CONCAT(Level*25, " lbs of metal, 25 lbs/level, none of which can be more than 30 ft. away from any of the rest"))))</f>
        <v>Metal equipment of 1 creatures, 1 creature per 2 levels, no two of which can be more than 30 ft. apart
or
 25 lbs of metal, 25 lbs/level, none of which can be more than 30 ft. away from any of the rest</v>
      </c>
      <c r="N62" s="17"/>
      <c r="O62" s="28" t="s">
        <v>195</v>
      </c>
      <c r="P62" s="17"/>
      <c r="Q62" s="28" t="s">
        <v>101</v>
      </c>
      <c r="R62" s="17"/>
      <c r="S62" s="28" t="s">
        <v>102</v>
      </c>
      <c r="T62" s="17"/>
      <c r="U62" s="79" t="s">
        <v>220</v>
      </c>
      <c r="V62" s="3"/>
      <c r="W62" s="3"/>
      <c r="X62" s="17"/>
    </row>
    <row r="63">
      <c r="A63" s="1"/>
      <c r="B63" s="82">
        <v>2.0</v>
      </c>
      <c r="C63" s="80" t="s">
        <v>221</v>
      </c>
      <c r="D63" s="23"/>
      <c r="E63" s="34" t="s">
        <v>115</v>
      </c>
      <c r="F63" s="23"/>
      <c r="G63" s="34" t="s">
        <v>53</v>
      </c>
      <c r="H63" s="23"/>
      <c r="I63" s="34" t="s">
        <v>54</v>
      </c>
      <c r="J63" s="23"/>
      <c r="K63" s="34" t="str">
        <f>CONCAT("Medium: ", CONCAT(100+(10*Level), " ft"))</f>
        <v>Medium: 110 ft</v>
      </c>
      <c r="L63" s="23"/>
      <c r="M63" s="34" t="s">
        <v>120</v>
      </c>
      <c r="N63" s="23"/>
      <c r="O63" s="34" t="str">
        <f>CONCAT(Level, " rounds (D)
1 round/level
see text")</f>
        <v>1 rounds (D)
1 round/level
see text</v>
      </c>
      <c r="P63" s="23"/>
      <c r="Q63" s="34" t="s">
        <v>117</v>
      </c>
      <c r="R63" s="23"/>
      <c r="S63" s="34" t="s">
        <v>78</v>
      </c>
      <c r="T63" s="23"/>
      <c r="U63" s="81" t="str">
        <f>CONCAT("Paralyzes one animal for ",CONCAT(FLOOR(Level,1)," rounds, 1 round/level"))</f>
        <v>Paralyzes one animal for 1 rounds, 1 round/level</v>
      </c>
      <c r="V63" s="9"/>
      <c r="W63" s="9"/>
      <c r="X63" s="23"/>
    </row>
    <row r="64">
      <c r="A64" s="1"/>
      <c r="B64" s="25">
        <v>2.0</v>
      </c>
      <c r="C64" s="78" t="s">
        <v>222</v>
      </c>
      <c r="D64" s="17"/>
      <c r="E64" s="28" t="s">
        <v>94</v>
      </c>
      <c r="F64" s="17"/>
      <c r="G64" s="28" t="s">
        <v>133</v>
      </c>
      <c r="H64" s="17"/>
      <c r="I64" s="28" t="s">
        <v>54</v>
      </c>
      <c r="J64" s="17"/>
      <c r="K64" s="28" t="s">
        <v>60</v>
      </c>
      <c r="L64" s="17"/>
      <c r="M64" s="28" t="s">
        <v>129</v>
      </c>
      <c r="N64" s="17"/>
      <c r="O64" s="28" t="str">
        <f>CONCAT(Level, " minutes
1 minute/level")</f>
        <v>1 minutes
1 minute/level</v>
      </c>
      <c r="P64" s="17"/>
      <c r="Q64" s="28" t="s">
        <v>82</v>
      </c>
      <c r="R64" s="17"/>
      <c r="S64" s="28" t="s">
        <v>192</v>
      </c>
      <c r="T64" s="17"/>
      <c r="U64" s="79" t="str">
        <f>CONCAT("Subject gains +4 to Wis for ",CONCAT(Level," minutes, 1 minute/level"))</f>
        <v>Subject gains +4 to Wis for 1 minutes, 1 minute/level</v>
      </c>
      <c r="V64" s="3"/>
      <c r="W64" s="3"/>
      <c r="X64" s="17"/>
    </row>
    <row r="65">
      <c r="A65" s="1"/>
      <c r="B65" s="82">
        <v>2.0</v>
      </c>
      <c r="C65" s="80" t="s">
        <v>223</v>
      </c>
      <c r="D65" s="23"/>
      <c r="E65" s="34" t="s">
        <v>94</v>
      </c>
      <c r="F65" s="23"/>
      <c r="G65" s="34" t="s">
        <v>53</v>
      </c>
      <c r="H65" s="23"/>
      <c r="I65" s="34" t="s">
        <v>54</v>
      </c>
      <c r="J65" s="23"/>
      <c r="K65" s="34" t="s">
        <v>60</v>
      </c>
      <c r="L65" s="23"/>
      <c r="M65" s="34" t="s">
        <v>224</v>
      </c>
      <c r="N65" s="23"/>
      <c r="O65" s="34" t="str">
        <f>CONCAT(Level, " hours (D)
1 hour/level")</f>
        <v>1 hours (D)
1 hour/level</v>
      </c>
      <c r="P65" s="23"/>
      <c r="Q65" s="34" t="s">
        <v>56</v>
      </c>
      <c r="R65" s="23"/>
      <c r="S65" s="34" t="s">
        <v>57</v>
      </c>
      <c r="T65" s="23"/>
      <c r="U65" s="81" t="s">
        <v>225</v>
      </c>
      <c r="V65" s="9"/>
      <c r="W65" s="9"/>
      <c r="X65" s="23"/>
    </row>
    <row r="66">
      <c r="A66" s="1"/>
      <c r="B66" s="25">
        <v>2.0</v>
      </c>
      <c r="C66" s="78" t="s">
        <v>226</v>
      </c>
      <c r="D66" s="17"/>
      <c r="E66" s="27" t="s">
        <v>107</v>
      </c>
      <c r="F66" s="17"/>
      <c r="G66" s="27" t="s">
        <v>133</v>
      </c>
      <c r="H66" s="17"/>
      <c r="I66" s="27" t="s">
        <v>54</v>
      </c>
      <c r="J66" s="17"/>
      <c r="K66" s="27" t="s">
        <v>60</v>
      </c>
      <c r="L66" s="17"/>
      <c r="M66" s="27" t="s">
        <v>129</v>
      </c>
      <c r="N66" s="17"/>
      <c r="O66" s="27" t="str">
        <f>CONCAT(Level*10, " minutes
1 minute/level")</f>
        <v>10 minutes
1 minute/level</v>
      </c>
      <c r="P66" s="17"/>
      <c r="Q66" s="27" t="s">
        <v>198</v>
      </c>
      <c r="R66" s="17"/>
      <c r="S66" s="27" t="s">
        <v>110</v>
      </c>
      <c r="T66" s="17"/>
      <c r="U66" s="29" t="s">
        <v>227</v>
      </c>
      <c r="V66" s="3"/>
      <c r="W66" s="3"/>
      <c r="X66" s="17"/>
    </row>
    <row r="67">
      <c r="A67" s="1"/>
      <c r="B67" s="82">
        <v>2.0</v>
      </c>
      <c r="C67" s="80" t="s">
        <v>228</v>
      </c>
      <c r="D67" s="23"/>
      <c r="E67" s="34" t="s">
        <v>59</v>
      </c>
      <c r="F67" s="23"/>
      <c r="G67" s="33" t="s">
        <v>53</v>
      </c>
      <c r="H67" s="23"/>
      <c r="I67" s="33" t="s">
        <v>229</v>
      </c>
      <c r="J67" s="23"/>
      <c r="K67" s="33" t="s">
        <v>60</v>
      </c>
      <c r="L67" s="23"/>
      <c r="M67" s="33" t="s">
        <v>129</v>
      </c>
      <c r="N67" s="23"/>
      <c r="O67" s="33" t="s">
        <v>55</v>
      </c>
      <c r="P67" s="23"/>
      <c r="Q67" s="33" t="s">
        <v>82</v>
      </c>
      <c r="R67" s="23"/>
      <c r="S67" s="33" t="s">
        <v>110</v>
      </c>
      <c r="T67" s="23"/>
      <c r="U67" s="35" t="s">
        <v>230</v>
      </c>
      <c r="V67" s="9"/>
      <c r="W67" s="9"/>
      <c r="X67" s="23"/>
    </row>
    <row r="68">
      <c r="A68" s="1"/>
      <c r="B68" s="25">
        <v>2.0</v>
      </c>
      <c r="C68" s="78" t="s">
        <v>231</v>
      </c>
      <c r="D68" s="17"/>
      <c r="E68" s="28" t="s">
        <v>232</v>
      </c>
      <c r="F68" s="17"/>
      <c r="G68" s="28" t="s">
        <v>133</v>
      </c>
      <c r="H68" s="17"/>
      <c r="I68" s="28" t="s">
        <v>54</v>
      </c>
      <c r="J68" s="17"/>
      <c r="K68" s="27" t="str">
        <f>CONCAT("Close: ", CONCAT(25+(5*FLOOR(Level/2,1)), " ft"))</f>
        <v>Close: 25 ft</v>
      </c>
      <c r="L68" s="17"/>
      <c r="M68" s="27" t="str">
        <f>CONCAT(Level, " ten ft squares, 1 ten ft square/level, see text")</f>
        <v>1 ten ft squares, 1 ten ft square/level, see text</v>
      </c>
      <c r="N68" s="17"/>
      <c r="O68" s="27" t="s">
        <v>55</v>
      </c>
      <c r="P68" s="17"/>
      <c r="Q68" s="28" t="s">
        <v>56</v>
      </c>
      <c r="R68" s="17"/>
      <c r="S68" s="28" t="s">
        <v>57</v>
      </c>
      <c r="T68" s="17"/>
      <c r="U68" s="79" t="s">
        <v>233</v>
      </c>
      <c r="V68" s="3"/>
      <c r="W68" s="3"/>
      <c r="X68" s="17"/>
    </row>
    <row r="69">
      <c r="A69" s="1"/>
      <c r="B69" s="82">
        <v>2.0</v>
      </c>
      <c r="C69" s="80" t="s">
        <v>234</v>
      </c>
      <c r="D69" s="23"/>
      <c r="E69" s="34" t="s">
        <v>94</v>
      </c>
      <c r="F69" s="23"/>
      <c r="G69" s="34" t="s">
        <v>146</v>
      </c>
      <c r="H69" s="23"/>
      <c r="I69" s="34" t="s">
        <v>54</v>
      </c>
      <c r="J69" s="23"/>
      <c r="K69" s="34" t="s">
        <v>60</v>
      </c>
      <c r="L69" s="23"/>
      <c r="M69" s="34" t="s">
        <v>129</v>
      </c>
      <c r="N69" s="23"/>
      <c r="O69" s="33" t="str">
        <f>CONCAT(Level*10, " minutes
10 minutes/level")</f>
        <v>10 minutes
10 minutes/level</v>
      </c>
      <c r="P69" s="23"/>
      <c r="Q69" s="34" t="s">
        <v>82</v>
      </c>
      <c r="R69" s="23"/>
      <c r="S69" s="34" t="s">
        <v>110</v>
      </c>
      <c r="T69" s="23"/>
      <c r="U69" s="81" t="s">
        <v>235</v>
      </c>
      <c r="V69" s="9"/>
      <c r="W69" s="9"/>
      <c r="X69" s="23"/>
    </row>
    <row r="70">
      <c r="A70" s="1"/>
      <c r="B70" s="25">
        <v>2.0</v>
      </c>
      <c r="C70" s="78" t="s">
        <v>236</v>
      </c>
      <c r="D70" s="17"/>
      <c r="E70" s="28" t="s">
        <v>173</v>
      </c>
      <c r="F70" s="17"/>
      <c r="G70" s="28" t="s">
        <v>133</v>
      </c>
      <c r="H70" s="17"/>
      <c r="I70" s="28" t="s">
        <v>174</v>
      </c>
      <c r="J70" s="17"/>
      <c r="K70" s="28" t="str">
        <f>CONCAT("Close: ", CONCAT(25+(5*FLOOR(Level/2,1)), " ft"))</f>
        <v>Close: 25 ft</v>
      </c>
      <c r="L70" s="17"/>
      <c r="M70" s="28" t="s">
        <v>237</v>
      </c>
      <c r="N70" s="17"/>
      <c r="O70" s="28" t="str">
        <f>CONCAT(Level, " rounds (D)
1 round/level")</f>
        <v>1 rounds (D)
1 round/level</v>
      </c>
      <c r="P70" s="17"/>
      <c r="Q70" s="28" t="s">
        <v>56</v>
      </c>
      <c r="R70" s="17"/>
      <c r="S70" s="28" t="s">
        <v>57</v>
      </c>
      <c r="T70" s="17"/>
      <c r="U70" s="79" t="s">
        <v>176</v>
      </c>
      <c r="V70" s="3"/>
      <c r="W70" s="3"/>
      <c r="X70" s="17"/>
    </row>
    <row r="71">
      <c r="A71" s="1"/>
      <c r="B71" s="82">
        <v>2.0</v>
      </c>
      <c r="C71" s="80" t="s">
        <v>238</v>
      </c>
      <c r="D71" s="23"/>
      <c r="E71" s="34" t="s">
        <v>239</v>
      </c>
      <c r="F71" s="23"/>
      <c r="G71" s="34" t="s">
        <v>133</v>
      </c>
      <c r="H71" s="23"/>
      <c r="I71" s="34" t="s">
        <v>174</v>
      </c>
      <c r="J71" s="23"/>
      <c r="K71" s="34" t="str">
        <f>CONCAT("Close: ", CONCAT(25+(5*FLOOR(Level/2,1)), " ft"))</f>
        <v>Close: 25 ft</v>
      </c>
      <c r="L71" s="23"/>
      <c r="M71" s="34" t="s">
        <v>240</v>
      </c>
      <c r="N71" s="23"/>
      <c r="O71" s="34" t="s">
        <v>241</v>
      </c>
      <c r="P71" s="23"/>
      <c r="Q71" s="34" t="s">
        <v>56</v>
      </c>
      <c r="R71" s="23"/>
      <c r="S71" s="34" t="s">
        <v>57</v>
      </c>
      <c r="T71" s="23"/>
      <c r="U71" s="81" t="s">
        <v>242</v>
      </c>
      <c r="V71" s="9"/>
      <c r="W71" s="9"/>
      <c r="X71" s="23"/>
    </row>
    <row r="72">
      <c r="A72" s="1"/>
      <c r="B72" s="25">
        <v>2.0</v>
      </c>
      <c r="C72" s="78" t="s">
        <v>243</v>
      </c>
      <c r="D72" s="17"/>
      <c r="E72" s="28" t="s">
        <v>94</v>
      </c>
      <c r="F72" s="17"/>
      <c r="G72" s="28" t="s">
        <v>133</v>
      </c>
      <c r="H72" s="17"/>
      <c r="I72" s="28" t="s">
        <v>54</v>
      </c>
      <c r="J72" s="17"/>
      <c r="K72" s="28" t="s">
        <v>85</v>
      </c>
      <c r="L72" s="17"/>
      <c r="M72" s="28" t="s">
        <v>86</v>
      </c>
      <c r="N72" s="17"/>
      <c r="O72" s="28" t="str">
        <f>CONCAT(Level, " hours (D)
1 hour/level")</f>
        <v>1 hours (D)
1 hour/level</v>
      </c>
      <c r="P72" s="17"/>
      <c r="Q72" s="28" t="s">
        <v>87</v>
      </c>
      <c r="R72" s="17"/>
      <c r="S72" s="28" t="s">
        <v>87</v>
      </c>
      <c r="T72" s="17"/>
      <c r="U72" s="79" t="str">
        <f>CONCAT("You look exactly like a tree for ",CONCAT(Level," hours, 1 hour/level"))</f>
        <v>You look exactly like a tree for 1 hours, 1 hour/level</v>
      </c>
      <c r="V72" s="3"/>
      <c r="W72" s="3"/>
      <c r="X72" s="17"/>
    </row>
    <row r="73">
      <c r="A73" s="1"/>
      <c r="B73" s="82">
        <v>2.0</v>
      </c>
      <c r="C73" s="80" t="s">
        <v>244</v>
      </c>
      <c r="D73" s="23"/>
      <c r="E73" s="34" t="s">
        <v>94</v>
      </c>
      <c r="F73" s="23"/>
      <c r="G73" s="34" t="s">
        <v>53</v>
      </c>
      <c r="H73" s="23"/>
      <c r="I73" s="34" t="s">
        <v>54</v>
      </c>
      <c r="J73" s="23"/>
      <c r="K73" s="34" t="str">
        <f>CONCAT("Close: ", CONCAT(25+(5*FLOOR(Level/2,1)), " ft"))</f>
        <v>Close: 25 ft</v>
      </c>
      <c r="L73" s="23"/>
      <c r="M73" s="34" t="str">
        <f>CONCAT(Level," small wooden objects, 1 object/level, all within a 20 ft radius")</f>
        <v>1 small wooden objects, 1 object/level, all within a 20 ft radius</v>
      </c>
      <c r="N73" s="23"/>
      <c r="O73" s="34" t="s">
        <v>55</v>
      </c>
      <c r="P73" s="23"/>
      <c r="Q73" s="34" t="s">
        <v>101</v>
      </c>
      <c r="R73" s="23"/>
      <c r="S73" s="34" t="s">
        <v>102</v>
      </c>
      <c r="T73" s="23"/>
      <c r="U73" s="81" t="s">
        <v>245</v>
      </c>
      <c r="V73" s="9"/>
      <c r="W73" s="9"/>
      <c r="X73" s="23"/>
    </row>
    <row r="74">
      <c r="A74" s="1"/>
      <c r="B74" s="25">
        <v>2.0</v>
      </c>
      <c r="C74" s="78" t="s">
        <v>246</v>
      </c>
      <c r="D74" s="17"/>
      <c r="E74" s="28" t="s">
        <v>94</v>
      </c>
      <c r="F74" s="17"/>
      <c r="G74" s="28" t="s">
        <v>133</v>
      </c>
      <c r="H74" s="17"/>
      <c r="I74" s="28" t="s">
        <v>54</v>
      </c>
      <c r="J74" s="17"/>
      <c r="K74" s="28" t="s">
        <v>60</v>
      </c>
      <c r="L74" s="17"/>
      <c r="M74" s="28" t="str">
        <f>CONCAT("One touched piece of wood no larger than ",CONCAT(Level+10," cu ft, 10+1 cu ft/level"))</f>
        <v>One touched piece of wood no larger than 11 cu ft, 10+1 cu ft/level</v>
      </c>
      <c r="N74" s="17"/>
      <c r="O74" s="28" t="s">
        <v>55</v>
      </c>
      <c r="P74" s="17"/>
      <c r="Q74" s="28" t="s">
        <v>101</v>
      </c>
      <c r="R74" s="17"/>
      <c r="S74" s="28" t="s">
        <v>102</v>
      </c>
      <c r="T74" s="17"/>
      <c r="U74" s="79" t="s">
        <v>247</v>
      </c>
      <c r="V74" s="3"/>
      <c r="W74" s="3"/>
      <c r="X74" s="17"/>
    </row>
    <row r="75">
      <c r="A75" s="1"/>
      <c r="B75" s="82">
        <v>3.0</v>
      </c>
      <c r="C75" s="80" t="s">
        <v>248</v>
      </c>
      <c r="D75" s="23"/>
      <c r="E75" s="34" t="s">
        <v>249</v>
      </c>
      <c r="F75" s="23"/>
      <c r="G75" s="34" t="s">
        <v>53</v>
      </c>
      <c r="H75" s="23"/>
      <c r="I75" s="34" t="s">
        <v>174</v>
      </c>
      <c r="J75" s="23"/>
      <c r="K75" s="34" t="str">
        <f>CONCAT("Medium: ", CONCAT(100+(10*Level), " ft"))</f>
        <v>Medium: 110 ft</v>
      </c>
      <c r="L75" s="23"/>
      <c r="M75" s="34" t="s">
        <v>250</v>
      </c>
      <c r="N75" s="23"/>
      <c r="O75" s="34" t="str">
        <f>CONCAT(Level, " minutes
1 minute/level")</f>
        <v>1 minutes
1 minute/level</v>
      </c>
      <c r="P75" s="23"/>
      <c r="Q75" s="34" t="s">
        <v>251</v>
      </c>
      <c r="R75" s="23"/>
      <c r="S75" s="34" t="s">
        <v>78</v>
      </c>
      <c r="T75" s="23"/>
      <c r="U75" s="81" t="s">
        <v>252</v>
      </c>
      <c r="V75" s="9"/>
      <c r="W75" s="9"/>
      <c r="X75" s="23"/>
    </row>
    <row r="76">
      <c r="A76" s="1"/>
      <c r="B76" s="25">
        <v>3.0</v>
      </c>
      <c r="C76" s="78" t="s">
        <v>253</v>
      </c>
      <c r="D76" s="17"/>
      <c r="E76" s="28" t="s">
        <v>254</v>
      </c>
      <c r="F76" s="17"/>
      <c r="G76" s="28" t="s">
        <v>53</v>
      </c>
      <c r="H76" s="17"/>
      <c r="I76" s="28" t="s">
        <v>54</v>
      </c>
      <c r="J76" s="17"/>
      <c r="K76" s="28" t="s">
        <v>60</v>
      </c>
      <c r="L76" s="17"/>
      <c r="M76" s="28" t="s">
        <v>187</v>
      </c>
      <c r="N76" s="17"/>
      <c r="O76" s="28" t="s">
        <v>55</v>
      </c>
      <c r="P76" s="17"/>
      <c r="Q76" s="28" t="s">
        <v>77</v>
      </c>
      <c r="R76" s="17"/>
      <c r="S76" s="28" t="s">
        <v>78</v>
      </c>
      <c r="T76" s="17"/>
      <c r="U76" s="79" t="s">
        <v>255</v>
      </c>
      <c r="V76" s="3"/>
      <c r="W76" s="3"/>
      <c r="X76" s="17"/>
    </row>
    <row r="77">
      <c r="A77" s="1"/>
      <c r="B77" s="82">
        <v>3.0</v>
      </c>
      <c r="C77" s="80" t="s">
        <v>256</v>
      </c>
      <c r="D77" s="23"/>
      <c r="E77" s="34" t="s">
        <v>59</v>
      </c>
      <c r="F77" s="23"/>
      <c r="G77" s="34" t="s">
        <v>53</v>
      </c>
      <c r="H77" s="23"/>
      <c r="I77" s="34" t="s">
        <v>54</v>
      </c>
      <c r="J77" s="23"/>
      <c r="K77" s="34" t="s">
        <v>60</v>
      </c>
      <c r="L77" s="23"/>
      <c r="M77" s="34" t="s">
        <v>61</v>
      </c>
      <c r="N77" s="23"/>
      <c r="O77" s="34" t="s">
        <v>55</v>
      </c>
      <c r="P77" s="23"/>
      <c r="Q77" s="34" t="s">
        <v>62</v>
      </c>
      <c r="R77" s="23"/>
      <c r="S77" s="34" t="s">
        <v>63</v>
      </c>
      <c r="T77" s="23"/>
      <c r="U77" s="81" t="str">
        <f>CONCAT("Cures 2d8+",CONCAT(MIN(Level,10)," damage, +1/level, max +10"))</f>
        <v>Cures 2d8+1 damage, +1/level, max +10</v>
      </c>
      <c r="V77" s="9"/>
      <c r="W77" s="9"/>
      <c r="X77" s="23"/>
    </row>
    <row r="78">
      <c r="A78" s="1"/>
      <c r="B78" s="25">
        <v>3.0</v>
      </c>
      <c r="C78" s="78" t="s">
        <v>257</v>
      </c>
      <c r="D78" s="17"/>
      <c r="E78" s="28" t="s">
        <v>74</v>
      </c>
      <c r="F78" s="17"/>
      <c r="G78" s="28" t="s">
        <v>53</v>
      </c>
      <c r="H78" s="17"/>
      <c r="I78" s="28" t="s">
        <v>54</v>
      </c>
      <c r="J78" s="17"/>
      <c r="K78" s="28" t="s">
        <v>60</v>
      </c>
      <c r="L78" s="17"/>
      <c r="M78" s="28" t="s">
        <v>203</v>
      </c>
      <c r="N78" s="17"/>
      <c r="O78" s="28" t="str">
        <f>CONCAT(Level*10, " minutes (D)
10 minutes/level")</f>
        <v>10 minutes (D)
10 minutes/level</v>
      </c>
      <c r="P78" s="17"/>
      <c r="Q78" s="28" t="s">
        <v>56</v>
      </c>
      <c r="R78" s="17"/>
      <c r="S78" s="28" t="s">
        <v>57</v>
      </c>
      <c r="T78" s="17"/>
      <c r="U78" s="79" t="s">
        <v>258</v>
      </c>
      <c r="V78" s="3"/>
      <c r="W78" s="3"/>
      <c r="X78" s="17"/>
    </row>
    <row r="79">
      <c r="A79" s="1"/>
      <c r="B79" s="82">
        <v>3.0</v>
      </c>
      <c r="C79" s="80" t="s">
        <v>259</v>
      </c>
      <c r="D79" s="23"/>
      <c r="E79" s="34" t="s">
        <v>94</v>
      </c>
      <c r="F79" s="23"/>
      <c r="G79" s="34" t="s">
        <v>133</v>
      </c>
      <c r="H79" s="23"/>
      <c r="I79" s="34" t="s">
        <v>54</v>
      </c>
      <c r="J79" s="23"/>
      <c r="K79" s="34" t="s">
        <v>260</v>
      </c>
      <c r="L79" s="23"/>
      <c r="M79" s="34" t="s">
        <v>260</v>
      </c>
      <c r="N79" s="23"/>
      <c r="O79" s="34" t="s">
        <v>55</v>
      </c>
      <c r="P79" s="23"/>
      <c r="Q79" s="34" t="s">
        <v>56</v>
      </c>
      <c r="R79" s="23"/>
      <c r="S79" s="34" t="s">
        <v>57</v>
      </c>
      <c r="T79" s="23"/>
      <c r="U79" s="81" t="s">
        <v>261</v>
      </c>
      <c r="V79" s="9"/>
      <c r="W79" s="9"/>
      <c r="X79" s="23"/>
    </row>
    <row r="80">
      <c r="A80" s="1"/>
      <c r="B80" s="25">
        <v>3.0</v>
      </c>
      <c r="C80" s="78" t="s">
        <v>262</v>
      </c>
      <c r="D80" s="17"/>
      <c r="E80" s="28" t="s">
        <v>115</v>
      </c>
      <c r="F80" s="17"/>
      <c r="G80" s="28" t="s">
        <v>53</v>
      </c>
      <c r="H80" s="17"/>
      <c r="I80" s="28" t="s">
        <v>174</v>
      </c>
      <c r="J80" s="17"/>
      <c r="K80" s="28" t="str">
        <f>CONCAT("Close: ", CONCAT(25+(5*FLOOR(Level/2,1)), " ft"))</f>
        <v>Close: 25 ft</v>
      </c>
      <c r="L80" s="17"/>
      <c r="M80" s="28" t="s">
        <v>120</v>
      </c>
      <c r="N80" s="17"/>
      <c r="O80" s="28" t="str">
        <f>CONCAT(Level, " rounds
1 round/level")</f>
        <v>1 rounds
1 round/level</v>
      </c>
      <c r="P80" s="17"/>
      <c r="Q80" s="28" t="s">
        <v>121</v>
      </c>
      <c r="R80" s="17"/>
      <c r="S80" s="28" t="s">
        <v>78</v>
      </c>
      <c r="T80" s="17"/>
      <c r="U80" s="79" t="s">
        <v>263</v>
      </c>
      <c r="V80" s="3"/>
      <c r="W80" s="3"/>
      <c r="X80" s="17"/>
    </row>
    <row r="81">
      <c r="A81" s="1"/>
      <c r="B81" s="82">
        <v>3.0</v>
      </c>
      <c r="C81" s="80" t="s">
        <v>264</v>
      </c>
      <c r="D81" s="23"/>
      <c r="E81" s="34" t="s">
        <v>94</v>
      </c>
      <c r="F81" s="23"/>
      <c r="G81" s="34" t="s">
        <v>133</v>
      </c>
      <c r="H81" s="23"/>
      <c r="I81" s="34" t="s">
        <v>54</v>
      </c>
      <c r="J81" s="23"/>
      <c r="K81" s="34" t="str">
        <f>CONCAT("Close: ", CONCAT(25+(5*FLOOR(Level/2,1)), " ft"))</f>
        <v>Close: 25 ft</v>
      </c>
      <c r="L81" s="23"/>
      <c r="M81" s="34" t="s">
        <v>265</v>
      </c>
      <c r="N81" s="23"/>
      <c r="O81" s="34" t="str">
        <f>CONCAT(Level, " hours
1 hour/level")</f>
        <v>1 hours
1 hour/level</v>
      </c>
      <c r="P81" s="23"/>
      <c r="Q81" s="34" t="s">
        <v>82</v>
      </c>
      <c r="R81" s="23"/>
      <c r="S81" s="34" t="s">
        <v>110</v>
      </c>
      <c r="T81" s="23"/>
      <c r="U81" s="81" t="str">
        <f>CONCAT("One natural weapon of subject creature gets +",CONCAT(MIN(MAX(FLOOR(Level/4,1),1),5)," on attack and damage rolls, +1/four levels, max +5"))</f>
        <v>One natural weapon of subject creature gets +1 on attack and damage rolls, +1/four levels, max +5</v>
      </c>
      <c r="V81" s="9"/>
      <c r="W81" s="9"/>
      <c r="X81" s="23"/>
    </row>
    <row r="82">
      <c r="A82" s="1"/>
      <c r="B82" s="25">
        <v>3.0</v>
      </c>
      <c r="C82" s="78" t="s">
        <v>266</v>
      </c>
      <c r="D82" s="17"/>
      <c r="E82" s="28" t="s">
        <v>232</v>
      </c>
      <c r="F82" s="17"/>
      <c r="G82" s="28" t="s">
        <v>133</v>
      </c>
      <c r="H82" s="17"/>
      <c r="I82" s="28" t="s">
        <v>54</v>
      </c>
      <c r="J82" s="17"/>
      <c r="K82" s="28" t="s">
        <v>85</v>
      </c>
      <c r="L82" s="17"/>
      <c r="M82" s="28" t="s">
        <v>86</v>
      </c>
      <c r="N82" s="17"/>
      <c r="O82" s="28" t="str">
        <f>CONCAT(Level*10, " minutes
10 minutes/level")</f>
        <v>10 minutes
10 minutes/level</v>
      </c>
      <c r="P82" s="17"/>
      <c r="Q82" s="28" t="s">
        <v>87</v>
      </c>
      <c r="R82" s="17"/>
      <c r="S82" s="28" t="s">
        <v>87</v>
      </c>
      <c r="T82" s="17"/>
      <c r="U82" s="79" t="s">
        <v>267</v>
      </c>
      <c r="V82" s="3"/>
      <c r="W82" s="3"/>
      <c r="X82" s="17"/>
    </row>
    <row r="83">
      <c r="A83" s="1"/>
      <c r="B83" s="82">
        <v>3.0</v>
      </c>
      <c r="C83" s="80" t="s">
        <v>268</v>
      </c>
      <c r="D83" s="23"/>
      <c r="E83" s="34" t="s">
        <v>59</v>
      </c>
      <c r="F83" s="23"/>
      <c r="G83" s="34" t="s">
        <v>133</v>
      </c>
      <c r="H83" s="23"/>
      <c r="I83" s="34" t="s">
        <v>54</v>
      </c>
      <c r="J83" s="23"/>
      <c r="K83" s="34" t="s">
        <v>60</v>
      </c>
      <c r="L83" s="23"/>
      <c r="M83" s="34" t="str">
        <f>CONCAT("Creature or object of up to ",CONCAT(Level," cu ft touched, 1 cu ft per level"))</f>
        <v>Creature or object of up to 1 cu ft touched, 1 cu ft per level</v>
      </c>
      <c r="N83" s="23"/>
      <c r="O83" s="34" t="str">
        <f>CONCAT(Level*10, " minutes
10 minutes/level")</f>
        <v>10 minutes
10 minutes/level</v>
      </c>
      <c r="P83" s="23"/>
      <c r="Q83" s="34" t="s">
        <v>269</v>
      </c>
      <c r="R83" s="23"/>
      <c r="S83" s="34" t="s">
        <v>270</v>
      </c>
      <c r="T83" s="23"/>
      <c r="U83" s="81" t="s">
        <v>271</v>
      </c>
      <c r="V83" s="9"/>
      <c r="W83" s="9"/>
      <c r="X83" s="23"/>
    </row>
    <row r="84">
      <c r="A84" s="1"/>
      <c r="B84" s="25">
        <v>3.0</v>
      </c>
      <c r="C84" s="78" t="s">
        <v>272</v>
      </c>
      <c r="D84" s="17"/>
      <c r="E84" s="28" t="s">
        <v>94</v>
      </c>
      <c r="F84" s="17"/>
      <c r="G84" s="28" t="s">
        <v>133</v>
      </c>
      <c r="H84" s="17"/>
      <c r="I84" s="28" t="s">
        <v>54</v>
      </c>
      <c r="J84" s="17"/>
      <c r="K84" s="28" t="s">
        <v>260</v>
      </c>
      <c r="L84" s="17"/>
      <c r="M84" s="28" t="s">
        <v>260</v>
      </c>
      <c r="N84" s="17"/>
      <c r="O84" s="28" t="s">
        <v>55</v>
      </c>
      <c r="P84" s="17"/>
      <c r="Q84" s="28" t="s">
        <v>56</v>
      </c>
      <c r="R84" s="17"/>
      <c r="S84" s="28" t="s">
        <v>57</v>
      </c>
      <c r="T84" s="17"/>
      <c r="U84" s="79" t="s">
        <v>273</v>
      </c>
      <c r="V84" s="3"/>
      <c r="W84" s="3"/>
      <c r="X84" s="17"/>
    </row>
    <row r="85">
      <c r="A85" s="1"/>
      <c r="B85" s="82">
        <v>3.0</v>
      </c>
      <c r="C85" s="80" t="s">
        <v>274</v>
      </c>
      <c r="D85" s="23"/>
      <c r="E85" s="34" t="s">
        <v>275</v>
      </c>
      <c r="F85" s="23"/>
      <c r="G85" s="34" t="s">
        <v>133</v>
      </c>
      <c r="H85" s="23"/>
      <c r="I85" s="34" t="s">
        <v>54</v>
      </c>
      <c r="J85" s="23"/>
      <c r="K85" s="34" t="s">
        <v>60</v>
      </c>
      <c r="L85" s="23"/>
      <c r="M85" s="34" t="s">
        <v>187</v>
      </c>
      <c r="N85" s="23"/>
      <c r="O85" s="34" t="s">
        <v>276</v>
      </c>
      <c r="P85" s="23"/>
      <c r="Q85" s="34" t="s">
        <v>277</v>
      </c>
      <c r="R85" s="23"/>
      <c r="S85" s="34" t="s">
        <v>78</v>
      </c>
      <c r="T85" s="23"/>
      <c r="U85" s="81" t="s">
        <v>278</v>
      </c>
      <c r="V85" s="9"/>
      <c r="W85" s="9"/>
      <c r="X85" s="23"/>
    </row>
    <row r="86">
      <c r="A86" s="1"/>
      <c r="B86" s="25">
        <v>3.0</v>
      </c>
      <c r="C86" s="78" t="s">
        <v>279</v>
      </c>
      <c r="D86" s="17"/>
      <c r="E86" s="28" t="s">
        <v>107</v>
      </c>
      <c r="F86" s="17"/>
      <c r="G86" s="28" t="s">
        <v>133</v>
      </c>
      <c r="H86" s="17"/>
      <c r="I86" s="28" t="s">
        <v>54</v>
      </c>
      <c r="J86" s="17"/>
      <c r="K86" s="28" t="s">
        <v>60</v>
      </c>
      <c r="L86" s="17"/>
      <c r="M86" s="28" t="s">
        <v>129</v>
      </c>
      <c r="N86" s="17"/>
      <c r="O86" s="28" t="str">
        <f>CONCAT(Level*10, " minutes or until discharged
10 minutes/level")</f>
        <v>10 minutes or until discharged
10 minutes/level</v>
      </c>
      <c r="P86" s="17"/>
      <c r="Q86" s="28" t="s">
        <v>198</v>
      </c>
      <c r="R86" s="17"/>
      <c r="S86" s="28" t="s">
        <v>110</v>
      </c>
      <c r="T86" s="17"/>
      <c r="U86" s="79" t="str">
        <f>CONCAT("Absorb ",CONCAT(MIN(Level*12,120)," points of damage from one kind of energy, 12 points/level"))</f>
        <v>Absorb 12 points of damage from one kind of energy, 12 points/level</v>
      </c>
      <c r="V86" s="3"/>
      <c r="W86" s="3"/>
      <c r="X86" s="17"/>
    </row>
    <row r="87">
      <c r="A87" s="1"/>
      <c r="B87" s="82">
        <v>3.0</v>
      </c>
      <c r="C87" s="80" t="s">
        <v>280</v>
      </c>
      <c r="D87" s="23"/>
      <c r="E87" s="34" t="s">
        <v>94</v>
      </c>
      <c r="F87" s="23"/>
      <c r="G87" s="34" t="s">
        <v>133</v>
      </c>
      <c r="H87" s="23"/>
      <c r="I87" s="34" t="s">
        <v>54</v>
      </c>
      <c r="J87" s="23"/>
      <c r="K87" s="34" t="str">
        <f>CONCAT("Medium: ", CONCAT(100+(10*Level), " ft"))</f>
        <v>Medium: 110 ft</v>
      </c>
      <c r="L87" s="23"/>
      <c r="M87" s="34" t="str">
        <f>CONCAT(Level," twenty ft cubes, 1 cube/level, or one fire based magic item")</f>
        <v>1 twenty ft cubes, 1 cube/level, or one fire based magic item</v>
      </c>
      <c r="N87" s="23"/>
      <c r="O87" s="34" t="s">
        <v>55</v>
      </c>
      <c r="P87" s="23"/>
      <c r="Q87" s="34" t="s">
        <v>281</v>
      </c>
      <c r="R87" s="23"/>
      <c r="S87" s="34" t="s">
        <v>282</v>
      </c>
      <c r="T87" s="23"/>
      <c r="U87" s="81" t="s">
        <v>283</v>
      </c>
      <c r="V87" s="9"/>
      <c r="W87" s="9"/>
      <c r="X87" s="23"/>
    </row>
    <row r="88">
      <c r="A88" s="1"/>
      <c r="B88" s="25">
        <v>3.0</v>
      </c>
      <c r="C88" s="78" t="s">
        <v>284</v>
      </c>
      <c r="D88" s="17"/>
      <c r="E88" s="28" t="s">
        <v>59</v>
      </c>
      <c r="F88" s="17"/>
      <c r="G88" s="28" t="s">
        <v>53</v>
      </c>
      <c r="H88" s="17"/>
      <c r="I88" s="28" t="s">
        <v>54</v>
      </c>
      <c r="J88" s="17"/>
      <c r="K88" s="28" t="s">
        <v>60</v>
      </c>
      <c r="L88" s="17"/>
      <c r="M88" s="28" t="s">
        <v>129</v>
      </c>
      <c r="N88" s="17"/>
      <c r="O88" s="28" t="s">
        <v>55</v>
      </c>
      <c r="P88" s="17"/>
      <c r="Q88" s="28" t="s">
        <v>198</v>
      </c>
      <c r="R88" s="17"/>
      <c r="S88" s="28" t="s">
        <v>110</v>
      </c>
      <c r="T88" s="17"/>
      <c r="U88" s="79" t="s">
        <v>285</v>
      </c>
      <c r="V88" s="3"/>
      <c r="W88" s="3"/>
      <c r="X88" s="17"/>
    </row>
    <row r="89">
      <c r="A89" s="1"/>
      <c r="B89" s="82">
        <v>3.0</v>
      </c>
      <c r="C89" s="80" t="s">
        <v>286</v>
      </c>
      <c r="D89" s="23"/>
      <c r="E89" s="34" t="s">
        <v>287</v>
      </c>
      <c r="F89" s="23"/>
      <c r="G89" s="34" t="s">
        <v>133</v>
      </c>
      <c r="H89" s="23"/>
      <c r="I89" s="34" t="s">
        <v>54</v>
      </c>
      <c r="J89" s="23"/>
      <c r="K89" s="34" t="str">
        <f>CONCAT("Long: ", CONCAT(400+(40*Level), " ft"))</f>
        <v>Long: 440 ft</v>
      </c>
      <c r="L89" s="23"/>
      <c r="M89" s="34" t="s">
        <v>288</v>
      </c>
      <c r="N89" s="23"/>
      <c r="O89" s="34" t="str">
        <f>CONCAT(Level, " rounds
1 round/level")</f>
        <v>1 rounds
1 round/level</v>
      </c>
      <c r="P89" s="23"/>
      <c r="Q89" s="34" t="s">
        <v>56</v>
      </c>
      <c r="R89" s="23"/>
      <c r="S89" s="34" t="s">
        <v>57</v>
      </c>
      <c r="T89" s="23"/>
      <c r="U89" s="81" t="s">
        <v>289</v>
      </c>
      <c r="V89" s="9"/>
      <c r="W89" s="9"/>
      <c r="X89" s="23"/>
    </row>
    <row r="90">
      <c r="A90" s="1"/>
      <c r="B90" s="25">
        <v>3.0</v>
      </c>
      <c r="C90" s="78" t="s">
        <v>290</v>
      </c>
      <c r="D90" s="17"/>
      <c r="E90" s="28" t="s">
        <v>94</v>
      </c>
      <c r="F90" s="17"/>
      <c r="G90" s="28" t="s">
        <v>133</v>
      </c>
      <c r="H90" s="17"/>
      <c r="I90" s="28" t="s">
        <v>229</v>
      </c>
      <c r="J90" s="17"/>
      <c r="K90" s="28" t="s">
        <v>60</v>
      </c>
      <c r="L90" s="17"/>
      <c r="M90" s="28" t="str">
        <f>CONCAT("Touched nonmagical circle of vine, rope, or thong with a ",CONCAT(Level*2," ft diameter, 2 ft per level"))</f>
        <v>Touched nonmagical circle of vine, rope, or thong with a 2 ft diameter, 2 ft per level</v>
      </c>
      <c r="N90" s="17"/>
      <c r="O90" s="28" t="s">
        <v>291</v>
      </c>
      <c r="P90" s="17"/>
      <c r="Q90" s="28" t="s">
        <v>56</v>
      </c>
      <c r="R90" s="17"/>
      <c r="S90" s="28" t="s">
        <v>57</v>
      </c>
      <c r="T90" s="17"/>
      <c r="U90" s="79" t="s">
        <v>292</v>
      </c>
      <c r="V90" s="3"/>
      <c r="W90" s="3"/>
      <c r="X90" s="17"/>
    </row>
    <row r="91">
      <c r="A91" s="1"/>
      <c r="B91" s="82">
        <v>3.0</v>
      </c>
      <c r="C91" s="80" t="s">
        <v>293</v>
      </c>
      <c r="D91" s="23"/>
      <c r="E91" s="34" t="s">
        <v>66</v>
      </c>
      <c r="F91" s="23"/>
      <c r="G91" s="34" t="s">
        <v>53</v>
      </c>
      <c r="H91" s="23"/>
      <c r="I91" s="34" t="s">
        <v>54</v>
      </c>
      <c r="J91" s="23"/>
      <c r="K91" s="34" t="s">
        <v>85</v>
      </c>
      <c r="L91" s="23"/>
      <c r="M91" s="34" t="s">
        <v>86</v>
      </c>
      <c r="N91" s="23"/>
      <c r="O91" s="34" t="str">
        <f>CONCAT(Level, " minutes
1 minute/level")</f>
        <v>1 minutes
1 minute/level</v>
      </c>
      <c r="P91" s="23"/>
      <c r="Q91" s="34" t="s">
        <v>87</v>
      </c>
      <c r="R91" s="23"/>
      <c r="S91" s="34" t="s">
        <v>87</v>
      </c>
      <c r="T91" s="23"/>
      <c r="U91" s="81" t="s">
        <v>294</v>
      </c>
      <c r="V91" s="9"/>
      <c r="W91" s="9"/>
      <c r="X91" s="23"/>
    </row>
    <row r="92">
      <c r="A92" s="1"/>
      <c r="B92" s="25">
        <v>3.0</v>
      </c>
      <c r="C92" s="78" t="s">
        <v>295</v>
      </c>
      <c r="D92" s="17"/>
      <c r="E92" s="28" t="s">
        <v>94</v>
      </c>
      <c r="F92" s="17"/>
      <c r="G92" s="28" t="s">
        <v>133</v>
      </c>
      <c r="H92" s="17"/>
      <c r="I92" s="28" t="s">
        <v>54</v>
      </c>
      <c r="J92" s="17"/>
      <c r="K92" s="28" t="str">
        <f>CONCAT("Medium: ", CONCAT(100+(10*Level), " ft"))</f>
        <v>Medium: 110 ft</v>
      </c>
      <c r="L92" s="17"/>
      <c r="M92" s="28" t="str">
        <f>CONCAT(Level," twenty ft squares, 1 square/level")</f>
        <v>1 twenty ft squares, 1 square/level</v>
      </c>
      <c r="N92" s="17"/>
      <c r="O92" s="28" t="str">
        <f>CONCAT(Level, " hours (D)
1 hour/level")</f>
        <v>1 hours (D)
1 hour/level</v>
      </c>
      <c r="P92" s="17"/>
      <c r="Q92" s="28" t="s">
        <v>296</v>
      </c>
      <c r="R92" s="17"/>
      <c r="S92" s="28" t="s">
        <v>78</v>
      </c>
      <c r="T92" s="17"/>
      <c r="U92" s="79" t="s">
        <v>297</v>
      </c>
      <c r="V92" s="3"/>
      <c r="W92" s="3"/>
      <c r="X92" s="17"/>
    </row>
    <row r="93">
      <c r="A93" s="1"/>
      <c r="B93" s="82">
        <v>3.0</v>
      </c>
      <c r="C93" s="80" t="s">
        <v>298</v>
      </c>
      <c r="D93" s="23"/>
      <c r="E93" s="34" t="s">
        <v>232</v>
      </c>
      <c r="F93" s="23"/>
      <c r="G93" s="34" t="s">
        <v>133</v>
      </c>
      <c r="H93" s="23"/>
      <c r="I93" s="34" t="s">
        <v>54</v>
      </c>
      <c r="J93" s="23"/>
      <c r="K93" s="34" t="s">
        <v>60</v>
      </c>
      <c r="L93" s="23"/>
      <c r="M93" s="34" t="str">
        <f>CONCAT("Stone or stone object touched, up to ",CONCAT(Level+10," cu ft, 10+1 cu ft/level"))</f>
        <v>Stone or stone object touched, up to 11 cu ft, 10+1 cu ft/level</v>
      </c>
      <c r="N93" s="23"/>
      <c r="O93" s="34" t="s">
        <v>55</v>
      </c>
      <c r="P93" s="23"/>
      <c r="Q93" s="34" t="s">
        <v>56</v>
      </c>
      <c r="R93" s="23"/>
      <c r="S93" s="34" t="s">
        <v>57</v>
      </c>
      <c r="T93" s="23"/>
      <c r="U93" s="81" t="s">
        <v>299</v>
      </c>
      <c r="V93" s="9"/>
      <c r="W93" s="9"/>
      <c r="X93" s="23"/>
    </row>
    <row r="94">
      <c r="A94" s="1"/>
      <c r="B94" s="25">
        <v>3.0</v>
      </c>
      <c r="C94" s="78" t="s">
        <v>300</v>
      </c>
      <c r="D94" s="17"/>
      <c r="E94" s="28" t="s">
        <v>173</v>
      </c>
      <c r="F94" s="17"/>
      <c r="G94" s="28" t="s">
        <v>133</v>
      </c>
      <c r="H94" s="17"/>
      <c r="I94" s="28" t="s">
        <v>174</v>
      </c>
      <c r="J94" s="17"/>
      <c r="K94" s="28" t="str">
        <f>CONCAT("Close: ", CONCAT(25+(5*FLOOR(Level/2,1)), " ft"))</f>
        <v>Close: 25 ft</v>
      </c>
      <c r="L94" s="17"/>
      <c r="M94" s="28" t="s">
        <v>237</v>
      </c>
      <c r="N94" s="17"/>
      <c r="O94" s="28" t="str">
        <f>CONCAT(Level, " rounds (D)
1 round/level")</f>
        <v>1 rounds (D)
1 round/level</v>
      </c>
      <c r="P94" s="17"/>
      <c r="Q94" s="28" t="s">
        <v>56</v>
      </c>
      <c r="R94" s="17"/>
      <c r="S94" s="28" t="s">
        <v>57</v>
      </c>
      <c r="T94" s="17"/>
      <c r="U94" s="79" t="s">
        <v>176</v>
      </c>
      <c r="V94" s="3"/>
      <c r="W94" s="3"/>
      <c r="X94" s="17"/>
    </row>
    <row r="95">
      <c r="A95" s="1"/>
      <c r="B95" s="82">
        <v>3.0</v>
      </c>
      <c r="C95" s="80" t="s">
        <v>301</v>
      </c>
      <c r="D95" s="23"/>
      <c r="E95" s="34" t="s">
        <v>94</v>
      </c>
      <c r="F95" s="23"/>
      <c r="G95" s="34" t="s">
        <v>108</v>
      </c>
      <c r="H95" s="23"/>
      <c r="I95" s="34" t="s">
        <v>54</v>
      </c>
      <c r="J95" s="23"/>
      <c r="K95" s="34" t="s">
        <v>60</v>
      </c>
      <c r="L95" s="23"/>
      <c r="M95" s="34" t="s">
        <v>302</v>
      </c>
      <c r="N95" s="23"/>
      <c r="O95" s="34" t="str">
        <f>CONCAT((Level)*2, " hours
2 hours/level
see text")</f>
        <v>2 hours
2 hours/level
see text</v>
      </c>
      <c r="P95" s="23"/>
      <c r="Q95" s="34" t="s">
        <v>82</v>
      </c>
      <c r="R95" s="23"/>
      <c r="S95" s="34" t="s">
        <v>110</v>
      </c>
      <c r="T95" s="23"/>
      <c r="U95" s="81" t="s">
        <v>303</v>
      </c>
      <c r="V95" s="9"/>
      <c r="W95" s="9"/>
      <c r="X95" s="23"/>
    </row>
    <row r="96">
      <c r="A96" s="1"/>
      <c r="B96" s="25">
        <v>3.0</v>
      </c>
      <c r="C96" s="78" t="s">
        <v>304</v>
      </c>
      <c r="D96" s="17"/>
      <c r="E96" s="28" t="s">
        <v>215</v>
      </c>
      <c r="F96" s="17"/>
      <c r="G96" s="28" t="s">
        <v>108</v>
      </c>
      <c r="H96" s="17"/>
      <c r="I96" s="28" t="s">
        <v>54</v>
      </c>
      <c r="J96" s="17"/>
      <c r="K96" s="28" t="str">
        <f>CONCAT("Medium: ", CONCAT(100+(10*Level), " ft"))</f>
        <v>Medium: 110 ft</v>
      </c>
      <c r="L96" s="17"/>
      <c r="M96" s="28" t="str">
        <f>CONCAT("Wall up to ",CONCAT(Level*10,CONCAT(" ft long, 10 ft/level, and ",CONCAT(Level*5, " ft high, 5 ft/level"))))</f>
        <v>Wall up to 10 ft long, 10 ft/level, and 5 ft high, 5 ft/level</v>
      </c>
      <c r="N96" s="17"/>
      <c r="O96" s="28" t="str">
        <f>CONCAT(Level, " rounds
1 round/level")</f>
        <v>1 rounds
1 round/level</v>
      </c>
      <c r="P96" s="17"/>
      <c r="Q96" s="28" t="s">
        <v>179</v>
      </c>
      <c r="R96" s="17"/>
      <c r="S96" s="28" t="s">
        <v>78</v>
      </c>
      <c r="T96" s="17"/>
      <c r="U96" s="79" t="s">
        <v>305</v>
      </c>
      <c r="V96" s="3"/>
      <c r="W96" s="3"/>
      <c r="X96" s="17"/>
    </row>
    <row r="97">
      <c r="A97" s="1"/>
      <c r="B97" s="82">
        <v>4.0</v>
      </c>
      <c r="C97" s="80" t="s">
        <v>306</v>
      </c>
      <c r="D97" s="23"/>
      <c r="E97" s="34" t="s">
        <v>307</v>
      </c>
      <c r="F97" s="23"/>
      <c r="G97" s="34" t="s">
        <v>108</v>
      </c>
      <c r="H97" s="23"/>
      <c r="I97" s="34" t="s">
        <v>54</v>
      </c>
      <c r="J97" s="23"/>
      <c r="K97" s="34" t="s">
        <v>60</v>
      </c>
      <c r="L97" s="23"/>
      <c r="M97" s="34" t="s">
        <v>308</v>
      </c>
      <c r="N97" s="23"/>
      <c r="O97" s="34" t="str">
        <f>CONCAT(Level*10, " minutes
10 minutes/level")</f>
        <v>10 minutes
10 minutes/level</v>
      </c>
      <c r="P97" s="23"/>
      <c r="Q97" s="34" t="s">
        <v>56</v>
      </c>
      <c r="R97" s="23"/>
      <c r="S97" s="34" t="s">
        <v>110</v>
      </c>
      <c r="T97" s="23"/>
      <c r="U97" s="81" t="s">
        <v>309</v>
      </c>
      <c r="V97" s="9"/>
      <c r="W97" s="9"/>
      <c r="X97" s="23"/>
    </row>
    <row r="98">
      <c r="A98" s="1"/>
      <c r="B98" s="25">
        <v>4.0</v>
      </c>
      <c r="C98" s="78" t="s">
        <v>310</v>
      </c>
      <c r="D98" s="17"/>
      <c r="E98" s="28" t="s">
        <v>107</v>
      </c>
      <c r="F98" s="17"/>
      <c r="G98" s="28" t="s">
        <v>108</v>
      </c>
      <c r="H98" s="17"/>
      <c r="I98" s="28" t="s">
        <v>54</v>
      </c>
      <c r="J98" s="17"/>
      <c r="K98" s="28" t="s">
        <v>95</v>
      </c>
      <c r="L98" s="17"/>
      <c r="M98" s="28" t="s">
        <v>311</v>
      </c>
      <c r="N98" s="17"/>
      <c r="O98" s="28" t="str">
        <f>CONCAT(Level*10, " minutes (D)
10 minutes/level")</f>
        <v>10 minutes (D)
10 minutes/level</v>
      </c>
      <c r="P98" s="17"/>
      <c r="Q98" s="28" t="s">
        <v>56</v>
      </c>
      <c r="R98" s="17"/>
      <c r="S98" s="28" t="s">
        <v>78</v>
      </c>
      <c r="T98" s="17"/>
      <c r="U98" s="79" t="s">
        <v>312</v>
      </c>
      <c r="V98" s="3"/>
      <c r="W98" s="3"/>
      <c r="X98" s="17"/>
    </row>
    <row r="99">
      <c r="A99" s="1"/>
      <c r="B99" s="82">
        <v>4.0</v>
      </c>
      <c r="C99" s="80" t="s">
        <v>313</v>
      </c>
      <c r="D99" s="23"/>
      <c r="E99" s="34" t="s">
        <v>275</v>
      </c>
      <c r="F99" s="23"/>
      <c r="G99" s="34" t="s">
        <v>108</v>
      </c>
      <c r="H99" s="23"/>
      <c r="I99" s="34" t="s">
        <v>54</v>
      </c>
      <c r="J99" s="23"/>
      <c r="K99" s="34" t="s">
        <v>60</v>
      </c>
      <c r="L99" s="23"/>
      <c r="M99" s="34" t="s">
        <v>87</v>
      </c>
      <c r="N99" s="23"/>
      <c r="O99" s="34" t="s">
        <v>55</v>
      </c>
      <c r="P99" s="23"/>
      <c r="Q99" s="34" t="s">
        <v>314</v>
      </c>
      <c r="R99" s="23"/>
      <c r="S99" s="34" t="s">
        <v>78</v>
      </c>
      <c r="T99" s="23"/>
      <c r="U99" s="81" t="str">
        <f>CONCAT("Withers one plant or deals ",CONCAT(MIN(Level, 15),"d6 damage to plant creatures, 1d6/level"))</f>
        <v>Withers one plant or deals 1d6 damage to plant creatures, 1d6/level</v>
      </c>
      <c r="V99" s="9"/>
      <c r="W99" s="9"/>
      <c r="X99" s="23"/>
    </row>
    <row r="100">
      <c r="A100" s="1"/>
      <c r="B100" s="25">
        <v>4.0</v>
      </c>
      <c r="C100" s="78" t="s">
        <v>315</v>
      </c>
      <c r="D100" s="17"/>
      <c r="E100" s="28" t="s">
        <v>94</v>
      </c>
      <c r="F100" s="17"/>
      <c r="G100" s="28" t="s">
        <v>316</v>
      </c>
      <c r="H100" s="17"/>
      <c r="I100" s="28" t="s">
        <v>54</v>
      </c>
      <c r="J100" s="17"/>
      <c r="K100" s="28" t="str">
        <f>CONCAT("Close: ", CONCAT(25+(5*FLOOR(Level/2,1)), " ft"))</f>
        <v>Close: 25 ft</v>
      </c>
      <c r="L100" s="17"/>
      <c r="M100" s="28" t="str">
        <f>CONCAT("Up to ",CONCAT(Level*2," HD of plant creatures, 2 HD/level, no two of which can be more than 30 ft. apart"))</f>
        <v>Up to 2 HD of plant creatures, 2 HD/level, no two of which can be more than 30 ft. apart</v>
      </c>
      <c r="N100" s="17"/>
      <c r="O100" s="28" t="str">
        <f>CONCAT(Level, " days
1 day/level")</f>
        <v>1 days
1 day/level</v>
      </c>
      <c r="P100" s="17"/>
      <c r="Q100" s="28" t="s">
        <v>121</v>
      </c>
      <c r="R100" s="17"/>
      <c r="S100" s="28" t="s">
        <v>78</v>
      </c>
      <c r="T100" s="17"/>
      <c r="U100" s="79" t="s">
        <v>317</v>
      </c>
      <c r="V100" s="3"/>
      <c r="W100" s="3"/>
      <c r="X100" s="17"/>
    </row>
    <row r="101">
      <c r="A101" s="1"/>
      <c r="B101" s="82">
        <v>4.0</v>
      </c>
      <c r="C101" s="80" t="s">
        <v>318</v>
      </c>
      <c r="D101" s="23"/>
      <c r="E101" s="34" t="s">
        <v>319</v>
      </c>
      <c r="F101" s="23"/>
      <c r="G101" s="34" t="s">
        <v>108</v>
      </c>
      <c r="H101" s="23"/>
      <c r="I101" s="34" t="s">
        <v>54</v>
      </c>
      <c r="J101" s="23"/>
      <c r="K101" s="34" t="str">
        <f>CONCAT("Long: ", CONCAT(400+(40*Level), " ft"))</f>
        <v>Long: 440 ft</v>
      </c>
      <c r="L101" s="23"/>
      <c r="M101" s="34" t="str">
        <f>CONCAT("Water in a volume of ",CONCAT(Level*10,CONCAT(" ft by ",CONCAT(Level*10, CONCAT(" ft by ",CONCAT(Level*2, " ft, 10 by 10 by 2 ft/level"))))))</f>
        <v>Water in a volume of 10 ft by 10 ft by 2 ft, 10 by 10 by 2 ft/level</v>
      </c>
      <c r="N101" s="23"/>
      <c r="O101" s="34" t="str">
        <f>CONCAT(Level*10, " minutes (D)
10 minutes/level")</f>
        <v>10 minutes (D)
10 minutes/level</v>
      </c>
      <c r="P101" s="23"/>
      <c r="Q101" s="34" t="s">
        <v>179</v>
      </c>
      <c r="R101" s="23"/>
      <c r="S101" s="34" t="s">
        <v>57</v>
      </c>
      <c r="T101" s="23"/>
      <c r="U101" s="81" t="s">
        <v>320</v>
      </c>
      <c r="V101" s="9"/>
      <c r="W101" s="9"/>
      <c r="X101" s="23"/>
    </row>
    <row r="102">
      <c r="A102" s="1"/>
      <c r="B102" s="25">
        <v>4.0</v>
      </c>
      <c r="C102" s="78" t="s">
        <v>321</v>
      </c>
      <c r="D102" s="17"/>
      <c r="E102" s="28" t="s">
        <v>59</v>
      </c>
      <c r="F102" s="17"/>
      <c r="G102" s="28" t="s">
        <v>53</v>
      </c>
      <c r="H102" s="17"/>
      <c r="I102" s="28" t="s">
        <v>54</v>
      </c>
      <c r="J102" s="17"/>
      <c r="K102" s="28" t="s">
        <v>60</v>
      </c>
      <c r="L102" s="17"/>
      <c r="M102" s="28" t="s">
        <v>61</v>
      </c>
      <c r="N102" s="17"/>
      <c r="O102" s="28" t="s">
        <v>55</v>
      </c>
      <c r="P102" s="17"/>
      <c r="Q102" s="28" t="s">
        <v>62</v>
      </c>
      <c r="R102" s="17"/>
      <c r="S102" s="28" t="s">
        <v>63</v>
      </c>
      <c r="T102" s="17"/>
      <c r="U102" s="79" t="str">
        <f>CONCAT("Cures 3d8+",CONCAT(MIN(Level,15)," damage, +1/level, max +15"))</f>
        <v>Cures 3d8+1 damage, +1/level, max +15</v>
      </c>
      <c r="V102" s="3"/>
      <c r="W102" s="3"/>
      <c r="X102" s="17"/>
    </row>
    <row r="103">
      <c r="A103" s="1"/>
      <c r="B103" s="82">
        <v>4.0</v>
      </c>
      <c r="C103" s="83" t="s">
        <v>322</v>
      </c>
      <c r="D103" s="23"/>
      <c r="E103" s="33" t="s">
        <v>107</v>
      </c>
      <c r="F103" s="23"/>
      <c r="G103" s="33" t="s">
        <v>53</v>
      </c>
      <c r="H103" s="23"/>
      <c r="I103" s="33" t="s">
        <v>54</v>
      </c>
      <c r="J103" s="23"/>
      <c r="K103" s="33" t="str">
        <f>CONCAT("Medium: ", CONCAT(100+(10*Level), " ft"))</f>
        <v>Medium: 110 ft</v>
      </c>
      <c r="L103" s="23"/>
      <c r="M103" s="33" t="s">
        <v>323</v>
      </c>
      <c r="N103" s="23"/>
      <c r="O103" s="33" t="s">
        <v>55</v>
      </c>
      <c r="P103" s="23"/>
      <c r="Q103" s="33" t="s">
        <v>56</v>
      </c>
      <c r="R103" s="23"/>
      <c r="S103" s="33" t="s">
        <v>57</v>
      </c>
      <c r="T103" s="23"/>
      <c r="U103" s="35" t="s">
        <v>324</v>
      </c>
      <c r="V103" s="9"/>
      <c r="W103" s="9"/>
      <c r="X103" s="23"/>
    </row>
    <row r="104">
      <c r="A104" s="1"/>
      <c r="B104" s="25">
        <v>4.0</v>
      </c>
      <c r="C104" s="86" t="s">
        <v>325</v>
      </c>
      <c r="D104" s="17"/>
      <c r="E104" s="28" t="s">
        <v>164</v>
      </c>
      <c r="F104" s="17"/>
      <c r="G104" s="28" t="s">
        <v>108</v>
      </c>
      <c r="H104" s="17"/>
      <c r="I104" s="27" t="s">
        <v>54</v>
      </c>
      <c r="J104" s="17"/>
      <c r="K104" s="27" t="str">
        <f>CONCAT("Medium: ", CONCAT(100+(10*Level), " ft"))</f>
        <v>Medium: 110 ft</v>
      </c>
      <c r="L104" s="17"/>
      <c r="M104" s="28" t="s">
        <v>326</v>
      </c>
      <c r="N104" s="17"/>
      <c r="O104" s="27" t="s">
        <v>55</v>
      </c>
      <c r="P104" s="17"/>
      <c r="Q104" s="28" t="s">
        <v>251</v>
      </c>
      <c r="R104" s="17"/>
      <c r="S104" s="28" t="s">
        <v>78</v>
      </c>
      <c r="T104" s="17"/>
      <c r="U104" s="29" t="str">
        <f>CONCAT("Smite foes with divine fire (",CONCAT(MIN(Level, 15),"d6 damage, 1d6/level)"))</f>
        <v>Smite foes with divine fire (1d6 damage, 1d6/level)</v>
      </c>
      <c r="V104" s="3"/>
      <c r="W104" s="3"/>
      <c r="X104" s="17"/>
    </row>
    <row r="105">
      <c r="A105" s="1"/>
      <c r="B105" s="82">
        <v>4.0</v>
      </c>
      <c r="C105" s="83" t="s">
        <v>327</v>
      </c>
      <c r="D105" s="23"/>
      <c r="E105" s="34" t="s">
        <v>107</v>
      </c>
      <c r="F105" s="23"/>
      <c r="G105" s="34" t="s">
        <v>328</v>
      </c>
      <c r="H105" s="23"/>
      <c r="I105" s="33" t="s">
        <v>54</v>
      </c>
      <c r="J105" s="23"/>
      <c r="K105" s="34" t="s">
        <v>329</v>
      </c>
      <c r="L105" s="23"/>
      <c r="M105" s="34" t="s">
        <v>330</v>
      </c>
      <c r="N105" s="23"/>
      <c r="O105" s="33" t="str">
        <f>CONCAT(Level*10, " minutes
10 minutes/level")</f>
        <v>10 minutes
10 minutes/level</v>
      </c>
      <c r="P105" s="23"/>
      <c r="Q105" s="34" t="s">
        <v>82</v>
      </c>
      <c r="R105" s="23"/>
      <c r="S105" s="34" t="s">
        <v>110</v>
      </c>
      <c r="T105" s="23"/>
      <c r="U105" s="81" t="s">
        <v>331</v>
      </c>
      <c r="V105" s="9"/>
      <c r="W105" s="9"/>
      <c r="X105" s="23"/>
    </row>
    <row r="106">
      <c r="A106" s="1"/>
      <c r="B106" s="25">
        <v>4.0</v>
      </c>
      <c r="C106" s="86" t="s">
        <v>332</v>
      </c>
      <c r="D106" s="17"/>
      <c r="E106" s="28" t="s">
        <v>94</v>
      </c>
      <c r="F106" s="17"/>
      <c r="G106" s="28" t="s">
        <v>133</v>
      </c>
      <c r="H106" s="17"/>
      <c r="I106" s="27" t="s">
        <v>54</v>
      </c>
      <c r="J106" s="17"/>
      <c r="K106" s="28" t="str">
        <f>CONCAT("Close: ", CONCAT(25+(5*FLOOR(Level/2,1)), " ft"))</f>
        <v>Close: 25 ft</v>
      </c>
      <c r="L106" s="17"/>
      <c r="M106" s="28" t="s">
        <v>333</v>
      </c>
      <c r="N106" s="17"/>
      <c r="O106" s="27" t="str">
        <f>CONCAT(Level, " minutes
1 minute/level")</f>
        <v>1 minutes
1 minute/level</v>
      </c>
      <c r="P106" s="17"/>
      <c r="Q106" s="28" t="s">
        <v>56</v>
      </c>
      <c r="R106" s="17"/>
      <c r="S106" s="28" t="s">
        <v>78</v>
      </c>
      <c r="T106" s="17"/>
      <c r="U106" s="79" t="s">
        <v>334</v>
      </c>
      <c r="V106" s="3"/>
      <c r="W106" s="3"/>
      <c r="X106" s="17"/>
    </row>
    <row r="107">
      <c r="A107" s="1"/>
      <c r="B107" s="82">
        <v>4.0</v>
      </c>
      <c r="C107" s="83" t="s">
        <v>335</v>
      </c>
      <c r="D107" s="23"/>
      <c r="E107" s="34" t="s">
        <v>336</v>
      </c>
      <c r="F107" s="23"/>
      <c r="G107" s="34" t="s">
        <v>133</v>
      </c>
      <c r="H107" s="23"/>
      <c r="I107" s="33" t="s">
        <v>54</v>
      </c>
      <c r="J107" s="23"/>
      <c r="K107" s="34" t="str">
        <f>CONCAT("Long: ", CONCAT(400+(40*Level), " ft"))</f>
        <v>Long: 440 ft</v>
      </c>
      <c r="L107" s="23"/>
      <c r="M107" s="34" t="s">
        <v>337</v>
      </c>
      <c r="N107" s="23"/>
      <c r="O107" s="34" t="s">
        <v>338</v>
      </c>
      <c r="P107" s="23"/>
      <c r="Q107" s="34" t="s">
        <v>56</v>
      </c>
      <c r="R107" s="23"/>
      <c r="S107" s="34" t="s">
        <v>78</v>
      </c>
      <c r="T107" s="23"/>
      <c r="U107" s="81" t="s">
        <v>339</v>
      </c>
      <c r="V107" s="9"/>
      <c r="W107" s="9"/>
      <c r="X107" s="23"/>
    </row>
    <row r="108">
      <c r="A108" s="1"/>
      <c r="B108" s="25">
        <v>4.0</v>
      </c>
      <c r="C108" s="86" t="s">
        <v>340</v>
      </c>
      <c r="D108" s="17"/>
      <c r="E108" s="28" t="s">
        <v>94</v>
      </c>
      <c r="F108" s="17"/>
      <c r="G108" s="28" t="s">
        <v>341</v>
      </c>
      <c r="H108" s="17"/>
      <c r="I108" s="28" t="s">
        <v>202</v>
      </c>
      <c r="J108" s="17"/>
      <c r="K108" s="28" t="s">
        <v>60</v>
      </c>
      <c r="L108" s="17"/>
      <c r="M108" s="28" t="s">
        <v>342</v>
      </c>
      <c r="N108" s="17"/>
      <c r="O108" s="28" t="s">
        <v>55</v>
      </c>
      <c r="P108" s="17"/>
      <c r="Q108" s="28" t="s">
        <v>179</v>
      </c>
      <c r="R108" s="17"/>
      <c r="S108" s="28" t="s">
        <v>110</v>
      </c>
      <c r="T108" s="17"/>
      <c r="U108" s="79" t="s">
        <v>343</v>
      </c>
      <c r="V108" s="3"/>
      <c r="W108" s="3"/>
      <c r="X108" s="17"/>
    </row>
    <row r="109">
      <c r="A109" s="1"/>
      <c r="B109" s="82">
        <v>4.0</v>
      </c>
      <c r="C109" s="83" t="s">
        <v>344</v>
      </c>
      <c r="D109" s="23"/>
      <c r="E109" s="34" t="s">
        <v>107</v>
      </c>
      <c r="F109" s="23"/>
      <c r="G109" s="34" t="s">
        <v>133</v>
      </c>
      <c r="H109" s="23"/>
      <c r="I109" s="34" t="s">
        <v>54</v>
      </c>
      <c r="J109" s="23"/>
      <c r="K109" s="34" t="s">
        <v>95</v>
      </c>
      <c r="L109" s="23"/>
      <c r="M109" s="34" t="s">
        <v>345</v>
      </c>
      <c r="N109" s="23"/>
      <c r="O109" s="34" t="str">
        <f>CONCAT(Level*10, " minutes (D)
10 minutes/level")</f>
        <v>10 minutes (D)
10 minutes/level</v>
      </c>
      <c r="P109" s="23"/>
      <c r="Q109" s="34" t="s">
        <v>346</v>
      </c>
      <c r="R109" s="23"/>
      <c r="S109" s="34" t="s">
        <v>78</v>
      </c>
      <c r="T109" s="23"/>
      <c r="U109" s="81" t="s">
        <v>347</v>
      </c>
      <c r="V109" s="9"/>
      <c r="W109" s="9"/>
      <c r="X109" s="23"/>
    </row>
    <row r="110">
      <c r="A110" s="1"/>
      <c r="B110" s="25">
        <v>4.0</v>
      </c>
      <c r="C110" s="86" t="s">
        <v>348</v>
      </c>
      <c r="D110" s="17"/>
      <c r="E110" s="28" t="s">
        <v>94</v>
      </c>
      <c r="F110" s="17"/>
      <c r="G110" s="28" t="s">
        <v>133</v>
      </c>
      <c r="H110" s="17"/>
      <c r="I110" s="28" t="s">
        <v>54</v>
      </c>
      <c r="J110" s="17"/>
      <c r="K110" s="28" t="s">
        <v>60</v>
      </c>
      <c r="L110" s="17"/>
      <c r="M110" s="28" t="s">
        <v>349</v>
      </c>
      <c r="N110" s="17"/>
      <c r="O110" s="28" t="s">
        <v>260</v>
      </c>
      <c r="P110" s="17"/>
      <c r="Q110" s="28" t="s">
        <v>56</v>
      </c>
      <c r="R110" s="17"/>
      <c r="S110" s="28" t="s">
        <v>57</v>
      </c>
      <c r="T110" s="17"/>
      <c r="U110" s="79" t="s">
        <v>350</v>
      </c>
      <c r="V110" s="3"/>
      <c r="W110" s="3"/>
      <c r="X110" s="17"/>
    </row>
    <row r="111">
      <c r="A111" s="1"/>
      <c r="B111" s="82">
        <v>4.0</v>
      </c>
      <c r="C111" s="83" t="s">
        <v>351</v>
      </c>
      <c r="D111" s="23"/>
      <c r="E111" s="34" t="s">
        <v>352</v>
      </c>
      <c r="F111" s="23"/>
      <c r="G111" s="34" t="s">
        <v>353</v>
      </c>
      <c r="H111" s="23"/>
      <c r="I111" s="34" t="s">
        <v>354</v>
      </c>
      <c r="J111" s="23"/>
      <c r="K111" s="34" t="s">
        <v>260</v>
      </c>
      <c r="L111" s="23"/>
      <c r="M111" s="34" t="s">
        <v>355</v>
      </c>
      <c r="N111" s="23"/>
      <c r="O111" s="34" t="str">
        <f>CONCAT(Level, " minutes
1 minute/level")</f>
        <v>1 minutes
1 minute/level</v>
      </c>
      <c r="P111" s="23"/>
      <c r="Q111" s="34" t="s">
        <v>121</v>
      </c>
      <c r="R111" s="23"/>
      <c r="S111" s="34" t="s">
        <v>78</v>
      </c>
      <c r="T111" s="23"/>
      <c r="U111" s="81" t="s">
        <v>356</v>
      </c>
      <c r="V111" s="9"/>
      <c r="W111" s="9"/>
      <c r="X111" s="23"/>
    </row>
    <row r="112">
      <c r="A112" s="1"/>
      <c r="B112" s="25">
        <v>4.0</v>
      </c>
      <c r="C112" s="86" t="s">
        <v>357</v>
      </c>
      <c r="D112" s="17"/>
      <c r="E112" s="28" t="s">
        <v>232</v>
      </c>
      <c r="F112" s="17"/>
      <c r="G112" s="28" t="s">
        <v>133</v>
      </c>
      <c r="H112" s="17"/>
      <c r="I112" s="28" t="s">
        <v>54</v>
      </c>
      <c r="J112" s="17"/>
      <c r="K112" s="28" t="str">
        <f>CONCAT("Medium: ", CONCAT(100+(10*Level), " ft"))</f>
        <v>Medium: 110 ft</v>
      </c>
      <c r="L112" s="17"/>
      <c r="M112" s="28" t="str">
        <f>CONCAT(Level," twenty ft squares, 1 square/level")</f>
        <v>1 twenty ft squares, 1 square/level</v>
      </c>
      <c r="N112" s="17"/>
      <c r="O112" s="28" t="str">
        <f>CONCAT(Level, " hours (D)
1 hour/level")</f>
        <v>1 hours (D)
1 hour/level</v>
      </c>
      <c r="P112" s="17"/>
      <c r="Q112" s="28" t="s">
        <v>296</v>
      </c>
      <c r="R112" s="17"/>
      <c r="S112" s="28" t="s">
        <v>78</v>
      </c>
      <c r="T112" s="17"/>
      <c r="U112" s="79" t="s">
        <v>358</v>
      </c>
      <c r="V112" s="3"/>
      <c r="W112" s="3"/>
      <c r="X112" s="17"/>
    </row>
    <row r="113">
      <c r="A113" s="1"/>
      <c r="B113" s="82">
        <v>4.0</v>
      </c>
      <c r="C113" s="80" t="s">
        <v>359</v>
      </c>
      <c r="D113" s="23"/>
      <c r="E113" s="34" t="s">
        <v>173</v>
      </c>
      <c r="F113" s="23"/>
      <c r="G113" s="34" t="s">
        <v>133</v>
      </c>
      <c r="H113" s="23"/>
      <c r="I113" s="34" t="s">
        <v>174</v>
      </c>
      <c r="J113" s="23"/>
      <c r="K113" s="34" t="str">
        <f>CONCAT("Close: ", CONCAT(25+(5*FLOOR(Level/2,1)), " ft"))</f>
        <v>Close: 25 ft</v>
      </c>
      <c r="L113" s="23"/>
      <c r="M113" s="34" t="s">
        <v>237</v>
      </c>
      <c r="N113" s="23"/>
      <c r="O113" s="34" t="str">
        <f>CONCAT(Level, " rounds (D)
1 round/level")</f>
        <v>1 rounds (D)
1 round/level</v>
      </c>
      <c r="P113" s="23"/>
      <c r="Q113" s="34" t="s">
        <v>56</v>
      </c>
      <c r="R113" s="23"/>
      <c r="S113" s="34" t="s">
        <v>57</v>
      </c>
      <c r="T113" s="23"/>
      <c r="U113" s="81" t="s">
        <v>176</v>
      </c>
      <c r="V113" s="9"/>
      <c r="W113" s="9"/>
      <c r="X113" s="23"/>
    </row>
    <row r="114">
      <c r="A114" s="1"/>
      <c r="B114" s="25">
        <v>5.0</v>
      </c>
      <c r="C114" s="78" t="s">
        <v>360</v>
      </c>
      <c r="D114" s="17"/>
      <c r="E114" s="28" t="s">
        <v>94</v>
      </c>
      <c r="F114" s="17"/>
      <c r="G114" s="28" t="s">
        <v>53</v>
      </c>
      <c r="H114" s="17"/>
      <c r="I114" s="28" t="s">
        <v>54</v>
      </c>
      <c r="J114" s="17"/>
      <c r="K114" s="28" t="str">
        <f>CONCAT("Medium: ", CONCAT(100+(10*Level), " ft"))</f>
        <v>Medium: 110 ft</v>
      </c>
      <c r="L114" s="17"/>
      <c r="M114" s="28" t="str">
        <f>CONCAT("Up to ",CONCAT(MAX(FLOOR(Level/2,1),1)," animals (Gargantuan or smaller), 1 animal per 2 levels, no 2 of which can be more than 30 ft apart"))</f>
        <v>Up to 1 animals (Gargantuan or smaller), 1 animal per 2 levels, no 2 of which can be more than 30 ft apart</v>
      </c>
      <c r="N114" s="17"/>
      <c r="O114" s="28" t="str">
        <f>CONCAT(Level, " minutes
1 minute/level")</f>
        <v>1 minutes
1 minute/level</v>
      </c>
      <c r="P114" s="17"/>
      <c r="Q114" s="28" t="s">
        <v>77</v>
      </c>
      <c r="R114" s="17"/>
      <c r="S114" s="28" t="s">
        <v>78</v>
      </c>
      <c r="T114" s="17"/>
      <c r="U114" s="79" t="str">
        <f>CONCAT(MAX(FLOOR(Level/2,1),1)," animals double in size, 1 animal per 2 levels")</f>
        <v>1 animals double in size, 1 animal per 2 levels</v>
      </c>
      <c r="V114" s="3"/>
      <c r="W114" s="3"/>
      <c r="X114" s="17"/>
    </row>
    <row r="115">
      <c r="A115" s="1"/>
      <c r="B115" s="82">
        <v>5.0</v>
      </c>
      <c r="C115" s="80" t="s">
        <v>361</v>
      </c>
      <c r="D115" s="23"/>
      <c r="E115" s="34" t="s">
        <v>107</v>
      </c>
      <c r="F115" s="23"/>
      <c r="G115" s="34" t="s">
        <v>362</v>
      </c>
      <c r="H115" s="23"/>
      <c r="I115" s="34" t="s">
        <v>354</v>
      </c>
      <c r="J115" s="23"/>
      <c r="K115" s="34" t="s">
        <v>60</v>
      </c>
      <c r="L115" s="23"/>
      <c r="M115" s="34" t="s">
        <v>187</v>
      </c>
      <c r="N115" s="23"/>
      <c r="O115" s="34" t="s">
        <v>55</v>
      </c>
      <c r="P115" s="23"/>
      <c r="Q115" s="34" t="s">
        <v>56</v>
      </c>
      <c r="R115" s="23"/>
      <c r="S115" s="34" t="s">
        <v>78</v>
      </c>
      <c r="T115" s="23"/>
      <c r="U115" s="81" t="s">
        <v>363</v>
      </c>
      <c r="V115" s="9"/>
      <c r="W115" s="9"/>
      <c r="X115" s="23"/>
    </row>
    <row r="116">
      <c r="A116" s="1"/>
      <c r="B116" s="25">
        <v>5.0</v>
      </c>
      <c r="C116" s="78" t="s">
        <v>364</v>
      </c>
      <c r="D116" s="17"/>
      <c r="E116" s="28" t="s">
        <v>94</v>
      </c>
      <c r="F116" s="17"/>
      <c r="G116" s="28" t="s">
        <v>365</v>
      </c>
      <c r="H116" s="17"/>
      <c r="I116" s="28" t="s">
        <v>130</v>
      </c>
      <c r="J116" s="17"/>
      <c r="K116" s="28" t="s">
        <v>60</v>
      </c>
      <c r="L116" s="17"/>
      <c r="M116" s="28" t="s">
        <v>366</v>
      </c>
      <c r="N116" s="17"/>
      <c r="O116" s="28" t="s">
        <v>55</v>
      </c>
      <c r="P116" s="17"/>
      <c r="Q116" s="28" t="s">
        <v>121</v>
      </c>
      <c r="R116" s="17"/>
      <c r="S116" s="28" t="s">
        <v>78</v>
      </c>
      <c r="T116" s="17"/>
      <c r="U116" s="79" t="s">
        <v>367</v>
      </c>
      <c r="V116" s="3"/>
      <c r="W116" s="3"/>
      <c r="X116" s="17"/>
    </row>
    <row r="117">
      <c r="A117" s="1"/>
      <c r="B117" s="82">
        <v>5.0</v>
      </c>
      <c r="C117" s="80" t="s">
        <v>368</v>
      </c>
      <c r="D117" s="23"/>
      <c r="E117" s="34" t="s">
        <v>94</v>
      </c>
      <c r="F117" s="23"/>
      <c r="G117" s="34" t="s">
        <v>53</v>
      </c>
      <c r="H117" s="23"/>
      <c r="I117" s="34" t="s">
        <v>54</v>
      </c>
      <c r="J117" s="23"/>
      <c r="K117" s="34" t="str">
        <f>CONCAT("Close: ", CONCAT(25+(5*FLOOR(Level/2,1)), " ft"))</f>
        <v>Close: 25 ft</v>
      </c>
      <c r="L117" s="23"/>
      <c r="M117" s="34" t="s">
        <v>369</v>
      </c>
      <c r="N117" s="23"/>
      <c r="O117" s="34" t="s">
        <v>370</v>
      </c>
      <c r="P117" s="23"/>
      <c r="Q117" s="34" t="s">
        <v>371</v>
      </c>
      <c r="R117" s="23"/>
      <c r="S117" s="34" t="s">
        <v>78</v>
      </c>
      <c r="T117" s="23"/>
      <c r="U117" s="81" t="s">
        <v>372</v>
      </c>
      <c r="V117" s="9"/>
      <c r="W117" s="9"/>
      <c r="X117" s="23"/>
    </row>
    <row r="118">
      <c r="A118" s="1"/>
      <c r="B118" s="25">
        <v>5.0</v>
      </c>
      <c r="C118" s="78" t="s">
        <v>373</v>
      </c>
      <c r="D118" s="17"/>
      <c r="E118" s="28" t="s">
        <v>249</v>
      </c>
      <c r="F118" s="17"/>
      <c r="G118" s="28" t="s">
        <v>53</v>
      </c>
      <c r="H118" s="17"/>
      <c r="I118" s="28" t="s">
        <v>174</v>
      </c>
      <c r="J118" s="17"/>
      <c r="K118" s="28" t="str">
        <f>CONCAT("Long: ", CONCAT(400+(40*Level), " ft"))</f>
        <v>Long: 440 ft</v>
      </c>
      <c r="L118" s="17"/>
      <c r="M118" s="28" t="s">
        <v>250</v>
      </c>
      <c r="N118" s="17"/>
      <c r="O118" s="28" t="str">
        <f>CONCAT(Level, " minutes
1 minute/level")</f>
        <v>1 minutes
1 minute/level</v>
      </c>
      <c r="P118" s="17"/>
      <c r="Q118" s="28" t="s">
        <v>251</v>
      </c>
      <c r="R118" s="17"/>
      <c r="S118" s="28" t="s">
        <v>78</v>
      </c>
      <c r="T118" s="17"/>
      <c r="U118" s="79" t="s">
        <v>374</v>
      </c>
      <c r="V118" s="3"/>
      <c r="W118" s="3"/>
      <c r="X118" s="17"/>
    </row>
    <row r="119">
      <c r="A119" s="1"/>
      <c r="B119" s="82">
        <v>5.0</v>
      </c>
      <c r="C119" s="80" t="s">
        <v>375</v>
      </c>
      <c r="D119" s="23"/>
      <c r="E119" s="34" t="s">
        <v>66</v>
      </c>
      <c r="F119" s="23"/>
      <c r="G119" s="34" t="s">
        <v>53</v>
      </c>
      <c r="H119" s="23"/>
      <c r="I119" s="34" t="s">
        <v>202</v>
      </c>
      <c r="J119" s="23"/>
      <c r="K119" s="34" t="s">
        <v>85</v>
      </c>
      <c r="L119" s="23"/>
      <c r="M119" s="34" t="s">
        <v>86</v>
      </c>
      <c r="N119" s="23"/>
      <c r="O119" s="34" t="s">
        <v>55</v>
      </c>
      <c r="P119" s="23"/>
      <c r="Q119" s="34" t="s">
        <v>87</v>
      </c>
      <c r="R119" s="23"/>
      <c r="S119" s="34" t="s">
        <v>87</v>
      </c>
      <c r="T119" s="23"/>
      <c r="U119" s="81" t="str">
        <f>CONCAT("Learn about terrain for ",CONCAT(Level," miles, 1 mile/level"))</f>
        <v>Learn about terrain for 1 miles, 1 mile/level</v>
      </c>
      <c r="V119" s="9"/>
      <c r="W119" s="9"/>
      <c r="X119" s="23"/>
    </row>
    <row r="120">
      <c r="A120" s="1"/>
      <c r="B120" s="25">
        <v>5.0</v>
      </c>
      <c r="C120" s="78" t="s">
        <v>376</v>
      </c>
      <c r="D120" s="17"/>
      <c r="E120" s="28" t="s">
        <v>307</v>
      </c>
      <c r="F120" s="17"/>
      <c r="G120" s="28" t="s">
        <v>53</v>
      </c>
      <c r="H120" s="17"/>
      <c r="I120" s="28" t="s">
        <v>54</v>
      </c>
      <c r="J120" s="17"/>
      <c r="K120" s="28" t="str">
        <f>CONCAT(Level*40, " ft
40 ft/level")</f>
        <v>40 ft
40 ft/level</v>
      </c>
      <c r="L120" s="17"/>
      <c r="M120" s="28" t="str">
        <f>CONCAT(Level*40, " ft radius cylinder, 40 ft/level, 40 ft high")</f>
        <v>40 ft radius cylinder, 40 ft/level, 40 ft high</v>
      </c>
      <c r="N120" s="17"/>
      <c r="O120" s="28" t="str">
        <f>CONCAT(Level*10, " minutes
10 minutes/level")</f>
        <v>10 minutes
10 minutes/level</v>
      </c>
      <c r="P120" s="17"/>
      <c r="Q120" s="28" t="s">
        <v>77</v>
      </c>
      <c r="R120" s="17"/>
      <c r="S120" s="28" t="s">
        <v>57</v>
      </c>
      <c r="T120" s="17"/>
      <c r="U120" s="79" t="s">
        <v>377</v>
      </c>
      <c r="V120" s="3"/>
      <c r="W120" s="3"/>
      <c r="X120" s="17"/>
    </row>
    <row r="121">
      <c r="A121" s="1"/>
      <c r="B121" s="82">
        <v>5.0</v>
      </c>
      <c r="C121" s="80" t="s">
        <v>378</v>
      </c>
      <c r="D121" s="23"/>
      <c r="E121" s="34" t="s">
        <v>59</v>
      </c>
      <c r="F121" s="23"/>
      <c r="G121" s="34" t="s">
        <v>53</v>
      </c>
      <c r="H121" s="23"/>
      <c r="I121" s="34" t="s">
        <v>54</v>
      </c>
      <c r="J121" s="23"/>
      <c r="K121" s="34" t="s">
        <v>60</v>
      </c>
      <c r="L121" s="23"/>
      <c r="M121" s="34" t="s">
        <v>129</v>
      </c>
      <c r="N121" s="23"/>
      <c r="O121" s="34" t="s">
        <v>55</v>
      </c>
      <c r="P121" s="23"/>
      <c r="Q121" s="34" t="s">
        <v>62</v>
      </c>
      <c r="R121" s="23"/>
      <c r="S121" s="34" t="s">
        <v>63</v>
      </c>
      <c r="T121" s="23"/>
      <c r="U121" s="81" t="str">
        <f>CONCAT("Cures 4d8+",CONCAT(MIN(Level,20)," damage, +1/level, max +20"))</f>
        <v>Cures 4d8+1 damage, +1/level, max +20</v>
      </c>
      <c r="V121" s="9"/>
      <c r="W121" s="9"/>
      <c r="X121" s="23"/>
    </row>
    <row r="122">
      <c r="A122" s="1"/>
      <c r="B122" s="25">
        <v>5.0</v>
      </c>
      <c r="C122" s="78" t="s">
        <v>379</v>
      </c>
      <c r="D122" s="17"/>
      <c r="E122" s="28" t="s">
        <v>275</v>
      </c>
      <c r="F122" s="17"/>
      <c r="G122" s="28" t="s">
        <v>133</v>
      </c>
      <c r="H122" s="17"/>
      <c r="I122" s="28" t="s">
        <v>54</v>
      </c>
      <c r="J122" s="17"/>
      <c r="K122" s="28" t="s">
        <v>60</v>
      </c>
      <c r="L122" s="17"/>
      <c r="M122" s="28" t="s">
        <v>187</v>
      </c>
      <c r="N122" s="17"/>
      <c r="O122" s="28" t="str">
        <f>CONCAT(Level, " minutes
1 minute/level")</f>
        <v>1 minutes
1 minute/level</v>
      </c>
      <c r="P122" s="17"/>
      <c r="Q122" s="28" t="s">
        <v>62</v>
      </c>
      <c r="R122" s="17"/>
      <c r="S122" s="28" t="s">
        <v>63</v>
      </c>
      <c r="T122" s="17"/>
      <c r="U122" s="79" t="s">
        <v>380</v>
      </c>
      <c r="V122" s="3"/>
      <c r="W122" s="3"/>
      <c r="X122" s="17"/>
    </row>
    <row r="123">
      <c r="A123" s="1"/>
      <c r="B123" s="82">
        <v>5.0</v>
      </c>
      <c r="C123" s="80" t="s">
        <v>381</v>
      </c>
      <c r="D123" s="23"/>
      <c r="E123" s="34" t="s">
        <v>382</v>
      </c>
      <c r="F123" s="23"/>
      <c r="G123" s="34" t="s">
        <v>383</v>
      </c>
      <c r="H123" s="23"/>
      <c r="I123" s="34" t="s">
        <v>130</v>
      </c>
      <c r="J123" s="23"/>
      <c r="K123" s="34" t="s">
        <v>60</v>
      </c>
      <c r="L123" s="23"/>
      <c r="M123" s="34" t="s">
        <v>384</v>
      </c>
      <c r="N123" s="23"/>
      <c r="O123" s="34" t="s">
        <v>55</v>
      </c>
      <c r="P123" s="23"/>
      <c r="Q123" s="34" t="s">
        <v>260</v>
      </c>
      <c r="R123" s="23"/>
      <c r="S123" s="34" t="s">
        <v>260</v>
      </c>
      <c r="T123" s="23"/>
      <c r="U123" s="81" t="s">
        <v>385</v>
      </c>
      <c r="V123" s="9"/>
      <c r="W123" s="9"/>
      <c r="X123" s="23"/>
    </row>
    <row r="124">
      <c r="A124" s="1"/>
      <c r="B124" s="25">
        <v>5.0</v>
      </c>
      <c r="C124" s="78" t="s">
        <v>386</v>
      </c>
      <c r="D124" s="17"/>
      <c r="E124" s="28" t="s">
        <v>239</v>
      </c>
      <c r="F124" s="17"/>
      <c r="G124" s="28" t="s">
        <v>133</v>
      </c>
      <c r="H124" s="17"/>
      <c r="I124" s="28" t="s">
        <v>174</v>
      </c>
      <c r="J124" s="17"/>
      <c r="K124" s="28" t="str">
        <f>CONCAT("Long: ", CONCAT(400+(40*Level), " ft"))</f>
        <v>Long: 440 ft</v>
      </c>
      <c r="L124" s="17"/>
      <c r="M124" s="28" t="str">
        <f>CONCAT(MAX(FLOOR(Level/3,1),1), " swarms of locusts, 1 swarm per 3 levels, each of which must be adjacent to at least one other swarm")</f>
        <v>1 swarms of locusts, 1 swarm per 3 levels, each of which must be adjacent to at least one other swarm</v>
      </c>
      <c r="N124" s="17"/>
      <c r="O124" s="28" t="str">
        <f>CONCAT(Level, " minutes
1 minute/level")</f>
        <v>1 minutes
1 minute/level</v>
      </c>
      <c r="P124" s="17"/>
      <c r="Q124" s="28" t="s">
        <v>56</v>
      </c>
      <c r="R124" s="17"/>
      <c r="S124" s="28" t="s">
        <v>57</v>
      </c>
      <c r="T124" s="17"/>
      <c r="U124" s="79" t="s">
        <v>387</v>
      </c>
      <c r="V124" s="3"/>
      <c r="W124" s="3"/>
      <c r="X124" s="17"/>
    </row>
    <row r="125">
      <c r="A125" s="1"/>
      <c r="B125" s="82">
        <v>5.0</v>
      </c>
      <c r="C125" s="80" t="s">
        <v>388</v>
      </c>
      <c r="D125" s="23"/>
      <c r="E125" s="34" t="s">
        <v>107</v>
      </c>
      <c r="F125" s="23"/>
      <c r="G125" s="34" t="s">
        <v>389</v>
      </c>
      <c r="H125" s="23"/>
      <c r="I125" s="34" t="s">
        <v>54</v>
      </c>
      <c r="J125" s="23"/>
      <c r="K125" s="34" t="s">
        <v>60</v>
      </c>
      <c r="L125" s="23"/>
      <c r="M125" s="34" t="s">
        <v>129</v>
      </c>
      <c r="N125" s="23"/>
      <c r="O125" s="34" t="str">
        <f>CONCAT(Level, " minutes or until discharged
1 minute/level")</f>
        <v>1 minutes or until discharged
1 minute/level</v>
      </c>
      <c r="P125" s="23"/>
      <c r="Q125" s="34" t="s">
        <v>82</v>
      </c>
      <c r="R125" s="23"/>
      <c r="S125" s="34" t="s">
        <v>110</v>
      </c>
      <c r="T125" s="23"/>
      <c r="U125" s="81" t="s">
        <v>390</v>
      </c>
      <c r="V125" s="9"/>
      <c r="W125" s="9"/>
      <c r="X125" s="23"/>
    </row>
    <row r="126">
      <c r="A126" s="1"/>
      <c r="B126" s="25">
        <v>5.0</v>
      </c>
      <c r="C126" s="78" t="s">
        <v>391</v>
      </c>
      <c r="D126" s="17"/>
      <c r="E126" s="28" t="s">
        <v>173</v>
      </c>
      <c r="F126" s="17"/>
      <c r="G126" s="28" t="s">
        <v>133</v>
      </c>
      <c r="H126" s="17"/>
      <c r="I126" s="28" t="s">
        <v>174</v>
      </c>
      <c r="J126" s="17"/>
      <c r="K126" s="28" t="str">
        <f>CONCAT("Close: ", CONCAT(25+(5*FLOOR(Level/2,1)), " ft"))</f>
        <v>Close: 25 ft</v>
      </c>
      <c r="L126" s="17"/>
      <c r="M126" s="28" t="s">
        <v>237</v>
      </c>
      <c r="N126" s="17"/>
      <c r="O126" s="28" t="str">
        <f>CONCAT(Level, " rounds (D)
1 round/level")</f>
        <v>1 rounds (D)
1 round/level</v>
      </c>
      <c r="P126" s="17"/>
      <c r="Q126" s="28" t="s">
        <v>56</v>
      </c>
      <c r="R126" s="17"/>
      <c r="S126" s="28" t="s">
        <v>57</v>
      </c>
      <c r="T126" s="17"/>
      <c r="U126" s="79" t="s">
        <v>176</v>
      </c>
      <c r="V126" s="3"/>
      <c r="W126" s="3"/>
      <c r="X126" s="17"/>
    </row>
    <row r="127">
      <c r="A127" s="1"/>
      <c r="B127" s="82">
        <v>5.0</v>
      </c>
      <c r="C127" s="80" t="s">
        <v>392</v>
      </c>
      <c r="D127" s="23"/>
      <c r="E127" s="34" t="s">
        <v>232</v>
      </c>
      <c r="F127" s="23"/>
      <c r="G127" s="34" t="s">
        <v>393</v>
      </c>
      <c r="H127" s="23"/>
      <c r="I127" s="33" t="s">
        <v>54</v>
      </c>
      <c r="J127" s="23"/>
      <c r="K127" s="33" t="str">
        <f>CONCAT("Medium: ", CONCAT(100+(10*Level), " ft"))</f>
        <v>Medium: 110 ft</v>
      </c>
      <c r="L127" s="23"/>
      <c r="M127" s="33" t="str">
        <f>CONCAT("Up to ",CONCAT(Level*2, " 10-ft. cubes, 2 per level."))</f>
        <v>Up to 2 10-ft. cubes, 2 per level.</v>
      </c>
      <c r="N127" s="23"/>
      <c r="O127" s="33" t="s">
        <v>370</v>
      </c>
      <c r="P127" s="23"/>
      <c r="Q127" s="33" t="s">
        <v>260</v>
      </c>
      <c r="R127" s="23"/>
      <c r="S127" s="33" t="s">
        <v>57</v>
      </c>
      <c r="T127" s="23"/>
      <c r="U127" s="35" t="str">
        <f>CONCAT("Transforms ",CONCAT(Level*2, " 10-ft. cubes, 2 per level."))</f>
        <v>Transforms 2 10-ft. cubes, 2 per level.</v>
      </c>
      <c r="V127" s="9"/>
      <c r="W127" s="9"/>
      <c r="X127" s="23"/>
    </row>
    <row r="128">
      <c r="A128" s="1"/>
      <c r="B128" s="25">
        <v>5.0</v>
      </c>
      <c r="C128" s="78" t="s">
        <v>394</v>
      </c>
      <c r="D128" s="17"/>
      <c r="E128" s="28" t="s">
        <v>232</v>
      </c>
      <c r="F128" s="17"/>
      <c r="G128" s="28" t="s">
        <v>393</v>
      </c>
      <c r="H128" s="17"/>
      <c r="I128" s="27" t="s">
        <v>54</v>
      </c>
      <c r="J128" s="17"/>
      <c r="K128" s="27" t="str">
        <f>CONCAT("Medium: ", CONCAT(100+(10*Level), " ft"))</f>
        <v>Medium: 110 ft</v>
      </c>
      <c r="L128" s="17"/>
      <c r="M128" s="27" t="str">
        <f>CONCAT("Up to ",CONCAT(Level*2, " 10-ft. cubes, 2 per level."))</f>
        <v>Up to 2 10-ft. cubes, 2 per level.</v>
      </c>
      <c r="N128" s="17"/>
      <c r="O128" s="27" t="s">
        <v>370</v>
      </c>
      <c r="P128" s="17"/>
      <c r="Q128" s="27" t="s">
        <v>260</v>
      </c>
      <c r="R128" s="17"/>
      <c r="S128" s="27" t="s">
        <v>57</v>
      </c>
      <c r="T128" s="17"/>
      <c r="U128" s="29" t="str">
        <f>CONCAT("Transforms ",CONCAT(Level*2, " 10-ft. cubes, 2 per level."))</f>
        <v>Transforms 2 10-ft. cubes, 2 per level.</v>
      </c>
      <c r="V128" s="3"/>
      <c r="W128" s="3"/>
      <c r="X128" s="17"/>
    </row>
    <row r="129">
      <c r="A129" s="1"/>
      <c r="B129" s="82">
        <v>5.0</v>
      </c>
      <c r="C129" s="80" t="s">
        <v>395</v>
      </c>
      <c r="D129" s="23"/>
      <c r="E129" s="34" t="s">
        <v>396</v>
      </c>
      <c r="F129" s="23"/>
      <c r="G129" s="34" t="s">
        <v>133</v>
      </c>
      <c r="H129" s="23"/>
      <c r="I129" s="33" t="s">
        <v>54</v>
      </c>
      <c r="J129" s="23"/>
      <c r="K129" s="34" t="s">
        <v>85</v>
      </c>
      <c r="L129" s="23"/>
      <c r="M129" s="34" t="s">
        <v>86</v>
      </c>
      <c r="N129" s="23"/>
      <c r="O129" s="33" t="str">
        <f>CONCAT(Level, " hours or until expended
1 hour/level
see text")</f>
        <v>1 hours or until expended
1 hour/level
see text</v>
      </c>
      <c r="P129" s="23"/>
      <c r="Q129" s="34" t="s">
        <v>87</v>
      </c>
      <c r="R129" s="23"/>
      <c r="S129" s="34" t="s">
        <v>87</v>
      </c>
      <c r="T129" s="23"/>
      <c r="U129" s="81" t="s">
        <v>397</v>
      </c>
      <c r="V129" s="9"/>
      <c r="W129" s="9"/>
      <c r="X129" s="23"/>
    </row>
    <row r="130">
      <c r="A130" s="1"/>
      <c r="B130" s="25">
        <v>5.0</v>
      </c>
      <c r="C130" s="78" t="s">
        <v>398</v>
      </c>
      <c r="D130" s="17"/>
      <c r="E130" s="28" t="s">
        <v>399</v>
      </c>
      <c r="F130" s="17"/>
      <c r="G130" s="28" t="s">
        <v>400</v>
      </c>
      <c r="H130" s="17"/>
      <c r="I130" s="28" t="s">
        <v>130</v>
      </c>
      <c r="J130" s="17"/>
      <c r="K130" s="28" t="s">
        <v>60</v>
      </c>
      <c r="L130" s="17"/>
      <c r="M130" s="28" t="s">
        <v>384</v>
      </c>
      <c r="N130" s="17"/>
      <c r="O130" s="28" t="s">
        <v>55</v>
      </c>
      <c r="P130" s="17"/>
      <c r="Q130" s="28" t="s">
        <v>260</v>
      </c>
      <c r="R130" s="17"/>
      <c r="S130" s="28" t="s">
        <v>260</v>
      </c>
      <c r="T130" s="17"/>
      <c r="U130" s="79" t="s">
        <v>401</v>
      </c>
      <c r="V130" s="3"/>
      <c r="W130" s="3"/>
      <c r="X130" s="17"/>
    </row>
    <row r="131">
      <c r="A131" s="1"/>
      <c r="B131" s="82">
        <v>5.0</v>
      </c>
      <c r="C131" s="80" t="s">
        <v>402</v>
      </c>
      <c r="D131" s="23"/>
      <c r="E131" s="34" t="s">
        <v>164</v>
      </c>
      <c r="F131" s="23"/>
      <c r="G131" s="34" t="s">
        <v>133</v>
      </c>
      <c r="H131" s="23"/>
      <c r="I131" s="34" t="s">
        <v>54</v>
      </c>
      <c r="J131" s="23"/>
      <c r="K131" s="34" t="str">
        <f>CONCAT("Medium: ", CONCAT(100+(10*Level), " ft"))</f>
        <v>Medium: 110 ft</v>
      </c>
      <c r="L131" s="23"/>
      <c r="M131" s="34" t="str">
        <f>CONCAT("Opaque sheet of flame up to ",CONCAT(Level*20, CONCAT(" ft long, 20 ft/level, or a ring with a radius of up to ",CONCAT(FLOOR(Level/2,1)*5, " ft, 5 ft per 2 levels, either form 20 ft high"))))</f>
        <v>Opaque sheet of flame up to 20 ft long, 20 ft/level, or a ring with a radius of up to 0 ft, 5 ft per 2 levels, either form 20 ft high</v>
      </c>
      <c r="N131" s="23"/>
      <c r="O131" s="34" t="str">
        <f>CONCAT("Concentration + ",CONCAT(Level, " rounds
1 round/level"))</f>
        <v>Concentration + 1 rounds
1 round/level</v>
      </c>
      <c r="P131" s="23"/>
      <c r="Q131" s="34" t="s">
        <v>56</v>
      </c>
      <c r="R131" s="23"/>
      <c r="S131" s="34" t="s">
        <v>78</v>
      </c>
      <c r="T131" s="23"/>
      <c r="U131" s="81" t="str">
        <f>CONCAT("Deals 2d4 fire damage out to 10 ft. and 1d4 out to 20 ft. Passing through wall deals 2d6+",CONCAT(MIN(Level,20),", +1/level"))</f>
        <v>Deals 2d4 fire damage out to 10 ft. and 1d4 out to 20 ft. Passing through wall deals 2d6+1, +1/level</v>
      </c>
      <c r="V131" s="9"/>
      <c r="W131" s="9"/>
      <c r="X131" s="23"/>
    </row>
    <row r="132">
      <c r="A132" s="1"/>
      <c r="B132" s="25">
        <v>5.0</v>
      </c>
      <c r="C132" s="78" t="s">
        <v>403</v>
      </c>
      <c r="D132" s="17"/>
      <c r="E132" s="28" t="s">
        <v>158</v>
      </c>
      <c r="F132" s="17"/>
      <c r="G132" s="28" t="s">
        <v>53</v>
      </c>
      <c r="H132" s="17"/>
      <c r="I132" s="28" t="s">
        <v>54</v>
      </c>
      <c r="J132" s="17"/>
      <c r="K132" s="28" t="str">
        <f>CONCAT("Medium: ", CONCAT(100+(10*Level), " ft"))</f>
        <v>Medium: 110 ft</v>
      </c>
      <c r="L132" s="17"/>
      <c r="M132" s="28" t="str">
        <f>CONCAT("Wall of thorny brush, up to ",CONCAT(Level, " 10-ft. cubes, 1 per level."))</f>
        <v>Wall of thorny brush, up to 1 10-ft. cubes, 1 per level.</v>
      </c>
      <c r="N132" s="17"/>
      <c r="O132" s="28" t="str">
        <f>CONCAT(Level, " minutes (D)
1 minute/level")</f>
        <v>1 minutes (D)
1 minute/level</v>
      </c>
      <c r="P132" s="17"/>
      <c r="Q132" s="28" t="s">
        <v>56</v>
      </c>
      <c r="R132" s="17"/>
      <c r="S132" s="28" t="s">
        <v>57</v>
      </c>
      <c r="T132" s="17"/>
      <c r="U132" s="79" t="s">
        <v>404</v>
      </c>
      <c r="V132" s="3"/>
      <c r="W132" s="3"/>
      <c r="X132" s="17"/>
    </row>
    <row r="133">
      <c r="A133" s="1"/>
      <c r="B133" s="82">
        <v>6.0</v>
      </c>
      <c r="C133" s="80" t="s">
        <v>405</v>
      </c>
      <c r="D133" s="23"/>
      <c r="E133" s="34" t="s">
        <v>107</v>
      </c>
      <c r="F133" s="23"/>
      <c r="G133" s="34" t="s">
        <v>133</v>
      </c>
      <c r="H133" s="23"/>
      <c r="I133" s="34" t="s">
        <v>174</v>
      </c>
      <c r="J133" s="23"/>
      <c r="K133" s="34" t="s">
        <v>95</v>
      </c>
      <c r="L133" s="23"/>
      <c r="M133" s="34" t="s">
        <v>311</v>
      </c>
      <c r="N133" s="23"/>
      <c r="O133" s="34" t="str">
        <f>CONCAT(Level, " minutes (D)
1 minute/level")</f>
        <v>1 minutes (D)
1 minute/level</v>
      </c>
      <c r="P133" s="23"/>
      <c r="Q133" s="34" t="s">
        <v>56</v>
      </c>
      <c r="R133" s="23"/>
      <c r="S133" s="34" t="s">
        <v>78</v>
      </c>
      <c r="T133" s="23"/>
      <c r="U133" s="81" t="s">
        <v>406</v>
      </c>
      <c r="V133" s="9"/>
      <c r="W133" s="9"/>
      <c r="X133" s="23"/>
    </row>
    <row r="134">
      <c r="A134" s="1"/>
      <c r="B134" s="25">
        <v>6.0</v>
      </c>
      <c r="C134" s="78" t="s">
        <v>407</v>
      </c>
      <c r="D134" s="17"/>
      <c r="E134" s="28" t="s">
        <v>94</v>
      </c>
      <c r="F134" s="17"/>
      <c r="G134" s="28" t="s">
        <v>133</v>
      </c>
      <c r="H134" s="17"/>
      <c r="I134" s="28" t="s">
        <v>54</v>
      </c>
      <c r="J134" s="17"/>
      <c r="K134" s="28" t="str">
        <f>CONCAT("Close: ", CONCAT(25+(5*FLOOR(Level/2,1)), " ft"))</f>
        <v>Close: 25 ft</v>
      </c>
      <c r="L134" s="17"/>
      <c r="M134" s="28" t="str">
        <f>CONCAT(Level," creatures, 1 creature/level, no 2 of which can be more than 30 ft apart")</f>
        <v>1 creatures, 1 creature/level, no 2 of which can be more than 30 ft apart</v>
      </c>
      <c r="N134" s="17"/>
      <c r="O134" s="28" t="str">
        <f>CONCAT(Level, " minutes
1 minute/level")</f>
        <v>1 minutes
1 minute/level</v>
      </c>
      <c r="P134" s="17"/>
      <c r="Q134" s="28" t="s">
        <v>82</v>
      </c>
      <c r="R134" s="17"/>
      <c r="S134" s="28" t="s">
        <v>78</v>
      </c>
      <c r="T134" s="17"/>
      <c r="U134" s="79" t="str">
        <f>CONCAT("As Bear's Endurance, affects ",CONCAT(Level, " subjects, 1 subject/level."))</f>
        <v>As Bear's Endurance, affects 1 subjects, 1 subject/level.</v>
      </c>
      <c r="V134" s="3"/>
      <c r="W134" s="3"/>
      <c r="X134" s="17"/>
    </row>
    <row r="135">
      <c r="A135" s="1"/>
      <c r="B135" s="82">
        <v>6.0</v>
      </c>
      <c r="C135" s="80" t="s">
        <v>408</v>
      </c>
      <c r="D135" s="23"/>
      <c r="E135" s="34" t="s">
        <v>94</v>
      </c>
      <c r="F135" s="23"/>
      <c r="G135" s="34" t="s">
        <v>108</v>
      </c>
      <c r="H135" s="23"/>
      <c r="I135" s="34" t="s">
        <v>54</v>
      </c>
      <c r="J135" s="23"/>
      <c r="K135" s="34" t="str">
        <f>CONCAT("Close: ", CONCAT(25+(5*FLOOR(Level/2,1)), " ft"))</f>
        <v>Close: 25 ft</v>
      </c>
      <c r="L135" s="23"/>
      <c r="M135" s="34" t="str">
        <f>CONCAT(Level," creatures, 1 creature/level, no 2 of which can be more than 30 ft apart")</f>
        <v>1 creatures, 1 creature/level, no 2 of which can be more than 30 ft apart</v>
      </c>
      <c r="N135" s="23"/>
      <c r="O135" s="34" t="str">
        <f>CONCAT(Level, " minutes
1 minute/level")</f>
        <v>1 minutes
1 minute/level</v>
      </c>
      <c r="P135" s="23"/>
      <c r="Q135" s="34" t="s">
        <v>82</v>
      </c>
      <c r="R135" s="23"/>
      <c r="S135" s="34" t="s">
        <v>110</v>
      </c>
      <c r="T135" s="23"/>
      <c r="U135" s="81" t="str">
        <f>CONCAT("As Bull's Strength, affects ",CONCAT(Level, " subjects, 1 subject/level."))</f>
        <v>As Bull's Strength, affects 1 subjects, 1 subject/level.</v>
      </c>
      <c r="V135" s="9"/>
      <c r="W135" s="9"/>
      <c r="X135" s="23"/>
    </row>
    <row r="136">
      <c r="A136" s="1"/>
      <c r="B136" s="25">
        <v>6.0</v>
      </c>
      <c r="C136" s="78" t="s">
        <v>409</v>
      </c>
      <c r="D136" s="17"/>
      <c r="E136" s="28" t="s">
        <v>94</v>
      </c>
      <c r="F136" s="17"/>
      <c r="G136" s="28" t="s">
        <v>146</v>
      </c>
      <c r="H136" s="17"/>
      <c r="I136" s="28" t="s">
        <v>54</v>
      </c>
      <c r="J136" s="17"/>
      <c r="K136" s="28" t="str">
        <f>CONCAT("Close: ", CONCAT(25+(5*FLOOR(Level/2,1)), " ft"))</f>
        <v>Close: 25 ft</v>
      </c>
      <c r="L136" s="17"/>
      <c r="M136" s="28" t="str">
        <f>CONCAT(Level," creatures, 1 creature/level, no 2 of which can be more than 30 ft apart")</f>
        <v>1 creatures, 1 creature/level, no 2 of which can be more than 30 ft apart</v>
      </c>
      <c r="N136" s="17"/>
      <c r="O136" s="28" t="str">
        <f>CONCAT(Level, " minutes
1 minute/level")</f>
        <v>1 minutes
1 minute/level</v>
      </c>
      <c r="P136" s="17"/>
      <c r="Q136" s="28" t="s">
        <v>82</v>
      </c>
      <c r="R136" s="17"/>
      <c r="S136" s="28" t="s">
        <v>192</v>
      </c>
      <c r="T136" s="17"/>
      <c r="U136" s="79" t="str">
        <f>CONCAT("As Cat's Grace, affects ",CONCAT(Level, " subjects, 1 subject/level."))</f>
        <v>As Cat's Grace, affects 1 subjects, 1 subject/level.</v>
      </c>
      <c r="V136" s="3"/>
      <c r="W136" s="3"/>
      <c r="X136" s="17"/>
    </row>
    <row r="137">
      <c r="A137" s="1"/>
      <c r="B137" s="82">
        <v>6.0</v>
      </c>
      <c r="C137" s="80" t="s">
        <v>410</v>
      </c>
      <c r="D137" s="23"/>
      <c r="E137" s="34" t="s">
        <v>59</v>
      </c>
      <c r="F137" s="23"/>
      <c r="G137" s="34" t="s">
        <v>53</v>
      </c>
      <c r="H137" s="23"/>
      <c r="I137" s="34" t="s">
        <v>54</v>
      </c>
      <c r="J137" s="23"/>
      <c r="K137" s="34" t="str">
        <f>CONCAT("Close: ", CONCAT(25+(5*FLOOR(Level/2,1)), " ft"))</f>
        <v>Close: 25 ft</v>
      </c>
      <c r="L137" s="23"/>
      <c r="M137" s="34" t="str">
        <f>CONCAT(Level," creatures, 1 creature/level, no 2 of which can be more than 30 ft apart")</f>
        <v>1 creatures, 1 creature/level, no 2 of which can be more than 30 ft apart</v>
      </c>
      <c r="N137" s="23"/>
      <c r="O137" s="34" t="s">
        <v>55</v>
      </c>
      <c r="P137" s="23"/>
      <c r="Q137" s="34" t="s">
        <v>411</v>
      </c>
      <c r="R137" s="23"/>
      <c r="S137" s="34" t="s">
        <v>412</v>
      </c>
      <c r="T137" s="23"/>
      <c r="U137" s="81" t="str">
        <f>CONCAT("Cures 1d8+",CONCAT(MIN(Level,25)," damage for many creatures, +1/level, max +25"))</f>
        <v>Cures 1d8+1 damage for many creatures, +1/level, max +25</v>
      </c>
      <c r="V137" s="9"/>
      <c r="W137" s="9"/>
      <c r="X137" s="23"/>
    </row>
    <row r="138">
      <c r="A138" s="1"/>
      <c r="B138" s="25">
        <v>6.0</v>
      </c>
      <c r="C138" s="78" t="s">
        <v>413</v>
      </c>
      <c r="D138" s="17"/>
      <c r="E138" s="27" t="s">
        <v>107</v>
      </c>
      <c r="F138" s="17"/>
      <c r="G138" s="27" t="s">
        <v>53</v>
      </c>
      <c r="H138" s="17"/>
      <c r="I138" s="27" t="s">
        <v>54</v>
      </c>
      <c r="J138" s="17"/>
      <c r="K138" s="27" t="str">
        <f>CONCAT("Medium: ", CONCAT(100+(10*Level), " ft"))</f>
        <v>Medium: 110 ft</v>
      </c>
      <c r="L138" s="17"/>
      <c r="M138" s="27" t="s">
        <v>323</v>
      </c>
      <c r="N138" s="17"/>
      <c r="O138" s="27" t="s">
        <v>55</v>
      </c>
      <c r="P138" s="17"/>
      <c r="Q138" s="27" t="s">
        <v>56</v>
      </c>
      <c r="R138" s="17"/>
      <c r="S138" s="27" t="s">
        <v>57</v>
      </c>
      <c r="T138" s="17"/>
      <c r="U138" s="79" t="s">
        <v>414</v>
      </c>
      <c r="V138" s="3"/>
      <c r="W138" s="3"/>
      <c r="X138" s="17"/>
    </row>
    <row r="139">
      <c r="A139" s="1"/>
      <c r="B139" s="82">
        <v>6.0</v>
      </c>
      <c r="C139" s="80" t="s">
        <v>415</v>
      </c>
      <c r="D139" s="23"/>
      <c r="E139" s="34" t="s">
        <v>66</v>
      </c>
      <c r="F139" s="23"/>
      <c r="G139" s="34" t="s">
        <v>104</v>
      </c>
      <c r="H139" s="23"/>
      <c r="I139" s="34" t="s">
        <v>229</v>
      </c>
      <c r="J139" s="23"/>
      <c r="K139" s="34" t="s">
        <v>416</v>
      </c>
      <c r="L139" s="23"/>
      <c r="M139" s="34" t="s">
        <v>330</v>
      </c>
      <c r="N139" s="23"/>
      <c r="O139" s="33" t="str">
        <f>CONCAT(Level, " minutes
1 minute/level")</f>
        <v>1 minutes
1 minute/level</v>
      </c>
      <c r="P139" s="23"/>
      <c r="Q139" s="34" t="s">
        <v>417</v>
      </c>
      <c r="R139" s="23"/>
      <c r="S139" s="34" t="s">
        <v>418</v>
      </c>
      <c r="T139" s="23"/>
      <c r="U139" s="81" t="s">
        <v>419</v>
      </c>
      <c r="V139" s="9"/>
      <c r="W139" s="9"/>
      <c r="X139" s="23"/>
    </row>
    <row r="140">
      <c r="A140" s="1"/>
      <c r="B140" s="25">
        <v>6.0</v>
      </c>
      <c r="C140" s="78" t="s">
        <v>420</v>
      </c>
      <c r="D140" s="17"/>
      <c r="E140" s="28" t="s">
        <v>421</v>
      </c>
      <c r="F140" s="17"/>
      <c r="G140" s="28" t="s">
        <v>146</v>
      </c>
      <c r="H140" s="17"/>
      <c r="I140" s="28" t="s">
        <v>54</v>
      </c>
      <c r="J140" s="17"/>
      <c r="K140" s="28" t="s">
        <v>60</v>
      </c>
      <c r="L140" s="17"/>
      <c r="M140" s="28" t="s">
        <v>422</v>
      </c>
      <c r="N140" s="17"/>
      <c r="O140" s="27" t="str">
        <f>CONCAT(Level, " minutes or until used
1 minute/level")</f>
        <v>1 minutes or until used
1 minute/level</v>
      </c>
      <c r="P140" s="17"/>
      <c r="Q140" s="28" t="s">
        <v>423</v>
      </c>
      <c r="R140" s="17"/>
      <c r="S140" s="28" t="s">
        <v>57</v>
      </c>
      <c r="T140" s="17"/>
      <c r="U140" s="79" t="s">
        <v>424</v>
      </c>
      <c r="V140" s="3"/>
      <c r="W140" s="3"/>
      <c r="X140" s="17"/>
    </row>
    <row r="141">
      <c r="A141" s="1"/>
      <c r="B141" s="82">
        <v>6.0</v>
      </c>
      <c r="C141" s="80" t="s">
        <v>425</v>
      </c>
      <c r="D141" s="23"/>
      <c r="E141" s="34" t="s">
        <v>94</v>
      </c>
      <c r="F141" s="23"/>
      <c r="G141" s="34" t="s">
        <v>146</v>
      </c>
      <c r="H141" s="23"/>
      <c r="I141" s="34" t="s">
        <v>426</v>
      </c>
      <c r="J141" s="23"/>
      <c r="K141" s="34" t="s">
        <v>165</v>
      </c>
      <c r="L141" s="23"/>
      <c r="M141" s="34" t="str">
        <f>CONCAT("An ironwood object wighing up to ",CONCAT(Level*5, " lbs, 5 lbs/level."))</f>
        <v>An ironwood object wighing up to 5 lbs, 5 lbs/level.</v>
      </c>
      <c r="N141" s="23"/>
      <c r="O141" s="33" t="str">
        <f>CONCAT(Level, " days (D)
1 day/level")</f>
        <v>1 days (D)
1 day/level</v>
      </c>
      <c r="P141" s="23"/>
      <c r="Q141" s="34" t="s">
        <v>56</v>
      </c>
      <c r="R141" s="23"/>
      <c r="S141" s="34" t="s">
        <v>57</v>
      </c>
      <c r="T141" s="23"/>
      <c r="U141" s="81" t="s">
        <v>427</v>
      </c>
      <c r="V141" s="9"/>
      <c r="W141" s="9"/>
      <c r="X141" s="23"/>
    </row>
    <row r="142">
      <c r="A142" s="1"/>
      <c r="B142" s="25">
        <v>6.0</v>
      </c>
      <c r="C142" s="78" t="s">
        <v>428</v>
      </c>
      <c r="D142" s="17"/>
      <c r="E142" s="28" t="s">
        <v>94</v>
      </c>
      <c r="F142" s="17"/>
      <c r="G142" s="28" t="s">
        <v>53</v>
      </c>
      <c r="H142" s="17"/>
      <c r="I142" s="28" t="s">
        <v>202</v>
      </c>
      <c r="J142" s="17"/>
      <c r="K142" s="28" t="s">
        <v>60</v>
      </c>
      <c r="L142" s="17"/>
      <c r="M142" s="28" t="s">
        <v>429</v>
      </c>
      <c r="N142" s="17"/>
      <c r="O142" s="27" t="str">
        <f>CONCAT(Level, " days (D)
1 day/level")</f>
        <v>1 days (D)
1 day/level</v>
      </c>
      <c r="P142" s="17"/>
      <c r="Q142" s="28" t="s">
        <v>56</v>
      </c>
      <c r="R142" s="17"/>
      <c r="S142" s="28" t="s">
        <v>57</v>
      </c>
      <c r="T142" s="17"/>
      <c r="U142" s="79" t="s">
        <v>430</v>
      </c>
      <c r="V142" s="3"/>
      <c r="W142" s="3"/>
      <c r="X142" s="17"/>
    </row>
    <row r="143">
      <c r="A143" s="1"/>
      <c r="B143" s="82">
        <v>6.0</v>
      </c>
      <c r="C143" s="80" t="s">
        <v>431</v>
      </c>
      <c r="D143" s="23"/>
      <c r="E143" s="34" t="s">
        <v>232</v>
      </c>
      <c r="F143" s="23"/>
      <c r="G143" s="34" t="s">
        <v>146</v>
      </c>
      <c r="H143" s="23"/>
      <c r="I143" s="34" t="s">
        <v>260</v>
      </c>
      <c r="J143" s="23"/>
      <c r="K143" s="34" t="str">
        <f>CONCAT("Long: ", CONCAT(400+(40*Level), " ft"))</f>
        <v>Long: 440 ft</v>
      </c>
      <c r="L143" s="23"/>
      <c r="M143" s="34" t="s">
        <v>432</v>
      </c>
      <c r="N143" s="23"/>
      <c r="O143" s="34" t="s">
        <v>55</v>
      </c>
      <c r="P143" s="23"/>
      <c r="Q143" s="34" t="s">
        <v>56</v>
      </c>
      <c r="R143" s="23"/>
      <c r="S143" s="34" t="s">
        <v>57</v>
      </c>
      <c r="T143" s="23"/>
      <c r="U143" s="81" t="s">
        <v>433</v>
      </c>
      <c r="V143" s="9"/>
      <c r="W143" s="9"/>
      <c r="X143" s="23"/>
    </row>
    <row r="144">
      <c r="A144" s="1"/>
      <c r="B144" s="25">
        <v>6.0</v>
      </c>
      <c r="C144" s="78" t="s">
        <v>434</v>
      </c>
      <c r="D144" s="17"/>
      <c r="E144" s="28" t="s">
        <v>94</v>
      </c>
      <c r="F144" s="17"/>
      <c r="G144" s="28" t="s">
        <v>133</v>
      </c>
      <c r="H144" s="17"/>
      <c r="I144" s="28" t="s">
        <v>54</v>
      </c>
      <c r="J144" s="17"/>
      <c r="K144" s="28" t="str">
        <f>CONCAT("Close: ", CONCAT(25+(5*FLOOR(Level/2,1)), " ft"))</f>
        <v>Close: 25 ft</v>
      </c>
      <c r="L144" s="17"/>
      <c r="M144" s="28" t="str">
        <f>CONCAT(Level," creatures, 1 creature/level, no 2 of which can be more than 30 ft apart")</f>
        <v>1 creatures, 1 creature/level, no 2 of which can be more than 30 ft apart</v>
      </c>
      <c r="N144" s="17"/>
      <c r="O144" s="28" t="str">
        <f>CONCAT(Level, " minutes
1 minute/level")</f>
        <v>1 minutes
1 minute/level</v>
      </c>
      <c r="P144" s="17"/>
      <c r="Q144" s="28" t="s">
        <v>82</v>
      </c>
      <c r="R144" s="17"/>
      <c r="S144" s="28" t="s">
        <v>192</v>
      </c>
      <c r="T144" s="17"/>
      <c r="U144" s="79" t="str">
        <f>CONCAT("As Owl's Wisdom, affects ",CONCAT(Level, " subjects, 1 subject/level."))</f>
        <v>As Owl's Wisdom, affects 1 subjects, 1 subject/level.</v>
      </c>
      <c r="V144" s="3"/>
      <c r="W144" s="3"/>
      <c r="X144" s="17"/>
    </row>
    <row r="145">
      <c r="A145" s="1"/>
      <c r="B145" s="82">
        <v>6.0</v>
      </c>
      <c r="C145" s="80" t="s">
        <v>435</v>
      </c>
      <c r="D145" s="23"/>
      <c r="E145" s="34" t="s">
        <v>94</v>
      </c>
      <c r="F145" s="23"/>
      <c r="G145" s="34" t="s">
        <v>53</v>
      </c>
      <c r="H145" s="23"/>
      <c r="I145" s="34" t="s">
        <v>54</v>
      </c>
      <c r="J145" s="23"/>
      <c r="K145" s="34" t="s">
        <v>67</v>
      </c>
      <c r="L145" s="23"/>
      <c r="M145" s="34" t="s">
        <v>436</v>
      </c>
      <c r="N145" s="23"/>
      <c r="O145" s="34" t="str">
        <f>CONCAT(Level, " minutes (D)
1 minute/level")</f>
        <v>1 minutes (D)
1 minute/level</v>
      </c>
      <c r="P145" s="23"/>
      <c r="Q145" s="34" t="s">
        <v>56</v>
      </c>
      <c r="R145" s="23"/>
      <c r="S145" s="34" t="s">
        <v>57</v>
      </c>
      <c r="T145" s="23"/>
      <c r="U145" s="81" t="s">
        <v>437</v>
      </c>
      <c r="V145" s="9"/>
      <c r="W145" s="9"/>
      <c r="X145" s="23"/>
    </row>
    <row r="146">
      <c r="A146" s="1"/>
      <c r="B146" s="25">
        <v>6.0</v>
      </c>
      <c r="C146" s="78" t="s">
        <v>438</v>
      </c>
      <c r="D146" s="17"/>
      <c r="E146" s="28" t="s">
        <v>94</v>
      </c>
      <c r="F146" s="17"/>
      <c r="G146" s="28" t="s">
        <v>104</v>
      </c>
      <c r="H146" s="17"/>
      <c r="I146" s="28" t="s">
        <v>202</v>
      </c>
      <c r="J146" s="17"/>
      <c r="K146" s="28" t="s">
        <v>60</v>
      </c>
      <c r="L146" s="17"/>
      <c r="M146" s="28" t="s">
        <v>439</v>
      </c>
      <c r="N146" s="17"/>
      <c r="O146" s="28" t="s">
        <v>440</v>
      </c>
      <c r="P146" s="17"/>
      <c r="Q146" s="28" t="s">
        <v>101</v>
      </c>
      <c r="R146" s="17"/>
      <c r="S146" s="28" t="s">
        <v>102</v>
      </c>
      <c r="T146" s="17"/>
      <c r="U146" s="79" t="s">
        <v>441</v>
      </c>
      <c r="V146" s="3"/>
      <c r="W146" s="3"/>
      <c r="X146" s="17"/>
    </row>
    <row r="147">
      <c r="A147" s="1"/>
      <c r="B147" s="82">
        <v>6.0</v>
      </c>
      <c r="C147" s="80" t="s">
        <v>442</v>
      </c>
      <c r="D147" s="23"/>
      <c r="E147" s="34" t="s">
        <v>66</v>
      </c>
      <c r="F147" s="23"/>
      <c r="G147" s="34" t="s">
        <v>133</v>
      </c>
      <c r="H147" s="23"/>
      <c r="I147" s="34" t="s">
        <v>202</v>
      </c>
      <c r="J147" s="23"/>
      <c r="K147" s="34" t="s">
        <v>85</v>
      </c>
      <c r="L147" s="23"/>
      <c r="M147" s="34" t="s">
        <v>86</v>
      </c>
      <c r="N147" s="23"/>
      <c r="O147" s="34" t="str">
        <f>CONCAT(Level, " minutes
1 minute/level")</f>
        <v>1 minutes
1 minute/level</v>
      </c>
      <c r="P147" s="23"/>
      <c r="Q147" s="34" t="s">
        <v>87</v>
      </c>
      <c r="R147" s="23"/>
      <c r="S147" s="34" t="s">
        <v>87</v>
      </c>
      <c r="T147" s="23"/>
      <c r="U147" s="81" t="s">
        <v>443</v>
      </c>
      <c r="V147" s="9"/>
      <c r="W147" s="9"/>
      <c r="X147" s="23"/>
    </row>
    <row r="148">
      <c r="A148" s="1"/>
      <c r="B148" s="25">
        <v>6.0</v>
      </c>
      <c r="C148" s="86" t="s">
        <v>444</v>
      </c>
      <c r="D148" s="17"/>
      <c r="E148" s="28" t="s">
        <v>173</v>
      </c>
      <c r="F148" s="17"/>
      <c r="G148" s="28" t="s">
        <v>133</v>
      </c>
      <c r="H148" s="17"/>
      <c r="I148" s="28" t="s">
        <v>174</v>
      </c>
      <c r="J148" s="17"/>
      <c r="K148" s="28" t="str">
        <f>CONCAT("Close: ", CONCAT(25+(5*FLOOR(Level/2,1)), " ft"))</f>
        <v>Close: 25 ft</v>
      </c>
      <c r="L148" s="17"/>
      <c r="M148" s="28" t="s">
        <v>237</v>
      </c>
      <c r="N148" s="17"/>
      <c r="O148" s="28" t="str">
        <f>CONCAT(Level, " rounds (D)
1 round/level")</f>
        <v>1 rounds (D)
1 round/level</v>
      </c>
      <c r="P148" s="17"/>
      <c r="Q148" s="28" t="s">
        <v>56</v>
      </c>
      <c r="R148" s="17"/>
      <c r="S148" s="28" t="s">
        <v>57</v>
      </c>
      <c r="T148" s="17"/>
      <c r="U148" s="79" t="s">
        <v>176</v>
      </c>
      <c r="V148" s="3"/>
      <c r="W148" s="3"/>
      <c r="X148" s="17"/>
    </row>
    <row r="149">
      <c r="A149" s="1"/>
      <c r="B149" s="82">
        <v>6.0</v>
      </c>
      <c r="C149" s="83" t="s">
        <v>445</v>
      </c>
      <c r="D149" s="23"/>
      <c r="E149" s="34" t="s">
        <v>396</v>
      </c>
      <c r="F149" s="23"/>
      <c r="G149" s="34" t="s">
        <v>53</v>
      </c>
      <c r="H149" s="23"/>
      <c r="I149" s="34" t="s">
        <v>54</v>
      </c>
      <c r="J149" s="23"/>
      <c r="K149" s="34" t="s">
        <v>446</v>
      </c>
      <c r="L149" s="23"/>
      <c r="M149" s="34" t="s">
        <v>447</v>
      </c>
      <c r="N149" s="23"/>
      <c r="O149" s="34" t="s">
        <v>174</v>
      </c>
      <c r="P149" s="23"/>
      <c r="Q149" s="34" t="s">
        <v>56</v>
      </c>
      <c r="R149" s="23"/>
      <c r="S149" s="34" t="s">
        <v>57</v>
      </c>
      <c r="T149" s="23"/>
      <c r="U149" s="81" t="s">
        <v>448</v>
      </c>
      <c r="V149" s="9"/>
      <c r="W149" s="9"/>
      <c r="X149" s="23"/>
    </row>
    <row r="150">
      <c r="A150" s="1"/>
      <c r="B150" s="25">
        <v>6.0</v>
      </c>
      <c r="C150" s="86" t="s">
        <v>449</v>
      </c>
      <c r="D150" s="17"/>
      <c r="E150" s="28" t="s">
        <v>450</v>
      </c>
      <c r="F150" s="17"/>
      <c r="G150" s="28" t="s">
        <v>133</v>
      </c>
      <c r="H150" s="17"/>
      <c r="I150" s="28" t="s">
        <v>54</v>
      </c>
      <c r="J150" s="17"/>
      <c r="K150" s="28" t="str">
        <f>CONCAT("Medium: ", CONCAT(100+(10*Level), " ft"))</f>
        <v>Medium: 110 ft</v>
      </c>
      <c r="L150" s="17"/>
      <c r="M150" s="28" t="str">
        <f>CONCAT("Stone wall whose area is up to ",CONCAT(Level, " five ft sqaures, 1 five ft sqaure/level"))</f>
        <v>Stone wall whose area is up to 1 five ft sqaures, 1 five ft sqaure/level</v>
      </c>
      <c r="N150" s="17"/>
      <c r="O150" s="28" t="s">
        <v>55</v>
      </c>
      <c r="P150" s="17"/>
      <c r="Q150" s="28" t="s">
        <v>260</v>
      </c>
      <c r="R150" s="17"/>
      <c r="S150" s="28" t="s">
        <v>57</v>
      </c>
      <c r="T150" s="17"/>
      <c r="U150" s="79" t="s">
        <v>451</v>
      </c>
      <c r="V150" s="3"/>
      <c r="W150" s="3"/>
      <c r="X150" s="17"/>
    </row>
    <row r="151">
      <c r="A151" s="1"/>
      <c r="B151" s="82">
        <v>7.0</v>
      </c>
      <c r="C151" s="83" t="s">
        <v>452</v>
      </c>
      <c r="D151" s="23"/>
      <c r="E151" s="34" t="s">
        <v>94</v>
      </c>
      <c r="F151" s="23"/>
      <c r="G151" s="34" t="s">
        <v>75</v>
      </c>
      <c r="H151" s="23"/>
      <c r="I151" s="34" t="s">
        <v>54</v>
      </c>
      <c r="J151" s="23"/>
      <c r="K151" s="34" t="str">
        <f>CONCAT("Close: ", CONCAT(25+(5*FLOOR(Level/2,1)), " ft"))</f>
        <v>Close: 25 ft</v>
      </c>
      <c r="L151" s="23"/>
      <c r="M151" s="34" t="str">
        <f>CONCAT(MAX(FLOOR(Level/3,1),1)," large plants, 1 plant per 3 levels, or all plants within range
see text")</f>
        <v>1 large plants, 1 plant per 3 levels, or all plants within range
see text</v>
      </c>
      <c r="N151" s="23"/>
      <c r="O151" s="34" t="str">
        <f>CONCAT(Level, CONCAT(" rounds, 1 round/level or ",CONCAT(Level, " hours, 1 hour/level
see text")))</f>
        <v>1 rounds, 1 round/level or 1 hours, 1 hour/level
see text</v>
      </c>
      <c r="P151" s="23"/>
      <c r="Q151" s="34" t="s">
        <v>56</v>
      </c>
      <c r="R151" s="23"/>
      <c r="S151" s="34" t="s">
        <v>57</v>
      </c>
      <c r="T151" s="23"/>
      <c r="U151" s="81" t="s">
        <v>453</v>
      </c>
      <c r="V151" s="9"/>
      <c r="W151" s="9"/>
      <c r="X151" s="23"/>
    </row>
    <row r="152">
      <c r="A152" s="1"/>
      <c r="B152" s="25">
        <v>7.0</v>
      </c>
      <c r="C152" s="86" t="s">
        <v>454</v>
      </c>
      <c r="D152" s="17"/>
      <c r="E152" s="28" t="s">
        <v>94</v>
      </c>
      <c r="F152" s="17"/>
      <c r="G152" s="28" t="s">
        <v>104</v>
      </c>
      <c r="H152" s="17"/>
      <c r="I152" s="28" t="s">
        <v>174</v>
      </c>
      <c r="J152" s="17"/>
      <c r="K152" s="28" t="s">
        <v>60</v>
      </c>
      <c r="L152" s="17"/>
      <c r="M152" s="28" t="s">
        <v>455</v>
      </c>
      <c r="N152" s="17"/>
      <c r="O152" s="28" t="str">
        <f>CONCAT(Level, " hours (D)
1 hour/level")</f>
        <v>1 hours (D)
1 hour/level</v>
      </c>
      <c r="P152" s="17"/>
      <c r="Q152" s="28" t="s">
        <v>56</v>
      </c>
      <c r="R152" s="17"/>
      <c r="S152" s="28" t="s">
        <v>57</v>
      </c>
      <c r="T152" s="17"/>
      <c r="U152" s="79" t="s">
        <v>456</v>
      </c>
      <c r="V152" s="3"/>
      <c r="W152" s="3"/>
      <c r="X152" s="17"/>
    </row>
    <row r="153">
      <c r="A153" s="1"/>
      <c r="B153" s="82">
        <v>7.0</v>
      </c>
      <c r="C153" s="83" t="s">
        <v>457</v>
      </c>
      <c r="D153" s="23"/>
      <c r="E153" s="34" t="s">
        <v>94</v>
      </c>
      <c r="F153" s="23"/>
      <c r="G153" s="34" t="s">
        <v>53</v>
      </c>
      <c r="H153" s="23"/>
      <c r="I153" s="34" t="s">
        <v>458</v>
      </c>
      <c r="J153" s="23"/>
      <c r="K153" s="34" t="s">
        <v>459</v>
      </c>
      <c r="L153" s="23"/>
      <c r="M153" s="34" t="s">
        <v>460</v>
      </c>
      <c r="N153" s="23"/>
      <c r="O153" s="34" t="s">
        <v>461</v>
      </c>
      <c r="P153" s="23"/>
      <c r="Q153" s="34" t="s">
        <v>56</v>
      </c>
      <c r="R153" s="23"/>
      <c r="S153" s="34" t="s">
        <v>57</v>
      </c>
      <c r="T153" s="23"/>
      <c r="U153" s="81" t="s">
        <v>462</v>
      </c>
      <c r="V153" s="9"/>
      <c r="W153" s="9"/>
      <c r="X153" s="23"/>
    </row>
    <row r="154">
      <c r="A154" s="1"/>
      <c r="B154" s="25">
        <v>7.0</v>
      </c>
      <c r="C154" s="86" t="s">
        <v>463</v>
      </c>
      <c r="D154" s="17"/>
      <c r="E154" s="28" t="s">
        <v>239</v>
      </c>
      <c r="F154" s="17"/>
      <c r="G154" s="28" t="s">
        <v>53</v>
      </c>
      <c r="H154" s="17"/>
      <c r="I154" s="28" t="s">
        <v>174</v>
      </c>
      <c r="J154" s="17"/>
      <c r="K154" s="28" t="str">
        <f>CONCAT("Close: ", CONCAT(25+(5*FLOOR(Level/2,1)), " ft"))</f>
        <v>Close: 25 ft</v>
      </c>
      <c r="L154" s="17"/>
      <c r="M154" s="28" t="str">
        <f>CONCAT(MAX(FLOOR(Level/2,1),1)," swarms of centipedes, 1 swarm per 2 levels")</f>
        <v>1 swarms of centipedes, 1 swarm per 2 levels</v>
      </c>
      <c r="N154" s="17"/>
      <c r="O154" s="28" t="str">
        <f>CONCAT(Level, " minutes
1 minute/level")</f>
        <v>1 minutes
1 minute/level</v>
      </c>
      <c r="P154" s="17"/>
      <c r="Q154" s="28" t="s">
        <v>56</v>
      </c>
      <c r="R154" s="17"/>
      <c r="S154" s="28" t="s">
        <v>57</v>
      </c>
      <c r="T154" s="17"/>
      <c r="U154" s="79" t="s">
        <v>464</v>
      </c>
      <c r="V154" s="3"/>
      <c r="W154" s="3"/>
      <c r="X154" s="17"/>
    </row>
    <row r="155">
      <c r="A155" s="1"/>
      <c r="B155" s="82">
        <v>7.0</v>
      </c>
      <c r="C155" s="80" t="s">
        <v>465</v>
      </c>
      <c r="D155" s="23"/>
      <c r="E155" s="34" t="s">
        <v>59</v>
      </c>
      <c r="F155" s="23"/>
      <c r="G155" s="34" t="s">
        <v>53</v>
      </c>
      <c r="H155" s="23"/>
      <c r="I155" s="34" t="s">
        <v>54</v>
      </c>
      <c r="J155" s="23"/>
      <c r="K155" s="34" t="str">
        <f>CONCAT("Close: ", CONCAT(25+(5*FLOOR(Level/2,1)), " ft"))</f>
        <v>Close: 25 ft</v>
      </c>
      <c r="L155" s="23"/>
      <c r="M155" s="34" t="str">
        <f>CONCAT(Level," creatures, 1 creature/level, no 2 of which can be more than 30 ft apart")</f>
        <v>1 creatures, 1 creature/level, no 2 of which can be more than 30 ft apart</v>
      </c>
      <c r="N155" s="23"/>
      <c r="O155" s="34" t="s">
        <v>55</v>
      </c>
      <c r="P155" s="23"/>
      <c r="Q155" s="34" t="s">
        <v>411</v>
      </c>
      <c r="R155" s="23"/>
      <c r="S155" s="34" t="s">
        <v>412</v>
      </c>
      <c r="T155" s="23"/>
      <c r="U155" s="81" t="str">
        <f>CONCAT("Cures 2d8+",CONCAT(MIN(Level,30)," damage for many creatures, +1/level, max +30"))</f>
        <v>Cures 2d8+1 damage for many creatures, +1/level, max +30</v>
      </c>
      <c r="V155" s="9"/>
      <c r="W155" s="9"/>
      <c r="X155" s="23"/>
    </row>
    <row r="156">
      <c r="A156" s="1"/>
      <c r="B156" s="25">
        <v>7.0</v>
      </c>
      <c r="C156" s="78" t="s">
        <v>466</v>
      </c>
      <c r="D156" s="17"/>
      <c r="E156" s="28" t="s">
        <v>164</v>
      </c>
      <c r="F156" s="17"/>
      <c r="G156" s="28" t="s">
        <v>53</v>
      </c>
      <c r="H156" s="17"/>
      <c r="I156" s="28" t="s">
        <v>174</v>
      </c>
      <c r="J156" s="17"/>
      <c r="K156" s="28" t="str">
        <f>CONCAT("Medium: ", CONCAT(100+(10*Level), " ft"))</f>
        <v>Medium: 110 ft</v>
      </c>
      <c r="L156" s="17"/>
      <c r="M156" s="28" t="str">
        <f>CONCAT(Level*2, " 10-ft. cubes, 2 per level.")</f>
        <v>2 10-ft. cubes, 2 per level.</v>
      </c>
      <c r="N156" s="17"/>
      <c r="O156" s="28" t="s">
        <v>55</v>
      </c>
      <c r="P156" s="17"/>
      <c r="Q156" s="28" t="s">
        <v>251</v>
      </c>
      <c r="R156" s="17"/>
      <c r="S156" s="28" t="s">
        <v>78</v>
      </c>
      <c r="T156" s="17"/>
      <c r="U156" s="79" t="str">
        <f>CONCAT("Deals ",CONCAT(MIN(Level, 20),"d6 fire damage, 1d6/level"))</f>
        <v>Deals 1d6 fire damage, 1d6/level</v>
      </c>
      <c r="V156" s="3"/>
      <c r="W156" s="3"/>
      <c r="X156" s="17"/>
    </row>
    <row r="157">
      <c r="A157" s="1"/>
      <c r="B157" s="82">
        <v>7.0</v>
      </c>
      <c r="C157" s="80" t="s">
        <v>467</v>
      </c>
      <c r="D157" s="23"/>
      <c r="E157" s="34" t="s">
        <v>59</v>
      </c>
      <c r="F157" s="23"/>
      <c r="G157" s="34" t="s">
        <v>53</v>
      </c>
      <c r="H157" s="23"/>
      <c r="I157" s="34" t="s">
        <v>54</v>
      </c>
      <c r="J157" s="23"/>
      <c r="K157" s="34" t="s">
        <v>60</v>
      </c>
      <c r="L157" s="23"/>
      <c r="M157" s="34" t="s">
        <v>129</v>
      </c>
      <c r="N157" s="23"/>
      <c r="O157" s="34" t="s">
        <v>55</v>
      </c>
      <c r="P157" s="23"/>
      <c r="Q157" s="34" t="s">
        <v>82</v>
      </c>
      <c r="R157" s="23"/>
      <c r="S157" s="34" t="s">
        <v>110</v>
      </c>
      <c r="T157" s="23"/>
      <c r="U157" s="81" t="str">
        <f>CONCAT("Cures ",CONCAT(Level*10," points of damage, 10 points/level, all diseases and medical conditions"))</f>
        <v>Cures 10 points of damage, 10 points/level, all diseases and medical conditions</v>
      </c>
      <c r="V157" s="9"/>
      <c r="W157" s="9"/>
      <c r="X157" s="23"/>
    </row>
    <row r="158">
      <c r="A158" s="1"/>
      <c r="B158" s="25">
        <v>7.0</v>
      </c>
      <c r="C158" s="78" t="s">
        <v>468</v>
      </c>
      <c r="D158" s="17"/>
      <c r="E158" s="28" t="s">
        <v>352</v>
      </c>
      <c r="F158" s="17"/>
      <c r="G158" s="28" t="s">
        <v>53</v>
      </c>
      <c r="H158" s="17"/>
      <c r="I158" s="28" t="s">
        <v>54</v>
      </c>
      <c r="J158" s="17"/>
      <c r="K158" s="28" t="s">
        <v>260</v>
      </c>
      <c r="L158" s="17"/>
      <c r="M158" s="28" t="s">
        <v>355</v>
      </c>
      <c r="N158" s="17"/>
      <c r="O158" s="28" t="str">
        <f>CONCAT(Level, " hours
1 hour/level")</f>
        <v>1 hours
1 hour/level</v>
      </c>
      <c r="P158" s="17"/>
      <c r="Q158" s="28" t="s">
        <v>121</v>
      </c>
      <c r="R158" s="17"/>
      <c r="S158" s="28" t="s">
        <v>78</v>
      </c>
      <c r="T158" s="17"/>
      <c r="U158" s="79" t="s">
        <v>469</v>
      </c>
      <c r="V158" s="3"/>
      <c r="W158" s="3"/>
      <c r="X158" s="17"/>
    </row>
    <row r="159">
      <c r="A159" s="1"/>
      <c r="B159" s="82">
        <v>7.0</v>
      </c>
      <c r="C159" s="83" t="s">
        <v>470</v>
      </c>
      <c r="D159" s="23"/>
      <c r="E159" s="34" t="s">
        <v>173</v>
      </c>
      <c r="F159" s="23"/>
      <c r="G159" s="34" t="s">
        <v>133</v>
      </c>
      <c r="H159" s="23"/>
      <c r="I159" s="34" t="s">
        <v>174</v>
      </c>
      <c r="J159" s="23"/>
      <c r="K159" s="34" t="str">
        <f>CONCAT("Close: ", CONCAT(25+(5*FLOOR(Level/2,1)), " ft"))</f>
        <v>Close: 25 ft</v>
      </c>
      <c r="L159" s="23"/>
      <c r="M159" s="34" t="s">
        <v>237</v>
      </c>
      <c r="N159" s="23"/>
      <c r="O159" s="34" t="str">
        <f>CONCAT(Level, " rounds (D)
1 round/level")</f>
        <v>1 rounds (D)
1 round/level</v>
      </c>
      <c r="P159" s="23"/>
      <c r="Q159" s="34" t="s">
        <v>56</v>
      </c>
      <c r="R159" s="23"/>
      <c r="S159" s="34" t="s">
        <v>57</v>
      </c>
      <c r="T159" s="23"/>
      <c r="U159" s="81" t="s">
        <v>176</v>
      </c>
      <c r="V159" s="9"/>
      <c r="W159" s="9"/>
      <c r="X159" s="23"/>
    </row>
    <row r="160">
      <c r="A160" s="1"/>
      <c r="B160" s="25">
        <v>7.0</v>
      </c>
      <c r="C160" s="86" t="s">
        <v>471</v>
      </c>
      <c r="D160" s="17"/>
      <c r="E160" s="28" t="s">
        <v>74</v>
      </c>
      <c r="F160" s="17"/>
      <c r="G160" s="28" t="s">
        <v>133</v>
      </c>
      <c r="H160" s="17"/>
      <c r="I160" s="28" t="s">
        <v>54</v>
      </c>
      <c r="J160" s="17"/>
      <c r="K160" s="28" t="s">
        <v>67</v>
      </c>
      <c r="L160" s="17"/>
      <c r="M160" s="28" t="s">
        <v>472</v>
      </c>
      <c r="N160" s="17"/>
      <c r="O160" s="28" t="str">
        <f>CONCAT(Level, " rounds or until all beams are exhausted
1 round/level")</f>
        <v>1 rounds or until all beams are exhausted
1 round/level</v>
      </c>
      <c r="P160" s="17"/>
      <c r="Q160" s="28" t="s">
        <v>473</v>
      </c>
      <c r="R160" s="17"/>
      <c r="S160" s="28" t="s">
        <v>78</v>
      </c>
      <c r="T160" s="17"/>
      <c r="U160" s="79" t="s">
        <v>474</v>
      </c>
      <c r="V160" s="3"/>
      <c r="W160" s="3"/>
      <c r="X160" s="17"/>
    </row>
    <row r="161">
      <c r="A161" s="1"/>
      <c r="B161" s="82">
        <v>7.0</v>
      </c>
      <c r="C161" s="83" t="s">
        <v>475</v>
      </c>
      <c r="D161" s="23"/>
      <c r="E161" s="34" t="s">
        <v>94</v>
      </c>
      <c r="F161" s="23"/>
      <c r="G161" s="34" t="s">
        <v>133</v>
      </c>
      <c r="H161" s="23"/>
      <c r="I161" s="34" t="s">
        <v>54</v>
      </c>
      <c r="J161" s="23"/>
      <c r="K161" s="34" t="str">
        <f>CONCAT("Long: ", CONCAT(400+(40*Level), " ft"))</f>
        <v>Long: 440 ft</v>
      </c>
      <c r="L161" s="23"/>
      <c r="M161" s="34" t="s">
        <v>476</v>
      </c>
      <c r="N161" s="23"/>
      <c r="O161" s="34" t="s">
        <v>55</v>
      </c>
      <c r="P161" s="23"/>
      <c r="Q161" s="34" t="s">
        <v>56</v>
      </c>
      <c r="R161" s="23"/>
      <c r="S161" s="34" t="s">
        <v>477</v>
      </c>
      <c r="T161" s="23"/>
      <c r="U161" s="81" t="s">
        <v>478</v>
      </c>
      <c r="V161" s="9"/>
      <c r="W161" s="9"/>
      <c r="X161" s="23"/>
    </row>
    <row r="162">
      <c r="A162" s="1"/>
      <c r="B162" s="25">
        <v>7.0</v>
      </c>
      <c r="C162" s="86" t="s">
        <v>479</v>
      </c>
      <c r="D162" s="17"/>
      <c r="E162" s="28" t="s">
        <v>66</v>
      </c>
      <c r="F162" s="17"/>
      <c r="G162" s="28" t="s">
        <v>389</v>
      </c>
      <c r="H162" s="17"/>
      <c r="I162" s="28" t="s">
        <v>54</v>
      </c>
      <c r="J162" s="17"/>
      <c r="K162" s="28" t="s">
        <v>60</v>
      </c>
      <c r="L162" s="17"/>
      <c r="M162" s="28" t="s">
        <v>129</v>
      </c>
      <c r="N162" s="17"/>
      <c r="O162" s="28" t="str">
        <f>CONCAT(Level, " minutes
1 minute/level")</f>
        <v>1 minutes
1 minute/level</v>
      </c>
      <c r="P162" s="17"/>
      <c r="Q162" s="28" t="s">
        <v>480</v>
      </c>
      <c r="R162" s="17"/>
      <c r="S162" s="28" t="s">
        <v>481</v>
      </c>
      <c r="T162" s="17"/>
      <c r="U162" s="79" t="s">
        <v>482</v>
      </c>
      <c r="V162" s="3"/>
      <c r="W162" s="3"/>
      <c r="X162" s="17"/>
    </row>
    <row r="163">
      <c r="A163" s="1"/>
      <c r="B163" s="82">
        <v>7.0</v>
      </c>
      <c r="C163" s="83" t="s">
        <v>483</v>
      </c>
      <c r="D163" s="23"/>
      <c r="E163" s="34" t="s">
        <v>307</v>
      </c>
      <c r="F163" s="23"/>
      <c r="G163" s="34" t="s">
        <v>133</v>
      </c>
      <c r="H163" s="23"/>
      <c r="I163" s="34" t="s">
        <v>54</v>
      </c>
      <c r="J163" s="23"/>
      <c r="K163" s="34" t="s">
        <v>60</v>
      </c>
      <c r="L163" s="23"/>
      <c r="M163" s="34" t="str">
        <f>CONCAT("You and ",CONCAT(MAX(FLOOR(Level/3,1),1), " touched creatures, 1 creature per 3 levels"))</f>
        <v>You and 1 touched creatures, 1 creature per 3 levels</v>
      </c>
      <c r="N163" s="23"/>
      <c r="O163" s="34" t="str">
        <f>CONCAT(Level, " hours (D)
1 hour/level
see text")</f>
        <v>1 hours (D)
1 hour/level
see text</v>
      </c>
      <c r="P163" s="23"/>
      <c r="Q163" s="34" t="s">
        <v>484</v>
      </c>
      <c r="R163" s="23"/>
      <c r="S163" s="34" t="s">
        <v>485</v>
      </c>
      <c r="T163" s="23"/>
      <c r="U163" s="81" t="s">
        <v>486</v>
      </c>
      <c r="V163" s="9"/>
      <c r="W163" s="9"/>
      <c r="X163" s="23"/>
    </row>
    <row r="164">
      <c r="A164" s="1"/>
      <c r="B164" s="25">
        <v>8.0</v>
      </c>
      <c r="C164" s="86" t="s">
        <v>487</v>
      </c>
      <c r="D164" s="17"/>
      <c r="E164" s="28" t="s">
        <v>94</v>
      </c>
      <c r="F164" s="17"/>
      <c r="G164" s="28" t="s">
        <v>133</v>
      </c>
      <c r="H164" s="17"/>
      <c r="I164" s="28" t="s">
        <v>54</v>
      </c>
      <c r="J164" s="17"/>
      <c r="K164" s="28" t="str">
        <f>CONCAT("Close: ", CONCAT(25+(5*FLOOR(Level/2,1)), " ft"))</f>
        <v>Close: 25 ft</v>
      </c>
      <c r="L164" s="17"/>
      <c r="M164" s="28" t="str">
        <f>CONCAT("Up to ",CONCAT(Level, " willing creatures, 1 creature/level, all within 30 ft of each other"))</f>
        <v>Up to 1 willing creatures, 1 creature/level, all within 30 ft of each other</v>
      </c>
      <c r="N164" s="17"/>
      <c r="O164" s="28" t="str">
        <f>CONCAT(Level, " hours (D)
1 hour/level")</f>
        <v>1 hours (D)
1 hour/level</v>
      </c>
      <c r="P164" s="17"/>
      <c r="Q164" s="28" t="s">
        <v>179</v>
      </c>
      <c r="R164" s="17"/>
      <c r="S164" s="28" t="s">
        <v>110</v>
      </c>
      <c r="T164" s="17"/>
      <c r="U164" s="79" t="str">
        <f>CONCAT(Level," allies polymorph into chosen animal, 1 ally/level ")</f>
        <v>1 allies polymorph into chosen animal, 1 ally/level </v>
      </c>
      <c r="V164" s="3"/>
      <c r="W164" s="3"/>
      <c r="X164" s="17"/>
    </row>
    <row r="165">
      <c r="A165" s="1"/>
      <c r="B165" s="82">
        <v>8.0</v>
      </c>
      <c r="C165" s="83" t="s">
        <v>488</v>
      </c>
      <c r="D165" s="23"/>
      <c r="E165" s="34" t="s">
        <v>94</v>
      </c>
      <c r="F165" s="23"/>
      <c r="G165" s="34" t="s">
        <v>133</v>
      </c>
      <c r="H165" s="23"/>
      <c r="I165" s="34" t="s">
        <v>54</v>
      </c>
      <c r="J165" s="23"/>
      <c r="K165" s="34" t="str">
        <f>CONCAT("Close: ", CONCAT(25+(5*FLOOR(Level/2,1)), " ft"))</f>
        <v>Close: 25 ft</v>
      </c>
      <c r="L165" s="23"/>
      <c r="M165" s="34" t="str">
        <f>CONCAT("Up to ",CONCAT(Level*2, " HD of plant creatures, 2 HD/level, all within 30 ft of each other"))</f>
        <v>Up to 2 HD of plant creatures, 2 HD/level, all within 30 ft of each other</v>
      </c>
      <c r="N165" s="23"/>
      <c r="O165" s="34" t="str">
        <f>CONCAT(Level, " minutes
1 minute/level")</f>
        <v>1 minutes
1 minute/level</v>
      </c>
      <c r="P165" s="23"/>
      <c r="Q165" s="34" t="s">
        <v>121</v>
      </c>
      <c r="R165" s="23"/>
      <c r="S165" s="34" t="s">
        <v>57</v>
      </c>
      <c r="T165" s="23"/>
      <c r="U165" s="81" t="s">
        <v>489</v>
      </c>
      <c r="V165" s="9"/>
      <c r="W165" s="9"/>
      <c r="X165" s="23"/>
    </row>
    <row r="166">
      <c r="A166" s="1"/>
      <c r="B166" s="25">
        <v>8.0</v>
      </c>
      <c r="C166" s="78" t="s">
        <v>490</v>
      </c>
      <c r="D166" s="17"/>
      <c r="E166" s="28" t="s">
        <v>59</v>
      </c>
      <c r="F166" s="17"/>
      <c r="G166" s="28" t="s">
        <v>53</v>
      </c>
      <c r="H166" s="17"/>
      <c r="I166" s="28" t="s">
        <v>54</v>
      </c>
      <c r="J166" s="17"/>
      <c r="K166" s="28" t="str">
        <f>CONCAT("Close: ", CONCAT(25+(5*FLOOR(Level/2,1)), " ft"))</f>
        <v>Close: 25 ft</v>
      </c>
      <c r="L166" s="17"/>
      <c r="M166" s="28" t="str">
        <f>CONCAT(Level," creatures, 1 creature/level, no 2 of which can be more than 30 ft apart")</f>
        <v>1 creatures, 1 creature/level, no 2 of which can be more than 30 ft apart</v>
      </c>
      <c r="N166" s="17"/>
      <c r="O166" s="28" t="s">
        <v>55</v>
      </c>
      <c r="P166" s="17"/>
      <c r="Q166" s="28" t="s">
        <v>411</v>
      </c>
      <c r="R166" s="17"/>
      <c r="S166" s="28" t="s">
        <v>412</v>
      </c>
      <c r="T166" s="17"/>
      <c r="U166" s="79" t="str">
        <f>CONCAT("Cures 3d8+",CONCAT(MIN(Level,35)," damage for many creatures, +1/level, max +35"))</f>
        <v>Cures 3d8+1 damage for many creatures, +1/level, max +35</v>
      </c>
      <c r="V166" s="3"/>
      <c r="W166" s="3"/>
      <c r="X166" s="17"/>
    </row>
    <row r="167">
      <c r="A167" s="1"/>
      <c r="B167" s="82">
        <v>8.0</v>
      </c>
      <c r="C167" s="80" t="s">
        <v>491</v>
      </c>
      <c r="D167" s="23"/>
      <c r="E167" s="34" t="s">
        <v>492</v>
      </c>
      <c r="F167" s="23"/>
      <c r="G167" s="34" t="s">
        <v>53</v>
      </c>
      <c r="H167" s="23"/>
      <c r="I167" s="34" t="s">
        <v>54</v>
      </c>
      <c r="J167" s="23"/>
      <c r="K167" s="34" t="str">
        <f>CONCAT("Long: ", CONCAT(400+(40*Level), " ft"))</f>
        <v>Long: 440 ft</v>
      </c>
      <c r="L167" s="23"/>
      <c r="M167" s="34" t="s">
        <v>493</v>
      </c>
      <c r="N167" s="23"/>
      <c r="O167" s="34" t="s">
        <v>174</v>
      </c>
      <c r="P167" s="23"/>
      <c r="Q167" s="34" t="s">
        <v>260</v>
      </c>
      <c r="R167" s="23"/>
      <c r="S167" s="34" t="s">
        <v>57</v>
      </c>
      <c r="T167" s="23"/>
      <c r="U167" s="81" t="s">
        <v>494</v>
      </c>
      <c r="V167" s="9"/>
      <c r="W167" s="9"/>
      <c r="X167" s="23"/>
    </row>
    <row r="168">
      <c r="A168" s="1"/>
      <c r="B168" s="25">
        <v>8.0</v>
      </c>
      <c r="C168" s="86" t="s">
        <v>495</v>
      </c>
      <c r="D168" s="17"/>
      <c r="E168" s="28" t="s">
        <v>496</v>
      </c>
      <c r="F168" s="17"/>
      <c r="G168" s="28" t="s">
        <v>53</v>
      </c>
      <c r="H168" s="17"/>
      <c r="I168" s="28" t="s">
        <v>54</v>
      </c>
      <c r="J168" s="17"/>
      <c r="K168" s="28" t="str">
        <f>CONCAT("Close: ", CONCAT(25+(5*FLOOR(Level/2,1)), " ft"))</f>
        <v>Close: 25 ft</v>
      </c>
      <c r="L168" s="17"/>
      <c r="M168" s="28" t="s">
        <v>265</v>
      </c>
      <c r="N168" s="17"/>
      <c r="O168" s="28" t="s">
        <v>55</v>
      </c>
      <c r="P168" s="17"/>
      <c r="Q168" s="28" t="s">
        <v>497</v>
      </c>
      <c r="R168" s="17"/>
      <c r="S168" s="28" t="s">
        <v>78</v>
      </c>
      <c r="T168" s="17"/>
      <c r="U168" s="79" t="s">
        <v>498</v>
      </c>
      <c r="V168" s="3"/>
      <c r="W168" s="3"/>
      <c r="X168" s="17"/>
    </row>
    <row r="169">
      <c r="A169" s="1"/>
      <c r="B169" s="82">
        <v>8.0</v>
      </c>
      <c r="C169" s="83" t="s">
        <v>499</v>
      </c>
      <c r="D169" s="23"/>
      <c r="E169" s="34" t="s">
        <v>500</v>
      </c>
      <c r="F169" s="23"/>
      <c r="G169" s="34" t="s">
        <v>53</v>
      </c>
      <c r="H169" s="23"/>
      <c r="I169" s="34" t="s">
        <v>54</v>
      </c>
      <c r="J169" s="23"/>
      <c r="K169" s="34" t="s">
        <v>67</v>
      </c>
      <c r="L169" s="23"/>
      <c r="M169" s="34" t="s">
        <v>501</v>
      </c>
      <c r="N169" s="23"/>
      <c r="O169" s="34" t="str">
        <f>CONCAT(Level, " rounds (D)
1 round/level")</f>
        <v>1 rounds (D)
1 round/level</v>
      </c>
      <c r="P169" s="23"/>
      <c r="Q169" s="34" t="s">
        <v>56</v>
      </c>
      <c r="R169" s="23"/>
      <c r="S169" s="34" t="s">
        <v>57</v>
      </c>
      <c r="T169" s="23"/>
      <c r="U169" s="81" t="s">
        <v>502</v>
      </c>
      <c r="V169" s="9"/>
      <c r="W169" s="9"/>
      <c r="X169" s="23"/>
    </row>
    <row r="170">
      <c r="A170" s="1"/>
      <c r="B170" s="25">
        <v>8.0</v>
      </c>
      <c r="C170" s="86" t="s">
        <v>503</v>
      </c>
      <c r="D170" s="17"/>
      <c r="E170" s="28" t="s">
        <v>94</v>
      </c>
      <c r="F170" s="17"/>
      <c r="G170" s="28" t="s">
        <v>133</v>
      </c>
      <c r="H170" s="17"/>
      <c r="I170" s="28" t="s">
        <v>54</v>
      </c>
      <c r="J170" s="17"/>
      <c r="K170" s="28" t="str">
        <f>CONCAT("Medium: ", CONCAT(100+(10*Level), " ft"))</f>
        <v>Medium: 110 ft</v>
      </c>
      <c r="L170" s="17"/>
      <c r="M170" s="28" t="str">
        <f>CONCAT("Up to ",CONCAT(MAX(FLOOR(Level/2,1),1), " ten ft cubes, 1 cube per 2 levels"))</f>
        <v>Up to 1 ten ft cubes, 1 cube per 2 levels</v>
      </c>
      <c r="N170" s="17"/>
      <c r="O170" s="28" t="str">
        <f>CONCAT(Level, " rounds (D)
1 round/level")</f>
        <v>1 rounds (D)
1 round/level</v>
      </c>
      <c r="P170" s="17"/>
      <c r="Q170" s="28" t="s">
        <v>179</v>
      </c>
      <c r="R170" s="17"/>
      <c r="S170" s="28" t="s">
        <v>57</v>
      </c>
      <c r="T170" s="17"/>
      <c r="U170" s="79" t="s">
        <v>504</v>
      </c>
      <c r="V170" s="3"/>
      <c r="W170" s="3"/>
      <c r="X170" s="17"/>
    </row>
    <row r="171">
      <c r="A171" s="1"/>
      <c r="B171" s="82">
        <v>8.0</v>
      </c>
      <c r="C171" s="83" t="s">
        <v>505</v>
      </c>
      <c r="D171" s="23"/>
      <c r="E171" s="34" t="s">
        <v>173</v>
      </c>
      <c r="F171" s="23"/>
      <c r="G171" s="34" t="s">
        <v>133</v>
      </c>
      <c r="H171" s="23"/>
      <c r="I171" s="34" t="s">
        <v>174</v>
      </c>
      <c r="J171" s="23"/>
      <c r="K171" s="34" t="str">
        <f>CONCAT("Close: ", CONCAT(25+(5*FLOOR(Level/2,1)), " ft"))</f>
        <v>Close: 25 ft</v>
      </c>
      <c r="L171" s="23"/>
      <c r="M171" s="34" t="s">
        <v>237</v>
      </c>
      <c r="N171" s="23"/>
      <c r="O171" s="34" t="str">
        <f>CONCAT(Level, " rounds (D)
1 round/level")</f>
        <v>1 rounds (D)
1 round/level</v>
      </c>
      <c r="P171" s="23"/>
      <c r="Q171" s="34" t="s">
        <v>56</v>
      </c>
      <c r="R171" s="23"/>
      <c r="S171" s="34" t="s">
        <v>57</v>
      </c>
      <c r="T171" s="23"/>
      <c r="U171" s="81" t="s">
        <v>176</v>
      </c>
      <c r="V171" s="9"/>
      <c r="W171" s="9"/>
      <c r="X171" s="23"/>
    </row>
    <row r="172">
      <c r="A172" s="1"/>
      <c r="B172" s="25">
        <v>8.0</v>
      </c>
      <c r="C172" s="86" t="s">
        <v>506</v>
      </c>
      <c r="D172" s="17"/>
      <c r="E172" s="28" t="s">
        <v>74</v>
      </c>
      <c r="F172" s="17"/>
      <c r="G172" s="28" t="s">
        <v>133</v>
      </c>
      <c r="H172" s="17"/>
      <c r="I172" s="28" t="s">
        <v>54</v>
      </c>
      <c r="J172" s="17"/>
      <c r="K172" s="28" t="str">
        <f>CONCAT("Long: ", CONCAT(400+(40*Level), " ft"))</f>
        <v>Long: 440 ft</v>
      </c>
      <c r="L172" s="17"/>
      <c r="M172" s="28" t="s">
        <v>507</v>
      </c>
      <c r="N172" s="17"/>
      <c r="O172" s="28" t="s">
        <v>55</v>
      </c>
      <c r="P172" s="17"/>
      <c r="Q172" s="28" t="s">
        <v>135</v>
      </c>
      <c r="R172" s="17"/>
      <c r="S172" s="28" t="s">
        <v>78</v>
      </c>
      <c r="T172" s="17"/>
      <c r="U172" s="79" t="s">
        <v>508</v>
      </c>
      <c r="V172" s="3"/>
      <c r="W172" s="3"/>
      <c r="X172" s="17"/>
    </row>
    <row r="173">
      <c r="A173" s="1"/>
      <c r="B173" s="82">
        <v>8.0</v>
      </c>
      <c r="C173" s="83" t="s">
        <v>509</v>
      </c>
      <c r="D173" s="23"/>
      <c r="E173" s="34" t="s">
        <v>215</v>
      </c>
      <c r="F173" s="23"/>
      <c r="G173" s="34" t="s">
        <v>133</v>
      </c>
      <c r="H173" s="23"/>
      <c r="I173" s="34" t="s">
        <v>54</v>
      </c>
      <c r="J173" s="23"/>
      <c r="K173" s="34" t="str">
        <f>CONCAT("Long: ", CONCAT(400+(40*Level), " ft"))</f>
        <v>Long: 440 ft</v>
      </c>
      <c r="L173" s="23"/>
      <c r="M173" s="34" t="s">
        <v>510</v>
      </c>
      <c r="N173" s="23"/>
      <c r="O173" s="34" t="str">
        <f>CONCAT(Level, " rounds (D)
1 round/level")</f>
        <v>1 rounds (D)
1 round/level</v>
      </c>
      <c r="P173" s="23"/>
      <c r="Q173" s="34" t="s">
        <v>511</v>
      </c>
      <c r="R173" s="23"/>
      <c r="S173" s="34" t="s">
        <v>78</v>
      </c>
      <c r="T173" s="23"/>
      <c r="U173" s="81" t="s">
        <v>512</v>
      </c>
      <c r="V173" s="9"/>
      <c r="W173" s="9"/>
      <c r="X173" s="23"/>
    </row>
    <row r="174">
      <c r="A174" s="1"/>
      <c r="B174" s="25">
        <v>8.0</v>
      </c>
      <c r="C174" s="86" t="s">
        <v>513</v>
      </c>
      <c r="D174" s="17"/>
      <c r="E174" s="28" t="s">
        <v>396</v>
      </c>
      <c r="F174" s="17"/>
      <c r="G174" s="28" t="s">
        <v>75</v>
      </c>
      <c r="H174" s="17"/>
      <c r="I174" s="28" t="s">
        <v>54</v>
      </c>
      <c r="J174" s="17"/>
      <c r="K174" s="28" t="s">
        <v>446</v>
      </c>
      <c r="L174" s="17"/>
      <c r="M174" s="28" t="s">
        <v>514</v>
      </c>
      <c r="N174" s="17"/>
      <c r="O174" s="28" t="s">
        <v>55</v>
      </c>
      <c r="P174" s="17"/>
      <c r="Q174" s="28" t="s">
        <v>515</v>
      </c>
      <c r="R174" s="17"/>
      <c r="S174" s="28" t="s">
        <v>516</v>
      </c>
      <c r="T174" s="17"/>
      <c r="U174" s="79" t="s">
        <v>517</v>
      </c>
      <c r="V174" s="3"/>
      <c r="W174" s="3"/>
      <c r="X174" s="17"/>
    </row>
    <row r="175">
      <c r="A175" s="1"/>
      <c r="B175" s="82">
        <v>9.0</v>
      </c>
      <c r="C175" s="83" t="s">
        <v>518</v>
      </c>
      <c r="D175" s="23"/>
      <c r="E175" s="34" t="s">
        <v>115</v>
      </c>
      <c r="F175" s="23"/>
      <c r="G175" s="34" t="s">
        <v>133</v>
      </c>
      <c r="H175" s="23"/>
      <c r="I175" s="34" t="s">
        <v>354</v>
      </c>
      <c r="J175" s="23"/>
      <c r="K175" s="34" t="str">
        <f>CONCAT("Close: ", CONCAT(25+(5*FLOOR(Level/2,1)), " ft"))</f>
        <v>Close: 25 ft</v>
      </c>
      <c r="L175" s="23"/>
      <c r="M175" s="34" t="str">
        <f>CONCAT("One location (up to ",CONCAT(Level, " ten ft cubes, 1 cube/level) or one object"))</f>
        <v>One location (up to 1 ten ft cubes, 1 cube/level) or one object</v>
      </c>
      <c r="N175" s="23"/>
      <c r="O175" s="34" t="str">
        <f>CONCAT(Level*2, " hours (D)
2 hours/level")</f>
        <v>2 hours (D)
2 hours/level</v>
      </c>
      <c r="P175" s="23"/>
      <c r="Q175" s="34" t="s">
        <v>519</v>
      </c>
      <c r="R175" s="23"/>
      <c r="S175" s="34" t="s">
        <v>78</v>
      </c>
      <c r="T175" s="23"/>
      <c r="U175" s="81" t="s">
        <v>520</v>
      </c>
      <c r="V175" s="9"/>
      <c r="W175" s="9"/>
      <c r="X175" s="23"/>
    </row>
    <row r="176">
      <c r="A176" s="1"/>
      <c r="B176" s="25">
        <v>9.0</v>
      </c>
      <c r="C176" s="78" t="s">
        <v>521</v>
      </c>
      <c r="D176" s="17"/>
      <c r="E176" s="28" t="s">
        <v>59</v>
      </c>
      <c r="F176" s="17"/>
      <c r="G176" s="28" t="s">
        <v>53</v>
      </c>
      <c r="H176" s="17"/>
      <c r="I176" s="28" t="s">
        <v>54</v>
      </c>
      <c r="J176" s="17"/>
      <c r="K176" s="28" t="str">
        <f>CONCAT("Close: ", CONCAT(25+(5*FLOOR(Level/2,1)), " ft"))</f>
        <v>Close: 25 ft</v>
      </c>
      <c r="L176" s="17"/>
      <c r="M176" s="28" t="str">
        <f>CONCAT(Level," creatures, 1 creature/level, no 2 of which can be more than 30 ft apart")</f>
        <v>1 creatures, 1 creature/level, no 2 of which can be more than 30 ft apart</v>
      </c>
      <c r="N176" s="17"/>
      <c r="O176" s="28" t="s">
        <v>55</v>
      </c>
      <c r="P176" s="17"/>
      <c r="Q176" s="28" t="s">
        <v>411</v>
      </c>
      <c r="R176" s="17"/>
      <c r="S176" s="28" t="s">
        <v>412</v>
      </c>
      <c r="T176" s="17"/>
      <c r="U176" s="79" t="str">
        <f>CONCAT("Cures 4d8+",CONCAT(MIN(Level,40)," damage for many creatures, +1/level, max +40"))</f>
        <v>Cures 4d8+1 damage for many creatures, +1/level, max +40</v>
      </c>
      <c r="V176" s="3"/>
      <c r="W176" s="3"/>
      <c r="X176" s="17"/>
    </row>
    <row r="177">
      <c r="A177" s="1"/>
      <c r="B177" s="82">
        <v>9.0</v>
      </c>
      <c r="C177" s="80" t="s">
        <v>522</v>
      </c>
      <c r="D177" s="23"/>
      <c r="E177" s="34" t="s">
        <v>173</v>
      </c>
      <c r="F177" s="23"/>
      <c r="G177" s="34" t="s">
        <v>53</v>
      </c>
      <c r="H177" s="23"/>
      <c r="I177" s="34" t="s">
        <v>202</v>
      </c>
      <c r="J177" s="23"/>
      <c r="K177" s="34" t="str">
        <f>CONCAT("Medium: ", CONCAT(100+(10*Level), " ft"))</f>
        <v>Medium: 110 ft</v>
      </c>
      <c r="L177" s="23"/>
      <c r="M177" s="34" t="s">
        <v>523</v>
      </c>
      <c r="N177" s="23"/>
      <c r="O177" s="34" t="str">
        <f>CONCAT(Level*10, " minutes (D)
10 minutes/level")</f>
        <v>10 minutes (D)
10 minutes/level</v>
      </c>
      <c r="P177" s="23"/>
      <c r="Q177" s="34" t="s">
        <v>56</v>
      </c>
      <c r="R177" s="23"/>
      <c r="S177" s="34" t="s">
        <v>57</v>
      </c>
      <c r="T177" s="23"/>
      <c r="U177" s="81" t="s">
        <v>524</v>
      </c>
      <c r="V177" s="9"/>
      <c r="W177" s="9"/>
      <c r="X177" s="23"/>
    </row>
    <row r="178">
      <c r="A178" s="1"/>
      <c r="B178" s="25">
        <v>9.0</v>
      </c>
      <c r="C178" s="78" t="s">
        <v>525</v>
      </c>
      <c r="D178" s="17"/>
      <c r="E178" s="28" t="s">
        <v>66</v>
      </c>
      <c r="F178" s="17"/>
      <c r="G178" s="28" t="s">
        <v>133</v>
      </c>
      <c r="H178" s="17"/>
      <c r="I178" s="28" t="s">
        <v>54</v>
      </c>
      <c r="J178" s="17"/>
      <c r="K178" s="28" t="s">
        <v>329</v>
      </c>
      <c r="L178" s="17"/>
      <c r="M178" s="28" t="s">
        <v>260</v>
      </c>
      <c r="N178" s="17"/>
      <c r="O178" s="28" t="str">
        <f>CONCAT(Level*10, " minutes
10 minutes/level")</f>
        <v>10 minutes
10 minutes/level</v>
      </c>
      <c r="P178" s="17"/>
      <c r="Q178" s="28" t="s">
        <v>417</v>
      </c>
      <c r="R178" s="17"/>
      <c r="S178" s="28" t="s">
        <v>418</v>
      </c>
      <c r="T178" s="17"/>
      <c r="U178" s="79" t="s">
        <v>526</v>
      </c>
      <c r="V178" s="3"/>
      <c r="W178" s="3"/>
      <c r="X178" s="17"/>
    </row>
    <row r="179">
      <c r="A179" s="1"/>
      <c r="B179" s="82">
        <v>9.0</v>
      </c>
      <c r="C179" s="80" t="s">
        <v>527</v>
      </c>
      <c r="D179" s="23"/>
      <c r="E179" s="34" t="s">
        <v>59</v>
      </c>
      <c r="F179" s="23"/>
      <c r="G179" s="34" t="s">
        <v>133</v>
      </c>
      <c r="H179" s="23"/>
      <c r="I179" s="34" t="s">
        <v>528</v>
      </c>
      <c r="J179" s="23"/>
      <c r="K179" s="34" t="s">
        <v>60</v>
      </c>
      <c r="L179" s="23"/>
      <c r="M179" s="34" t="s">
        <v>187</v>
      </c>
      <c r="N179" s="23"/>
      <c r="O179" s="34" t="s">
        <v>55</v>
      </c>
      <c r="P179" s="23"/>
      <c r="Q179" s="34" t="s">
        <v>198</v>
      </c>
      <c r="R179" s="23"/>
      <c r="S179" s="34" t="s">
        <v>110</v>
      </c>
      <c r="T179" s="23"/>
      <c r="U179" s="81" t="str">
        <f>CONCAT("Subject's severed limbs grow back, cures 4d8+",CONCAT(MIN(Level,35)," damage, +1/level, max +35"))</f>
        <v>Subject's severed limbs grow back, cures 4d8+1 damage, +1/level, max +35</v>
      </c>
      <c r="V179" s="9"/>
      <c r="W179" s="9"/>
      <c r="X179" s="23"/>
    </row>
    <row r="180">
      <c r="A180" s="1"/>
      <c r="B180" s="25">
        <v>9.0</v>
      </c>
      <c r="C180" s="78" t="s">
        <v>529</v>
      </c>
      <c r="D180" s="17"/>
      <c r="E180" s="28" t="s">
        <v>158</v>
      </c>
      <c r="F180" s="17"/>
      <c r="G180" s="28" t="s">
        <v>53</v>
      </c>
      <c r="H180" s="17"/>
      <c r="I180" s="28" t="s">
        <v>54</v>
      </c>
      <c r="J180" s="17"/>
      <c r="K180" s="28" t="str">
        <f>CONCAT("Medium: ", CONCAT(100+(10*Level), " ft"))</f>
        <v>Medium: 110 ft</v>
      </c>
      <c r="L180" s="17"/>
      <c r="M180" s="28" t="s">
        <v>530</v>
      </c>
      <c r="N180" s="17"/>
      <c r="O180" s="28" t="s">
        <v>531</v>
      </c>
      <c r="P180" s="17"/>
      <c r="Q180" s="28" t="s">
        <v>56</v>
      </c>
      <c r="R180" s="17"/>
      <c r="S180" s="28" t="s">
        <v>57</v>
      </c>
      <c r="T180" s="17"/>
      <c r="U180" s="79" t="s">
        <v>532</v>
      </c>
      <c r="V180" s="3"/>
      <c r="W180" s="3"/>
      <c r="X180" s="17"/>
    </row>
    <row r="181">
      <c r="A181" s="1"/>
      <c r="B181" s="82">
        <v>9.0</v>
      </c>
      <c r="C181" s="80" t="s">
        <v>533</v>
      </c>
      <c r="D181" s="23"/>
      <c r="E181" s="34" t="s">
        <v>94</v>
      </c>
      <c r="F181" s="23"/>
      <c r="G181" s="34" t="s">
        <v>534</v>
      </c>
      <c r="H181" s="23"/>
      <c r="I181" s="34" t="s">
        <v>54</v>
      </c>
      <c r="J181" s="23"/>
      <c r="K181" s="34" t="s">
        <v>85</v>
      </c>
      <c r="L181" s="23"/>
      <c r="M181" s="34" t="s">
        <v>86</v>
      </c>
      <c r="N181" s="23"/>
      <c r="O181" s="34" t="str">
        <f>CONCAT(Level*10, " minutes (D)
10 minutes/level")</f>
        <v>10 minutes (D)
10 minutes/level</v>
      </c>
      <c r="P181" s="23"/>
      <c r="Q181" s="34" t="s">
        <v>87</v>
      </c>
      <c r="R181" s="23"/>
      <c r="S181" s="34" t="s">
        <v>87</v>
      </c>
      <c r="T181" s="23"/>
      <c r="U181" s="81" t="s">
        <v>535</v>
      </c>
      <c r="V181" s="9"/>
      <c r="W181" s="9"/>
      <c r="X181" s="23"/>
    </row>
    <row r="182">
      <c r="A182" s="1"/>
      <c r="B182" s="25">
        <v>9.0</v>
      </c>
      <c r="C182" s="78" t="s">
        <v>536</v>
      </c>
      <c r="D182" s="17"/>
      <c r="E182" s="28" t="s">
        <v>239</v>
      </c>
      <c r="F182" s="17"/>
      <c r="G182" s="28" t="s">
        <v>53</v>
      </c>
      <c r="H182" s="17"/>
      <c r="I182" s="28" t="s">
        <v>174</v>
      </c>
      <c r="J182" s="17"/>
      <c r="K182" s="28" t="str">
        <f>CONCAT("Long: ", CONCAT(400+(40*Level), " ft"))</f>
        <v>Long: 440 ft</v>
      </c>
      <c r="L182" s="17"/>
      <c r="M182" s="28" t="s">
        <v>537</v>
      </c>
      <c r="N182" s="17"/>
      <c r="O182" s="28" t="s">
        <v>538</v>
      </c>
      <c r="P182" s="17"/>
      <c r="Q182" s="28" t="s">
        <v>260</v>
      </c>
      <c r="R182" s="17"/>
      <c r="S182" s="28" t="s">
        <v>78</v>
      </c>
      <c r="T182" s="17"/>
      <c r="U182" s="79" t="s">
        <v>539</v>
      </c>
      <c r="V182" s="3"/>
      <c r="W182" s="3"/>
      <c r="X182" s="17"/>
    </row>
    <row r="183">
      <c r="A183" s="1"/>
      <c r="B183" s="82">
        <v>9.0</v>
      </c>
      <c r="C183" s="83" t="s">
        <v>540</v>
      </c>
      <c r="D183" s="23"/>
      <c r="E183" s="34" t="s">
        <v>173</v>
      </c>
      <c r="F183" s="23"/>
      <c r="G183" s="34" t="s">
        <v>133</v>
      </c>
      <c r="H183" s="23"/>
      <c r="I183" s="34" t="s">
        <v>174</v>
      </c>
      <c r="J183" s="23"/>
      <c r="K183" s="34" t="str">
        <f>CONCAT("Close: ", CONCAT(25+(5*FLOOR(Level/2,1)), " ft"))</f>
        <v>Close: 25 ft</v>
      </c>
      <c r="L183" s="23"/>
      <c r="M183" s="34" t="s">
        <v>237</v>
      </c>
      <c r="N183" s="23"/>
      <c r="O183" s="34" t="str">
        <f>CONCAT(Level, " rounds (D)
1 round/level")</f>
        <v>1 rounds (D)
1 round/level</v>
      </c>
      <c r="P183" s="23"/>
      <c r="Q183" s="34" t="s">
        <v>56</v>
      </c>
      <c r="R183" s="23"/>
      <c r="S183" s="34" t="s">
        <v>57</v>
      </c>
      <c r="T183" s="23"/>
      <c r="U183" s="81" t="s">
        <v>176</v>
      </c>
      <c r="V183" s="9"/>
      <c r="W183" s="9"/>
      <c r="X183" s="23"/>
    </row>
    <row r="184">
      <c r="A184" s="1"/>
      <c r="B184" s="25">
        <v>9.0</v>
      </c>
      <c r="C184" s="86" t="s">
        <v>541</v>
      </c>
      <c r="D184" s="17"/>
      <c r="E184" s="28" t="s">
        <v>115</v>
      </c>
      <c r="F184" s="17"/>
      <c r="G184" s="28" t="s">
        <v>542</v>
      </c>
      <c r="H184" s="17"/>
      <c r="I184" s="28" t="s">
        <v>354</v>
      </c>
      <c r="J184" s="17"/>
      <c r="K184" s="28" t="str">
        <f>CONCAT("Close: ", CONCAT(25+(5*FLOOR(Level/2,1)), " ft"))</f>
        <v>Close: 25 ft</v>
      </c>
      <c r="L184" s="17"/>
      <c r="M184" s="28" t="str">
        <f>CONCAT("One location (up to ",CONCAT(Level, " ten ft cubes, 1 cube/level) or one object"))</f>
        <v>One location (up to 1 ten ft cubes, 1 cube/level) or one object</v>
      </c>
      <c r="N184" s="17"/>
      <c r="O184" s="28" t="str">
        <f>CONCAT(Level*2, " hours (D)
2 hours/level")</f>
        <v>2 hours (D)
2 hours/level</v>
      </c>
      <c r="P184" s="17"/>
      <c r="Q184" s="28" t="s">
        <v>117</v>
      </c>
      <c r="R184" s="17"/>
      <c r="S184" s="28" t="s">
        <v>78</v>
      </c>
      <c r="T184" s="17"/>
      <c r="U184" s="79" t="s">
        <v>543</v>
      </c>
      <c r="V184" s="3"/>
      <c r="W184" s="3"/>
      <c r="X184" s="17"/>
    </row>
  </sheetData>
  <mergeCells count="1712">
    <mergeCell ref="I15:J15"/>
    <mergeCell ref="K15:L15"/>
    <mergeCell ref="M15:N15"/>
    <mergeCell ref="O15:P15"/>
    <mergeCell ref="Q15:R15"/>
    <mergeCell ref="S15:T15"/>
    <mergeCell ref="B9:D9"/>
    <mergeCell ref="B10:D10"/>
    <mergeCell ref="B11:D11"/>
    <mergeCell ref="B12:D12"/>
    <mergeCell ref="B14:X14"/>
    <mergeCell ref="E15:F15"/>
    <mergeCell ref="G15:H15"/>
    <mergeCell ref="U15:X15"/>
    <mergeCell ref="B2:D2"/>
    <mergeCell ref="B3:D3"/>
    <mergeCell ref="B4:D4"/>
    <mergeCell ref="B5:D5"/>
    <mergeCell ref="B6:D6"/>
    <mergeCell ref="B7:D7"/>
    <mergeCell ref="B8:D8"/>
    <mergeCell ref="O16:P16"/>
    <mergeCell ref="Q16:R16"/>
    <mergeCell ref="S16:T16"/>
    <mergeCell ref="U16:X16"/>
    <mergeCell ref="C15:D15"/>
    <mergeCell ref="C16:D16"/>
    <mergeCell ref="E16:F16"/>
    <mergeCell ref="G16:H16"/>
    <mergeCell ref="I16:J16"/>
    <mergeCell ref="K16:L16"/>
    <mergeCell ref="M16:N16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61:R61"/>
    <mergeCell ref="S61:T61"/>
    <mergeCell ref="U61:X61"/>
    <mergeCell ref="C61:D61"/>
    <mergeCell ref="E61:F61"/>
    <mergeCell ref="G61:H61"/>
    <mergeCell ref="I61:J61"/>
    <mergeCell ref="K61:L61"/>
    <mergeCell ref="M61:N61"/>
    <mergeCell ref="O61:P61"/>
    <mergeCell ref="Q62:R62"/>
    <mergeCell ref="S62:T62"/>
    <mergeCell ref="U62:X62"/>
    <mergeCell ref="C62:D62"/>
    <mergeCell ref="E62:F62"/>
    <mergeCell ref="G62:H62"/>
    <mergeCell ref="I62:J62"/>
    <mergeCell ref="K62:L62"/>
    <mergeCell ref="M62:N62"/>
    <mergeCell ref="O62:P62"/>
    <mergeCell ref="Q63:R63"/>
    <mergeCell ref="S63:T63"/>
    <mergeCell ref="U63:X63"/>
    <mergeCell ref="C63:D63"/>
    <mergeCell ref="E63:F63"/>
    <mergeCell ref="G63:H63"/>
    <mergeCell ref="I63:J63"/>
    <mergeCell ref="K63:L63"/>
    <mergeCell ref="M63:N63"/>
    <mergeCell ref="O63:P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Q72:R72"/>
    <mergeCell ref="S72:T72"/>
    <mergeCell ref="U72:X72"/>
    <mergeCell ref="C72:D72"/>
    <mergeCell ref="E72:F72"/>
    <mergeCell ref="G72:H72"/>
    <mergeCell ref="I72:J72"/>
    <mergeCell ref="K72:L72"/>
    <mergeCell ref="M72:N72"/>
    <mergeCell ref="O72:P72"/>
    <mergeCell ref="Q73:R73"/>
    <mergeCell ref="S73:T73"/>
    <mergeCell ref="U73:X73"/>
    <mergeCell ref="C73:D73"/>
    <mergeCell ref="E73:F73"/>
    <mergeCell ref="G73:H73"/>
    <mergeCell ref="I73:J73"/>
    <mergeCell ref="K73:L73"/>
    <mergeCell ref="M73:N73"/>
    <mergeCell ref="O73:P73"/>
    <mergeCell ref="Q74:R74"/>
    <mergeCell ref="S74:T74"/>
    <mergeCell ref="U74:X74"/>
    <mergeCell ref="C74:D74"/>
    <mergeCell ref="E74:F74"/>
    <mergeCell ref="G74:H74"/>
    <mergeCell ref="I74:J74"/>
    <mergeCell ref="K74:L74"/>
    <mergeCell ref="M74:N74"/>
    <mergeCell ref="O74:P74"/>
    <mergeCell ref="Q75:R75"/>
    <mergeCell ref="S75:T75"/>
    <mergeCell ref="U75:X75"/>
    <mergeCell ref="C75:D75"/>
    <mergeCell ref="E75:F75"/>
    <mergeCell ref="G75:H75"/>
    <mergeCell ref="I75:J75"/>
    <mergeCell ref="K75:L75"/>
    <mergeCell ref="M75:N75"/>
    <mergeCell ref="O75:P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C84:D84"/>
    <mergeCell ref="E84:F84"/>
    <mergeCell ref="G84:H84"/>
    <mergeCell ref="I84:J84"/>
    <mergeCell ref="K84:L84"/>
    <mergeCell ref="M84:N84"/>
    <mergeCell ref="O84:P84"/>
    <mergeCell ref="Q85:R85"/>
    <mergeCell ref="S85:T85"/>
    <mergeCell ref="U85:X85"/>
    <mergeCell ref="C85:D85"/>
    <mergeCell ref="E85:F85"/>
    <mergeCell ref="G85:H85"/>
    <mergeCell ref="I85:J85"/>
    <mergeCell ref="K85:L85"/>
    <mergeCell ref="M85:N85"/>
    <mergeCell ref="O85:P85"/>
    <mergeCell ref="Q86:R86"/>
    <mergeCell ref="S86:T86"/>
    <mergeCell ref="U86:X86"/>
    <mergeCell ref="C86:D86"/>
    <mergeCell ref="E86:F86"/>
    <mergeCell ref="G86:H86"/>
    <mergeCell ref="I86:J86"/>
    <mergeCell ref="K86:L86"/>
    <mergeCell ref="M86:N86"/>
    <mergeCell ref="O86:P86"/>
    <mergeCell ref="Q87:R87"/>
    <mergeCell ref="S87:T87"/>
    <mergeCell ref="U87:X87"/>
    <mergeCell ref="C87:D87"/>
    <mergeCell ref="E87:F87"/>
    <mergeCell ref="G87:H87"/>
    <mergeCell ref="I87:J87"/>
    <mergeCell ref="K87:L87"/>
    <mergeCell ref="M87:N87"/>
    <mergeCell ref="O87:P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96:R96"/>
    <mergeCell ref="S96:T96"/>
    <mergeCell ref="U96:X96"/>
    <mergeCell ref="C96:D96"/>
    <mergeCell ref="E96:F96"/>
    <mergeCell ref="G96:H96"/>
    <mergeCell ref="I96:J96"/>
    <mergeCell ref="K96:L96"/>
    <mergeCell ref="M96:N96"/>
    <mergeCell ref="O96:P96"/>
    <mergeCell ref="Q97:R97"/>
    <mergeCell ref="S97:T97"/>
    <mergeCell ref="U97:X97"/>
    <mergeCell ref="C97:D97"/>
    <mergeCell ref="E97:F97"/>
    <mergeCell ref="G97:H97"/>
    <mergeCell ref="I97:J97"/>
    <mergeCell ref="K97:L97"/>
    <mergeCell ref="M97:N97"/>
    <mergeCell ref="O97:P97"/>
    <mergeCell ref="Q98:R98"/>
    <mergeCell ref="S98:T98"/>
    <mergeCell ref="U98:X98"/>
    <mergeCell ref="C98:D98"/>
    <mergeCell ref="E98:F98"/>
    <mergeCell ref="G98:H98"/>
    <mergeCell ref="I98:J98"/>
    <mergeCell ref="K98:L98"/>
    <mergeCell ref="M98:N98"/>
    <mergeCell ref="O98:P98"/>
    <mergeCell ref="Q99:R99"/>
    <mergeCell ref="S99:T99"/>
    <mergeCell ref="U99:X99"/>
    <mergeCell ref="C99:D99"/>
    <mergeCell ref="E99:F99"/>
    <mergeCell ref="G99:H99"/>
    <mergeCell ref="I99:J99"/>
    <mergeCell ref="K99:L99"/>
    <mergeCell ref="M99:N99"/>
    <mergeCell ref="O99:P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C108:D108"/>
    <mergeCell ref="E108:F108"/>
    <mergeCell ref="G108:H108"/>
    <mergeCell ref="I108:J108"/>
    <mergeCell ref="K108:L108"/>
    <mergeCell ref="M108:N108"/>
    <mergeCell ref="O108:P108"/>
    <mergeCell ref="Q109:R109"/>
    <mergeCell ref="S109:T109"/>
    <mergeCell ref="U109:X109"/>
    <mergeCell ref="C109:D109"/>
    <mergeCell ref="E109:F109"/>
    <mergeCell ref="G109:H109"/>
    <mergeCell ref="I109:J109"/>
    <mergeCell ref="K109:L109"/>
    <mergeCell ref="M109:N109"/>
    <mergeCell ref="O109:P109"/>
    <mergeCell ref="Q110:R110"/>
    <mergeCell ref="S110:T110"/>
    <mergeCell ref="U110:X110"/>
    <mergeCell ref="C110:D110"/>
    <mergeCell ref="E110:F110"/>
    <mergeCell ref="G110:H110"/>
    <mergeCell ref="I110:J110"/>
    <mergeCell ref="K110:L110"/>
    <mergeCell ref="M110:N110"/>
    <mergeCell ref="O110:P110"/>
    <mergeCell ref="Q111:R111"/>
    <mergeCell ref="S111:T111"/>
    <mergeCell ref="U111:X111"/>
    <mergeCell ref="C111:D111"/>
    <mergeCell ref="E111:F111"/>
    <mergeCell ref="G111:H111"/>
    <mergeCell ref="I111:J111"/>
    <mergeCell ref="K111:L111"/>
    <mergeCell ref="M111:N111"/>
    <mergeCell ref="O111:P111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68:R168"/>
    <mergeCell ref="S168:T168"/>
    <mergeCell ref="U168:X168"/>
    <mergeCell ref="C168:D168"/>
    <mergeCell ref="E168:F168"/>
    <mergeCell ref="G168:H168"/>
    <mergeCell ref="I168:J168"/>
    <mergeCell ref="K168:L168"/>
    <mergeCell ref="M168:N168"/>
    <mergeCell ref="O168:P168"/>
    <mergeCell ref="Q169:R169"/>
    <mergeCell ref="S169:T169"/>
    <mergeCell ref="U169:X169"/>
    <mergeCell ref="C169:D169"/>
    <mergeCell ref="E169:F169"/>
    <mergeCell ref="G169:H169"/>
    <mergeCell ref="I169:J169"/>
    <mergeCell ref="K169:L169"/>
    <mergeCell ref="M169:N169"/>
    <mergeCell ref="O169:P169"/>
    <mergeCell ref="Q170:R170"/>
    <mergeCell ref="S170:T170"/>
    <mergeCell ref="U170:X170"/>
    <mergeCell ref="C170:D170"/>
    <mergeCell ref="E170:F170"/>
    <mergeCell ref="G170:H170"/>
    <mergeCell ref="I170:J170"/>
    <mergeCell ref="K170:L170"/>
    <mergeCell ref="M170:N170"/>
    <mergeCell ref="O170:P170"/>
    <mergeCell ref="Q171:R171"/>
    <mergeCell ref="S171:T171"/>
    <mergeCell ref="U171:X171"/>
    <mergeCell ref="C171:D171"/>
    <mergeCell ref="E171:F171"/>
    <mergeCell ref="G171:H171"/>
    <mergeCell ref="I171:J171"/>
    <mergeCell ref="K171:L171"/>
    <mergeCell ref="M171:N171"/>
    <mergeCell ref="O171:P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80:R180"/>
    <mergeCell ref="S180:T180"/>
    <mergeCell ref="U180:X180"/>
    <mergeCell ref="C180:D180"/>
    <mergeCell ref="E180:F180"/>
    <mergeCell ref="G180:H180"/>
    <mergeCell ref="I180:J180"/>
    <mergeCell ref="K180:L180"/>
    <mergeCell ref="M180:N180"/>
    <mergeCell ref="O180:P180"/>
    <mergeCell ref="Q181:R181"/>
    <mergeCell ref="S181:T181"/>
    <mergeCell ref="U181:X181"/>
    <mergeCell ref="C181:D181"/>
    <mergeCell ref="E181:F181"/>
    <mergeCell ref="G181:H181"/>
    <mergeCell ref="I181:J181"/>
    <mergeCell ref="K181:L181"/>
    <mergeCell ref="M181:N181"/>
    <mergeCell ref="O181:P181"/>
    <mergeCell ref="Q182:R182"/>
    <mergeCell ref="S182:T182"/>
    <mergeCell ref="U182:X182"/>
    <mergeCell ref="C182:D182"/>
    <mergeCell ref="E182:F182"/>
    <mergeCell ref="G182:H182"/>
    <mergeCell ref="I182:J182"/>
    <mergeCell ref="K182:L182"/>
    <mergeCell ref="M182:N182"/>
    <mergeCell ref="O182:P182"/>
    <mergeCell ref="Q183:R183"/>
    <mergeCell ref="S183:T183"/>
    <mergeCell ref="U183:X183"/>
    <mergeCell ref="C183:D183"/>
    <mergeCell ref="E183:F183"/>
    <mergeCell ref="G183:H183"/>
    <mergeCell ref="I183:J183"/>
    <mergeCell ref="K183:L183"/>
    <mergeCell ref="M183:N183"/>
    <mergeCell ref="O183:P183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184:R184"/>
    <mergeCell ref="S184:T184"/>
    <mergeCell ref="U184:X184"/>
    <mergeCell ref="C184:D184"/>
    <mergeCell ref="E184:F184"/>
    <mergeCell ref="G184:H184"/>
    <mergeCell ref="I184:J184"/>
    <mergeCell ref="K184:L184"/>
    <mergeCell ref="M184:N184"/>
    <mergeCell ref="O184:P184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77:R177"/>
    <mergeCell ref="S177:T177"/>
    <mergeCell ref="U177:X177"/>
    <mergeCell ref="C177:D177"/>
    <mergeCell ref="E177:F177"/>
    <mergeCell ref="G177:H177"/>
    <mergeCell ref="I177:J177"/>
    <mergeCell ref="K177:L177"/>
    <mergeCell ref="M177:N177"/>
    <mergeCell ref="O177:P177"/>
    <mergeCell ref="Q178:R178"/>
    <mergeCell ref="S178:T178"/>
    <mergeCell ref="U178:X178"/>
    <mergeCell ref="C178:D178"/>
    <mergeCell ref="E178:F178"/>
    <mergeCell ref="G178:H178"/>
    <mergeCell ref="I178:J178"/>
    <mergeCell ref="K178:L178"/>
    <mergeCell ref="M178:N178"/>
    <mergeCell ref="O178:P178"/>
    <mergeCell ref="Q179:R179"/>
    <mergeCell ref="S179:T179"/>
    <mergeCell ref="U179:X179"/>
    <mergeCell ref="C179:D179"/>
    <mergeCell ref="E179:F179"/>
    <mergeCell ref="G179:H179"/>
    <mergeCell ref="I179:J179"/>
    <mergeCell ref="K179:L179"/>
    <mergeCell ref="M179:N179"/>
    <mergeCell ref="O179:P179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C120:D120"/>
    <mergeCell ref="E120:F120"/>
    <mergeCell ref="G120:H120"/>
    <mergeCell ref="I120:J120"/>
    <mergeCell ref="K120:L120"/>
    <mergeCell ref="M120:N120"/>
    <mergeCell ref="O120:P120"/>
    <mergeCell ref="Q121:R121"/>
    <mergeCell ref="S121:T121"/>
    <mergeCell ref="U121:X121"/>
    <mergeCell ref="C121:D121"/>
    <mergeCell ref="E121:F121"/>
    <mergeCell ref="G121:H121"/>
    <mergeCell ref="I121:J121"/>
    <mergeCell ref="K121:L121"/>
    <mergeCell ref="M121:N121"/>
    <mergeCell ref="O121:P121"/>
    <mergeCell ref="Q122:R122"/>
    <mergeCell ref="S122:T122"/>
    <mergeCell ref="U122:X122"/>
    <mergeCell ref="C122:D122"/>
    <mergeCell ref="E122:F122"/>
    <mergeCell ref="G122:H122"/>
    <mergeCell ref="I122:J122"/>
    <mergeCell ref="K122:L122"/>
    <mergeCell ref="M122:N122"/>
    <mergeCell ref="O122:P122"/>
    <mergeCell ref="Q123:R123"/>
    <mergeCell ref="S123:T123"/>
    <mergeCell ref="U123:X123"/>
    <mergeCell ref="C123:D123"/>
    <mergeCell ref="E123:F123"/>
    <mergeCell ref="G123:H123"/>
    <mergeCell ref="I123:J123"/>
    <mergeCell ref="K123:L123"/>
    <mergeCell ref="M123:N123"/>
    <mergeCell ref="O123:P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Q132:R132"/>
    <mergeCell ref="S132:T132"/>
    <mergeCell ref="U132:X132"/>
    <mergeCell ref="C132:D132"/>
    <mergeCell ref="E132:F132"/>
    <mergeCell ref="G132:H132"/>
    <mergeCell ref="I132:J132"/>
    <mergeCell ref="K132:L132"/>
    <mergeCell ref="M132:N132"/>
    <mergeCell ref="O132:P132"/>
    <mergeCell ref="Q133:R133"/>
    <mergeCell ref="S133:T133"/>
    <mergeCell ref="U133:X133"/>
    <mergeCell ref="C133:D133"/>
    <mergeCell ref="E133:F133"/>
    <mergeCell ref="G133:H133"/>
    <mergeCell ref="I133:J133"/>
    <mergeCell ref="K133:L133"/>
    <mergeCell ref="M133:N133"/>
    <mergeCell ref="O133:P133"/>
    <mergeCell ref="Q134:R134"/>
    <mergeCell ref="S134:T134"/>
    <mergeCell ref="U134:X134"/>
    <mergeCell ref="C134:D134"/>
    <mergeCell ref="E134:F134"/>
    <mergeCell ref="G134:H134"/>
    <mergeCell ref="I134:J134"/>
    <mergeCell ref="K134:L134"/>
    <mergeCell ref="M134:N134"/>
    <mergeCell ref="O134:P134"/>
    <mergeCell ref="Q135:R135"/>
    <mergeCell ref="S135:T135"/>
    <mergeCell ref="U135:X135"/>
    <mergeCell ref="C135:D135"/>
    <mergeCell ref="E135:F135"/>
    <mergeCell ref="G135:H135"/>
    <mergeCell ref="I135:J135"/>
    <mergeCell ref="K135:L135"/>
    <mergeCell ref="M135:N135"/>
    <mergeCell ref="O135:P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C144:D144"/>
    <mergeCell ref="E144:F144"/>
    <mergeCell ref="G144:H144"/>
    <mergeCell ref="I144:J144"/>
    <mergeCell ref="K144:L144"/>
    <mergeCell ref="M144:N144"/>
    <mergeCell ref="O144:P144"/>
    <mergeCell ref="Q145:R145"/>
    <mergeCell ref="S145:T145"/>
    <mergeCell ref="U145:X145"/>
    <mergeCell ref="C145:D145"/>
    <mergeCell ref="E145:F145"/>
    <mergeCell ref="G145:H145"/>
    <mergeCell ref="I145:J145"/>
    <mergeCell ref="K145:L145"/>
    <mergeCell ref="M145:N145"/>
    <mergeCell ref="O145:P145"/>
    <mergeCell ref="Q146:R146"/>
    <mergeCell ref="S146:T146"/>
    <mergeCell ref="U146:X146"/>
    <mergeCell ref="C146:D146"/>
    <mergeCell ref="E146:F146"/>
    <mergeCell ref="G146:H146"/>
    <mergeCell ref="I146:J146"/>
    <mergeCell ref="K146:L146"/>
    <mergeCell ref="M146:N146"/>
    <mergeCell ref="O146:P146"/>
    <mergeCell ref="Q147:R147"/>
    <mergeCell ref="S147:T147"/>
    <mergeCell ref="U147:X147"/>
    <mergeCell ref="C147:D147"/>
    <mergeCell ref="E147:F147"/>
    <mergeCell ref="G147:H147"/>
    <mergeCell ref="I147:J147"/>
    <mergeCell ref="K147:L147"/>
    <mergeCell ref="M147:N147"/>
    <mergeCell ref="O147:P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56:R156"/>
    <mergeCell ref="S156:T156"/>
    <mergeCell ref="U156:X156"/>
    <mergeCell ref="C156:D156"/>
    <mergeCell ref="E156:F156"/>
    <mergeCell ref="G156:H156"/>
    <mergeCell ref="I156:J156"/>
    <mergeCell ref="K156:L156"/>
    <mergeCell ref="M156:N156"/>
    <mergeCell ref="O156:P156"/>
    <mergeCell ref="Q157:R157"/>
    <mergeCell ref="S157:T157"/>
    <mergeCell ref="U157:X157"/>
    <mergeCell ref="C157:D157"/>
    <mergeCell ref="E157:F157"/>
    <mergeCell ref="G157:H157"/>
    <mergeCell ref="I157:J157"/>
    <mergeCell ref="K157:L157"/>
    <mergeCell ref="M157:N157"/>
    <mergeCell ref="O157:P157"/>
    <mergeCell ref="Q158:R158"/>
    <mergeCell ref="S158:T158"/>
    <mergeCell ref="U158:X158"/>
    <mergeCell ref="C158:D158"/>
    <mergeCell ref="E158:F158"/>
    <mergeCell ref="G158:H158"/>
    <mergeCell ref="I158:J158"/>
    <mergeCell ref="K158:L158"/>
    <mergeCell ref="M158:N158"/>
    <mergeCell ref="O158:P158"/>
    <mergeCell ref="Q159:R159"/>
    <mergeCell ref="S159:T159"/>
    <mergeCell ref="U159:X159"/>
    <mergeCell ref="C159:D159"/>
    <mergeCell ref="E159:F159"/>
    <mergeCell ref="G159:H159"/>
    <mergeCell ref="I159:J159"/>
    <mergeCell ref="K159:L159"/>
    <mergeCell ref="M159:N159"/>
    <mergeCell ref="O159:P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</mergeCells>
  <conditionalFormatting sqref="C175:D184">
    <cfRule type="expression" dxfId="4" priority="1">
      <formula>INDIRECT(CONCAT("D",ROW()))</formula>
    </cfRule>
  </conditionalFormatting>
  <conditionalFormatting sqref="C175:D184">
    <cfRule type="expression" dxfId="4" priority="2">
      <formula>INDIRECT(CONCAT("D",ROW()))</formula>
    </cfRule>
  </conditionalFormatting>
  <conditionalFormatting sqref="C164:D174">
    <cfRule type="expression" dxfId="4" priority="3">
      <formula>INDIRECT(CONCAT("D",ROW()))</formula>
    </cfRule>
  </conditionalFormatting>
  <conditionalFormatting sqref="C164:D174">
    <cfRule type="expression" dxfId="4" priority="4">
      <formula>INDIRECT(CONCAT("D",ROW()))</formula>
    </cfRule>
  </conditionalFormatting>
  <conditionalFormatting sqref="C151:D163">
    <cfRule type="expression" dxfId="4" priority="5">
      <formula>INDIRECT(CONCAT("D",ROW()))</formula>
    </cfRule>
  </conditionalFormatting>
  <conditionalFormatting sqref="C151:D163">
    <cfRule type="expression" dxfId="4" priority="6">
      <formula>INDIRECT(CONCAT("D",ROW()))</formula>
    </cfRule>
  </conditionalFormatting>
  <conditionalFormatting sqref="C133:D150">
    <cfRule type="expression" dxfId="4" priority="7">
      <formula>INDIRECT(CONCAT("D",ROW()))</formula>
    </cfRule>
  </conditionalFormatting>
  <conditionalFormatting sqref="C133:D150">
    <cfRule type="expression" dxfId="4" priority="8">
      <formula>INDIRECT(CONCAT("D",ROW()))</formula>
    </cfRule>
  </conditionalFormatting>
  <conditionalFormatting sqref="C114:D132">
    <cfRule type="expression" dxfId="4" priority="9">
      <formula>INDIRECT(CONCAT("D",ROW()))</formula>
    </cfRule>
  </conditionalFormatting>
  <conditionalFormatting sqref="C114:D132">
    <cfRule type="expression" dxfId="4" priority="10">
      <formula>INDIRECT(CONCAT("D",ROW()))</formula>
    </cfRule>
  </conditionalFormatting>
  <conditionalFormatting sqref="C113:D113">
    <cfRule type="expression" dxfId="4" priority="11">
      <formula>INDIRECT(CONCAT("D",ROW()))</formula>
    </cfRule>
  </conditionalFormatting>
  <conditionalFormatting sqref="C97:D102 C113:D113">
    <cfRule type="expression" dxfId="4" priority="12">
      <formula>INDIRECT(CONCAT("D",ROW()))</formula>
    </cfRule>
  </conditionalFormatting>
  <conditionalFormatting sqref="C97:D113">
    <cfRule type="expression" dxfId="4" priority="13">
      <formula>INDIRECT(CONCAT("D",ROW()))</formula>
    </cfRule>
  </conditionalFormatting>
  <conditionalFormatting sqref="C94:D94">
    <cfRule type="expression" dxfId="4" priority="14">
      <formula>INDIRECT(CONCAT("D",ROW()))</formula>
    </cfRule>
  </conditionalFormatting>
  <conditionalFormatting sqref="C75:D96">
    <cfRule type="expression" dxfId="4" priority="15">
      <formula>INDIRECT(CONCAT("D",ROW()))</formula>
    </cfRule>
  </conditionalFormatting>
  <conditionalFormatting sqref="C49:D74">
    <cfRule type="expression" dxfId="4" priority="16">
      <formula>INDIRECT(CONCAT("D",ROW()))</formula>
    </cfRule>
  </conditionalFormatting>
  <conditionalFormatting sqref="C29:D48">
    <cfRule type="expression" dxfId="4" priority="17">
      <formula>INDIRECT(CONCAT("D",ROW()))</formula>
    </cfRule>
  </conditionalFormatting>
  <conditionalFormatting sqref="C16:D26">
    <cfRule type="expression" dxfId="0" priority="18">
      <formula>INDIRECT(CONCAT("D",ROW()))</formula>
    </cfRule>
  </conditionalFormatting>
  <conditionalFormatting sqref="B16:B34">
    <cfRule type="expression" dxfId="0" priority="19">
      <formula>INDIRECT(CONCAT("D",ROW()))</formula>
    </cfRule>
  </conditionalFormatting>
  <hyperlinks>
    <hyperlink display="Cantrips" location="null!B16:X34" ref="B3"/>
    <hyperlink display="1st Level Spells" location="null!B35:X75" ref="B4"/>
    <hyperlink display="2nd Level Spells" location="null!B62:Y84" ref="B5"/>
    <hyperlink display="3rd Level Spells" location="null!B127:X171" ref="B6"/>
    <hyperlink display="4th Level Spells" location="null!B172:X212" ref="B7"/>
    <hyperlink display="5th Level Spells" location="null!B213:X255" ref="B8"/>
    <hyperlink display="6th Level Spells" location="null!B256:X298" ref="B9"/>
    <hyperlink display="7th Level Spells" location="null!B299:X333" ref="B10"/>
    <hyperlink display="8th Level Spells" location="null!B334:X368" ref="B11"/>
    <hyperlink display="9th Level Spells" location="null!B369:X392" ref="B12"/>
    <hyperlink r:id="rId1" ref="C16"/>
    <hyperlink r:id="rId2" ref="C17"/>
    <hyperlink r:id="rId3" ref="C18"/>
    <hyperlink r:id="rId4" ref="C19"/>
    <hyperlink r:id="rId5" ref="C20"/>
    <hyperlink r:id="rId6" ref="C21"/>
    <hyperlink r:id="rId7" ref="C22"/>
    <hyperlink r:id="rId8" ref="C23"/>
    <hyperlink r:id="rId9" ref="C24"/>
    <hyperlink r:id="rId10" ref="C25"/>
    <hyperlink r:id="rId11" ref="C26"/>
    <hyperlink r:id="rId12" ref="C27"/>
    <hyperlink r:id="rId13" ref="C28"/>
    <hyperlink r:id="rId14" ref="C29"/>
    <hyperlink r:id="rId15" ref="C30"/>
    <hyperlink r:id="rId16" ref="C31"/>
    <hyperlink r:id="rId17" ref="C32"/>
    <hyperlink r:id="rId18" ref="C33"/>
    <hyperlink r:id="rId19" ref="C34"/>
    <hyperlink r:id="rId20" ref="C35"/>
    <hyperlink r:id="rId21" ref="C36"/>
    <hyperlink r:id="rId22" ref="C37"/>
    <hyperlink r:id="rId23" ref="C38"/>
    <hyperlink r:id="rId24" ref="C39"/>
    <hyperlink r:id="rId25" ref="C40"/>
    <hyperlink r:id="rId26" ref="C41"/>
    <hyperlink r:id="rId27" ref="C42"/>
    <hyperlink r:id="rId28" ref="C43"/>
    <hyperlink r:id="rId29" ref="C44"/>
    <hyperlink r:id="rId30" ref="C45"/>
    <hyperlink r:id="rId31" ref="C46"/>
    <hyperlink r:id="rId32" ref="C47"/>
    <hyperlink r:id="rId33" ref="C48"/>
    <hyperlink r:id="rId34" ref="C49"/>
    <hyperlink r:id="rId35" ref="C50"/>
    <hyperlink r:id="rId36" ref="C51"/>
    <hyperlink r:id="rId37" ref="C52"/>
    <hyperlink r:id="rId38" ref="C53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1"/>
    <hyperlink r:id="rId47" ref="C62"/>
    <hyperlink r:id="rId48" ref="C63"/>
    <hyperlink r:id="rId49" ref="C64"/>
    <hyperlink r:id="rId50" ref="C65"/>
    <hyperlink r:id="rId51" ref="C66"/>
    <hyperlink r:id="rId52" ref="C67"/>
    <hyperlink r:id="rId53" ref="C68"/>
    <hyperlink r:id="rId54" ref="C69"/>
    <hyperlink r:id="rId55" ref="C70"/>
    <hyperlink r:id="rId56" ref="C71"/>
    <hyperlink r:id="rId57" ref="C72"/>
    <hyperlink r:id="rId58" ref="C73"/>
    <hyperlink r:id="rId59" ref="C74"/>
    <hyperlink r:id="rId60" ref="C75"/>
    <hyperlink r:id="rId61" ref="C76"/>
    <hyperlink r:id="rId62" ref="C77"/>
    <hyperlink r:id="rId63" ref="C78"/>
    <hyperlink r:id="rId64" ref="C79"/>
    <hyperlink r:id="rId65" ref="C80"/>
    <hyperlink r:id="rId66" ref="C81"/>
    <hyperlink r:id="rId67" ref="C82"/>
    <hyperlink r:id="rId68" ref="C83"/>
    <hyperlink r:id="rId69" ref="C84"/>
    <hyperlink r:id="rId70" ref="C85"/>
    <hyperlink r:id="rId71" ref="C86"/>
    <hyperlink r:id="rId72" ref="C87"/>
    <hyperlink r:id="rId73" ref="C88"/>
    <hyperlink r:id="rId74" ref="C89"/>
    <hyperlink r:id="rId75" ref="C90"/>
    <hyperlink r:id="rId76" ref="C91"/>
    <hyperlink r:id="rId77" ref="C92"/>
    <hyperlink r:id="rId78" ref="C93"/>
    <hyperlink r:id="rId79" ref="C94"/>
    <hyperlink r:id="rId80" ref="C95"/>
    <hyperlink r:id="rId81" ref="C96"/>
    <hyperlink r:id="rId82" ref="C97"/>
    <hyperlink r:id="rId83" ref="C98"/>
    <hyperlink r:id="rId84" ref="C99"/>
    <hyperlink r:id="rId85" ref="C100"/>
    <hyperlink r:id="rId86" ref="C101"/>
    <hyperlink r:id="rId87" ref="C102"/>
    <hyperlink r:id="rId88" ref="C103"/>
    <hyperlink r:id="rId89" ref="C104"/>
    <hyperlink r:id="rId90" ref="C105"/>
    <hyperlink r:id="rId91" ref="C106"/>
    <hyperlink r:id="rId92" ref="C107"/>
    <hyperlink r:id="rId93" ref="C108"/>
    <hyperlink r:id="rId94" ref="C109"/>
    <hyperlink r:id="rId95" ref="C110"/>
    <hyperlink r:id="rId96" ref="C111"/>
    <hyperlink r:id="rId97" ref="C112"/>
    <hyperlink r:id="rId98" ref="C113"/>
    <hyperlink r:id="rId99" ref="C114"/>
    <hyperlink r:id="rId100" ref="C115"/>
    <hyperlink r:id="rId101" ref="C116"/>
    <hyperlink r:id="rId102" ref="C117"/>
    <hyperlink r:id="rId103" ref="C118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7"/>
    <hyperlink r:id="rId113" ref="C128"/>
    <hyperlink r:id="rId114" ref="C129"/>
    <hyperlink r:id="rId115" ref="C130"/>
    <hyperlink r:id="rId116" ref="C131"/>
    <hyperlink r:id="rId117" ref="C132"/>
    <hyperlink r:id="rId118" ref="C133"/>
    <hyperlink r:id="rId119" ref="C134"/>
    <hyperlink r:id="rId120" ref="C135"/>
    <hyperlink r:id="rId121" ref="C136"/>
    <hyperlink r:id="rId122" ref="C137"/>
    <hyperlink r:id="rId123" ref="C138"/>
    <hyperlink r:id="rId124" ref="C139"/>
    <hyperlink r:id="rId125" ref="C140"/>
    <hyperlink r:id="rId126" ref="C141"/>
    <hyperlink r:id="rId127" ref="C142"/>
    <hyperlink r:id="rId128" ref="C143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C154"/>
    <hyperlink r:id="rId140" ref="C155"/>
    <hyperlink r:id="rId141" ref="C156"/>
    <hyperlink r:id="rId142" ref="C157"/>
    <hyperlink r:id="rId143" ref="C158"/>
    <hyperlink r:id="rId144" ref="C159"/>
    <hyperlink r:id="rId145" ref="C160"/>
    <hyperlink r:id="rId146" ref="C161"/>
    <hyperlink r:id="rId147" ref="C162"/>
    <hyperlink r:id="rId148" ref="C163"/>
    <hyperlink r:id="rId149" ref="C164"/>
    <hyperlink r:id="rId150" ref="C165"/>
    <hyperlink r:id="rId151" ref="C166"/>
    <hyperlink r:id="rId152" ref="C167"/>
    <hyperlink r:id="rId153" ref="C168"/>
    <hyperlink r:id="rId154" ref="C169"/>
    <hyperlink r:id="rId155" ref="C170"/>
    <hyperlink r:id="rId156" ref="C171"/>
    <hyperlink r:id="rId157" ref="C172"/>
    <hyperlink r:id="rId158" ref="C173"/>
    <hyperlink r:id="rId159" ref="C174"/>
    <hyperlink r:id="rId160" ref="C175"/>
    <hyperlink r:id="rId161" ref="C176"/>
    <hyperlink r:id="rId162" ref="C177"/>
    <hyperlink r:id="rId163" ref="C178"/>
    <hyperlink r:id="rId164" ref="C179"/>
    <hyperlink r:id="rId165" ref="C180"/>
    <hyperlink r:id="rId166" ref="C181"/>
    <hyperlink r:id="rId167" ref="C182"/>
    <hyperlink r:id="rId168" ref="C183"/>
    <hyperlink r:id="rId169" ref="C184"/>
  </hyperlinks>
  <drawing r:id="rId17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89" t="str">
        <f>'Spell List'!B16&amp;" "&amp;'Spell List'!C16</f>
        <v>0 Create Water</v>
      </c>
    </row>
    <row r="5">
      <c r="B5" s="89" t="str">
        <f>'Spell List'!B17&amp;" "&amp;'Spell List'!C17</f>
        <v>0 Cure Minor Wounds</v>
      </c>
    </row>
    <row r="6">
      <c r="B6" s="89" t="str">
        <f>'Spell List'!B18&amp;" "&amp;'Spell List'!C18</f>
        <v>0 Detect Magic</v>
      </c>
    </row>
    <row r="7">
      <c r="B7" s="89" t="str">
        <f>'Spell List'!B19&amp;" "&amp;'Spell List'!C19</f>
        <v>0 Detect Poison</v>
      </c>
    </row>
    <row r="8">
      <c r="B8" s="89" t="str">
        <f>'Spell List'!B20&amp;" "&amp;'Spell List'!C20</f>
        <v>0 Flare</v>
      </c>
    </row>
    <row r="9">
      <c r="B9" s="89" t="str">
        <f>'Spell List'!B21&amp;" "&amp;'Spell List'!C21</f>
        <v>0 Guidance</v>
      </c>
    </row>
    <row r="10">
      <c r="B10" s="89" t="str">
        <f>'Spell List'!B22&amp;" "&amp;'Spell List'!C22</f>
        <v>0 Know Direction</v>
      </c>
    </row>
    <row r="11">
      <c r="B11" s="89" t="str">
        <f>'Spell List'!B23&amp;" "&amp;'Spell List'!C23</f>
        <v>0 Light</v>
      </c>
    </row>
    <row r="12">
      <c r="B12" s="89" t="str">
        <f>'Spell List'!B24&amp;" "&amp;'Spell List'!C24</f>
        <v>0 Mending</v>
      </c>
    </row>
    <row r="13">
      <c r="B13" s="89" t="str">
        <f>'Spell List'!B25&amp;" "&amp;'Spell List'!C25</f>
        <v>0 Purify Food and Drink</v>
      </c>
    </row>
    <row r="14">
      <c r="B14" s="89" t="str">
        <f>'Spell List'!B26&amp;" "&amp;'Spell List'!C26</f>
        <v>0 Read Magic</v>
      </c>
    </row>
    <row r="15">
      <c r="B15" s="89" t="str">
        <f>'Spell List'!B27&amp;" "&amp;'Spell List'!C27</f>
        <v>0 Resistance</v>
      </c>
    </row>
    <row r="16">
      <c r="B16" s="89" t="str">
        <f>'Spell List'!B28&amp;" "&amp;'Spell List'!C28</f>
        <v>0 Virtue</v>
      </c>
    </row>
    <row r="17">
      <c r="B17" s="89" t="str">
        <f>'Spell List'!B29&amp;" "&amp;'Spell List'!C29</f>
        <v>1 Calm Animals</v>
      </c>
    </row>
    <row r="18">
      <c r="B18" s="89" t="str">
        <f>'Spell List'!B30&amp;" "&amp;'Spell List'!C30</f>
        <v>1 Charm Animal</v>
      </c>
    </row>
    <row r="19">
      <c r="B19" s="89" t="str">
        <f>'Spell List'!B31&amp;" "&amp;'Spell List'!C31</f>
        <v>1 Cure Light Wounds</v>
      </c>
    </row>
    <row r="20">
      <c r="B20" s="89" t="str">
        <f>'Spell List'!B32&amp;" "&amp;'Spell List'!C32</f>
        <v>1 Detect Animals or Plants</v>
      </c>
    </row>
    <row r="21">
      <c r="B21" s="89" t="str">
        <f>'Spell List'!B33&amp;" "&amp;'Spell List'!C33</f>
        <v>1 Detect Snares and Pits</v>
      </c>
    </row>
    <row r="22">
      <c r="B22" s="89" t="str">
        <f>'Spell List'!B34&amp;" "&amp;'Spell List'!C34</f>
        <v>1 Endure Elements</v>
      </c>
    </row>
    <row r="23">
      <c r="B23" s="89" t="str">
        <f>'Spell List'!B35&amp;" "&amp;'Spell List'!C35</f>
        <v>1 Entangle</v>
      </c>
    </row>
    <row r="24">
      <c r="B24" s="89" t="str">
        <f>'Spell List'!B36&amp;" "&amp;'Spell List'!C36</f>
        <v>1 Faerie Fire</v>
      </c>
    </row>
    <row r="25">
      <c r="B25" s="89" t="str">
        <f>'Spell List'!B37&amp;" "&amp;'Spell List'!C37</f>
        <v>1 Goodberry</v>
      </c>
    </row>
    <row r="26">
      <c r="B26" s="89" t="str">
        <f>'Spell List'!B38&amp;" "&amp;'Spell List'!C38</f>
        <v>1 Hide from Animals</v>
      </c>
    </row>
    <row r="27">
      <c r="B27" s="89" t="str">
        <f>'Spell List'!B39&amp;" "&amp;'Spell List'!C39</f>
        <v>1 Jump</v>
      </c>
    </row>
    <row r="28">
      <c r="B28" s="89" t="str">
        <f>'Spell List'!B40&amp;" "&amp;'Spell List'!C40</f>
        <v>1 Longstrider</v>
      </c>
    </row>
    <row r="29">
      <c r="B29" s="89" t="str">
        <f>'Spell List'!B41&amp;" "&amp;'Spell List'!C41</f>
        <v>1 Magic Fang</v>
      </c>
    </row>
    <row r="30">
      <c r="B30" s="89" t="str">
        <f>'Spell List'!B42&amp;" "&amp;'Spell List'!C42</f>
        <v>1 Magic Stone</v>
      </c>
    </row>
    <row r="31">
      <c r="B31" s="89" t="str">
        <f>'Spell List'!B43&amp;" "&amp;'Spell List'!C43</f>
        <v>1 Obscuring Mist</v>
      </c>
    </row>
    <row r="32">
      <c r="B32" s="89" t="str">
        <f>'Spell List'!B44&amp;" "&amp;'Spell List'!C44</f>
        <v>1 Pass without Trace</v>
      </c>
    </row>
    <row r="33">
      <c r="B33" s="89" t="str">
        <f>'Spell List'!B45&amp;" "&amp;'Spell List'!C45</f>
        <v>1 Produce Flame</v>
      </c>
    </row>
    <row r="34">
      <c r="B34" s="89" t="str">
        <f>'Spell List'!B46&amp;" "&amp;'Spell List'!C46</f>
        <v>1 Shillelagh</v>
      </c>
    </row>
    <row r="35">
      <c r="B35" s="89" t="str">
        <f>'Spell List'!B47&amp;" "&amp;'Spell List'!C47</f>
        <v>1 Speak with Animals</v>
      </c>
    </row>
    <row r="36">
      <c r="B36" s="89" t="str">
        <f>'Spell List'!B48&amp;" "&amp;'Spell List'!C48</f>
        <v>1 Summon Nature's Ally I</v>
      </c>
    </row>
    <row r="37">
      <c r="B37" s="89" t="str">
        <f>'Spell List'!B49&amp;" "&amp;'Spell List'!C49</f>
        <v>2 Animal Messenger</v>
      </c>
    </row>
    <row r="38">
      <c r="B38" s="89" t="str">
        <f>'Spell List'!B50&amp;" "&amp;'Spell List'!C50</f>
        <v>2 Animal Trance</v>
      </c>
    </row>
    <row r="39">
      <c r="B39" s="89" t="str">
        <f>'Spell List'!B51&amp;" "&amp;'Spell List'!C51</f>
        <v>2 Barkskin</v>
      </c>
    </row>
    <row r="40">
      <c r="B40" s="89" t="str">
        <f>'Spell List'!B52&amp;" "&amp;'Spell List'!C52</f>
        <v>2 Bear's Endurance</v>
      </c>
    </row>
    <row r="41">
      <c r="B41" s="89" t="str">
        <f>'Spell List'!B53&amp;" "&amp;'Spell List'!C53</f>
        <v>2 Bull's Strength</v>
      </c>
    </row>
    <row r="42">
      <c r="B42" s="89" t="str">
        <f>'Spell List'!B54&amp;" "&amp;'Spell List'!C54</f>
        <v>2 Cat's Grace</v>
      </c>
    </row>
    <row r="43">
      <c r="B43" s="89" t="str">
        <f>'Spell List'!B55&amp;" "&amp;'Spell List'!C55</f>
        <v>2 Chill Metal</v>
      </c>
    </row>
    <row r="44">
      <c r="B44" s="89" t="str">
        <f>'Spell List'!B56&amp;" "&amp;'Spell List'!C56</f>
        <v>2 Delay Posion</v>
      </c>
    </row>
    <row r="45">
      <c r="B45" s="89" t="str">
        <f>'Spell List'!B57&amp;" "&amp;'Spell List'!C57</f>
        <v>2 Fire Trap</v>
      </c>
    </row>
    <row r="46">
      <c r="B46" s="89" t="str">
        <f>'Spell List'!B58&amp;" "&amp;'Spell List'!C58</f>
        <v>2 Flame Blade</v>
      </c>
    </row>
    <row r="47">
      <c r="B47" s="89" t="str">
        <f>'Spell List'!B59&amp;" "&amp;'Spell List'!C59</f>
        <v>2 Flaming Sphere</v>
      </c>
    </row>
    <row r="48">
      <c r="B48" s="89" t="str">
        <f>'Spell List'!B60&amp;" "&amp;'Spell List'!C60</f>
        <v>2 Fog Cloud</v>
      </c>
    </row>
    <row r="49">
      <c r="B49" s="89" t="str">
        <f>'Spell List'!B61&amp;" "&amp;'Spell List'!C61</f>
        <v>2 Gust of Wind</v>
      </c>
    </row>
    <row r="50">
      <c r="B50" s="89" t="str">
        <f>'Spell List'!B62&amp;" "&amp;'Spell List'!C62</f>
        <v>2 Heat Metal</v>
      </c>
    </row>
    <row r="51">
      <c r="B51" s="89" t="str">
        <f>'Spell List'!B63&amp;" "&amp;'Spell List'!C63</f>
        <v>2 Hold Animal</v>
      </c>
    </row>
    <row r="52">
      <c r="B52" s="89" t="str">
        <f>'Spell List'!B64&amp;" "&amp;'Spell List'!C64</f>
        <v>2 Owl's Wisdom</v>
      </c>
    </row>
    <row r="53">
      <c r="B53" s="89" t="str">
        <f>'Spell List'!B65&amp;" "&amp;'Spell List'!C65</f>
        <v>2 Reduce Animal</v>
      </c>
    </row>
    <row r="54">
      <c r="B54" s="89" t="str">
        <f>'Spell List'!B66&amp;" "&amp;'Spell List'!C66</f>
        <v>2 Resist Energy</v>
      </c>
    </row>
    <row r="55">
      <c r="B55" s="89" t="str">
        <f>'Spell List'!B67&amp;" "&amp;'Spell List'!C67</f>
        <v>2 Lesser Restoration</v>
      </c>
    </row>
    <row r="56">
      <c r="B56" s="89" t="str">
        <f>'Spell List'!B68&amp;" "&amp;'Spell List'!C68</f>
        <v>2 Soften Earth and Stone</v>
      </c>
    </row>
    <row r="57">
      <c r="B57" s="89" t="str">
        <f>'Spell List'!B69&amp;" "&amp;'Spell List'!C69</f>
        <v>2 Spider Climb</v>
      </c>
    </row>
    <row r="58">
      <c r="B58" s="89" t="str">
        <f>'Spell List'!B70&amp;" "&amp;'Spell List'!C70</f>
        <v>2 Summon Nature's Ally II</v>
      </c>
    </row>
    <row r="59">
      <c r="B59" s="89" t="str">
        <f>'Spell List'!B71&amp;" "&amp;'Spell List'!C71</f>
        <v>2 Summon Swarm</v>
      </c>
    </row>
    <row r="60">
      <c r="B60" s="89" t="str">
        <f>'Spell List'!B72&amp;" "&amp;'Spell List'!C72</f>
        <v>2 Tree Shape</v>
      </c>
    </row>
    <row r="61">
      <c r="B61" s="89" t="str">
        <f>'Spell List'!B73&amp;" "&amp;'Spell List'!C73</f>
        <v>2 Warp Wood</v>
      </c>
    </row>
    <row r="62">
      <c r="B62" s="89" t="str">
        <f>'Spell List'!B74&amp;" "&amp;'Spell List'!C74</f>
        <v>2 Wood Shape</v>
      </c>
    </row>
    <row r="63">
      <c r="B63" s="89" t="str">
        <f>'Spell List'!B75&amp;" "&amp;'Spell List'!C75</f>
        <v>3 Call Lightning</v>
      </c>
    </row>
    <row r="64">
      <c r="B64" s="89" t="str">
        <f>'Spell List'!B76&amp;" "&amp;'Spell List'!C76</f>
        <v>3 Contagion</v>
      </c>
    </row>
    <row r="65">
      <c r="B65" s="89" t="str">
        <f>'Spell List'!B77&amp;" "&amp;'Spell List'!C77</f>
        <v>3 Cure Moderate Wounds</v>
      </c>
    </row>
    <row r="66">
      <c r="B66" s="89" t="str">
        <f>'Spell List'!B78&amp;" "&amp;'Spell List'!C78</f>
        <v>3 Daylight</v>
      </c>
    </row>
    <row r="67">
      <c r="B67" s="89" t="str">
        <f>'Spell List'!B79&amp;" "&amp;'Spell List'!C79</f>
        <v>3 Diminish Plants</v>
      </c>
    </row>
    <row r="68">
      <c r="B68" s="89" t="str">
        <f>'Spell List'!B80&amp;" "&amp;'Spell List'!C80</f>
        <v>3 Dominate Animal</v>
      </c>
    </row>
    <row r="69">
      <c r="B69" s="89" t="str">
        <f>'Spell List'!B81&amp;" "&amp;'Spell List'!C81</f>
        <v>3 Greater Magic Fang</v>
      </c>
    </row>
    <row r="70">
      <c r="B70" s="89" t="str">
        <f>'Spell List'!B82&amp;" "&amp;'Spell List'!C82</f>
        <v>3 Meld into Stone</v>
      </c>
    </row>
    <row r="71">
      <c r="B71" s="89" t="str">
        <f>'Spell List'!B83&amp;" "&amp;'Spell List'!C83</f>
        <v>3 Neutralize Poison</v>
      </c>
    </row>
    <row r="72">
      <c r="B72" s="89" t="str">
        <f>'Spell List'!B84&amp;" "&amp;'Spell List'!C84</f>
        <v>3 Plant Growth</v>
      </c>
    </row>
    <row r="73">
      <c r="B73" s="89" t="str">
        <f>'Spell List'!B85&amp;" "&amp;'Spell List'!C85</f>
        <v>3 Poison</v>
      </c>
    </row>
    <row r="74">
      <c r="B74" s="89" t="str">
        <f>'Spell List'!B86&amp;" "&amp;'Spell List'!C86</f>
        <v>3 Protection from Energy</v>
      </c>
    </row>
    <row r="75">
      <c r="B75" s="89" t="str">
        <f>'Spell List'!B87&amp;" "&amp;'Spell List'!C87</f>
        <v>3 Quench</v>
      </c>
    </row>
    <row r="76">
      <c r="B76" s="89" t="str">
        <f>'Spell List'!B88&amp;" "&amp;'Spell List'!C88</f>
        <v>3 Remove Disease</v>
      </c>
    </row>
    <row r="77">
      <c r="B77" s="89" t="str">
        <f>'Spell List'!B89&amp;" "&amp;'Spell List'!C89</f>
        <v>3 Sleet Storm</v>
      </c>
    </row>
    <row r="78">
      <c r="B78" s="89" t="str">
        <f>'Spell List'!B90&amp;" "&amp;'Spell List'!C90</f>
        <v>3 Snare</v>
      </c>
    </row>
    <row r="79">
      <c r="B79" s="89" t="str">
        <f>'Spell List'!B91&amp;" "&amp;'Spell List'!C91</f>
        <v>3 Speak with Plants</v>
      </c>
    </row>
    <row r="80">
      <c r="B80" s="89" t="str">
        <f>'Spell List'!B92&amp;" "&amp;'Spell List'!C92</f>
        <v>3 Spike Growth</v>
      </c>
    </row>
    <row r="81">
      <c r="B81" s="89" t="str">
        <f>'Spell List'!B93&amp;" "&amp;'Spell List'!C93</f>
        <v>3 Stone Shape</v>
      </c>
    </row>
    <row r="82">
      <c r="B82" s="89" t="str">
        <f>'Spell List'!B94&amp;" "&amp;'Spell List'!C94</f>
        <v>3 Summon Nature's Ally III</v>
      </c>
    </row>
    <row r="83">
      <c r="B83" s="89" t="str">
        <f>'Spell List'!B95&amp;" "&amp;'Spell List'!C95</f>
        <v>3 Water Breathing</v>
      </c>
    </row>
    <row r="84">
      <c r="B84" s="89" t="str">
        <f>'Spell List'!B96&amp;" "&amp;'Spell List'!C96</f>
        <v>3 Wind Wall</v>
      </c>
    </row>
    <row r="85">
      <c r="B85" s="89" t="str">
        <f>'Spell List'!B97&amp;" "&amp;'Spell List'!C97</f>
        <v>4 Air Walk</v>
      </c>
    </row>
    <row r="86">
      <c r="B86" s="89" t="str">
        <f>'Spell List'!B98&amp;" "&amp;'Spell List'!C98</f>
        <v>4 Antiplant Shell</v>
      </c>
    </row>
    <row r="87">
      <c r="B87" s="89" t="str">
        <f>'Spell List'!B99&amp;" "&amp;'Spell List'!C99</f>
        <v>4 Blight</v>
      </c>
    </row>
    <row r="88">
      <c r="B88" s="89" t="str">
        <f>'Spell List'!B100&amp;" "&amp;'Spell List'!C100</f>
        <v>4 Command Plants</v>
      </c>
    </row>
    <row r="89">
      <c r="B89" s="89" t="str">
        <f>'Spell List'!B101&amp;" "&amp;'Spell List'!C101</f>
        <v>4 Control Water</v>
      </c>
    </row>
    <row r="90">
      <c r="B90" s="89" t="str">
        <f>'Spell List'!B102&amp;" "&amp;'Spell List'!C102</f>
        <v>4 Cure Serious Wounds</v>
      </c>
    </row>
    <row r="91">
      <c r="B91" s="89" t="str">
        <f>'Spell List'!B103&amp;" "&amp;'Spell List'!C103</f>
        <v>4 Dispel Magic</v>
      </c>
    </row>
    <row r="92">
      <c r="B92" s="89" t="str">
        <f>'Spell List'!B104&amp;" "&amp;'Spell List'!C104</f>
        <v>4 Flame Strike</v>
      </c>
    </row>
    <row r="93">
      <c r="B93" s="89" t="str">
        <f>'Spell List'!B105&amp;" "&amp;'Spell List'!C105</f>
        <v>4 Freedom of Movement</v>
      </c>
    </row>
    <row r="94">
      <c r="B94" s="89" t="str">
        <f>'Spell List'!B106&amp;" "&amp;'Spell List'!C106</f>
        <v>4 Giant Vermin</v>
      </c>
    </row>
    <row r="95">
      <c r="B95" s="89" t="str">
        <f>'Spell List'!B107&amp;" "&amp;'Spell List'!C107</f>
        <v>4 Ice Storm</v>
      </c>
    </row>
    <row r="96">
      <c r="B96" s="89" t="str">
        <f>'Spell List'!B108&amp;" "&amp;'Spell List'!C108</f>
        <v>4 Reincarnate</v>
      </c>
    </row>
    <row r="97">
      <c r="B97" s="89" t="str">
        <f>'Spell List'!B109&amp;" "&amp;'Spell List'!C109</f>
        <v>4 Repel Vermin</v>
      </c>
    </row>
    <row r="98">
      <c r="B98" s="89" t="str">
        <f>'Spell List'!B110&amp;" "&amp;'Spell List'!C110</f>
        <v>4 Rusting Grasp</v>
      </c>
    </row>
    <row r="99">
      <c r="B99" s="89" t="str">
        <f>'Spell List'!B111&amp;" "&amp;'Spell List'!C111</f>
        <v>4 Scrying</v>
      </c>
    </row>
    <row r="100">
      <c r="B100" s="89" t="str">
        <f>'Spell List'!B112&amp;" "&amp;'Spell List'!C112</f>
        <v>4 Spike Stones</v>
      </c>
    </row>
    <row r="101">
      <c r="B101" s="89" t="str">
        <f>'Spell List'!B113&amp;" "&amp;'Spell List'!C113</f>
        <v>4 Summon Nature's Ally IV</v>
      </c>
    </row>
    <row r="102">
      <c r="B102" s="89" t="str">
        <f>'Spell List'!B114&amp;" "&amp;'Spell List'!C114</f>
        <v>5 Animal Growth</v>
      </c>
    </row>
    <row r="103">
      <c r="B103" s="89" t="str">
        <f>'Spell List'!B115&amp;" "&amp;'Spell List'!C115</f>
        <v>5 Atonement</v>
      </c>
    </row>
    <row r="104">
      <c r="B104" s="89" t="str">
        <f>'Spell List'!B116&amp;" "&amp;'Spell List'!C116</f>
        <v>5 Awaken</v>
      </c>
    </row>
    <row r="105">
      <c r="B105" s="89" t="str">
        <f>'Spell List'!B117&amp;" "&amp;'Spell List'!C117</f>
        <v>5 Baleful Polymorph</v>
      </c>
    </row>
    <row r="106">
      <c r="B106" s="89" t="str">
        <f>'Spell List'!B118&amp;" "&amp;'Spell List'!C118</f>
        <v>5 Call Lightning Storm</v>
      </c>
    </row>
    <row r="107">
      <c r="B107" s="89" t="str">
        <f>'Spell List'!B119&amp;" "&amp;'Spell List'!C119</f>
        <v>5 Commune with Nature</v>
      </c>
    </row>
    <row r="108">
      <c r="B108" s="89" t="str">
        <f>'Spell List'!B120&amp;" "&amp;'Spell List'!C120</f>
        <v>5 Control Winds</v>
      </c>
    </row>
    <row r="109">
      <c r="B109" s="89" t="str">
        <f>'Spell List'!B121&amp;" "&amp;'Spell List'!C121</f>
        <v>5 Cure Critical Wounds</v>
      </c>
    </row>
    <row r="110">
      <c r="B110" s="89" t="str">
        <f>'Spell List'!B122&amp;" "&amp;'Spell List'!C122</f>
        <v>5 Death Ward</v>
      </c>
    </row>
    <row r="111">
      <c r="B111" s="89" t="str">
        <f>'Spell List'!B123&amp;" "&amp;'Spell List'!C123</f>
        <v>5 Hallow</v>
      </c>
    </row>
    <row r="112">
      <c r="B112" s="89" t="str">
        <f>'Spell List'!B124&amp;" "&amp;'Spell List'!C124</f>
        <v>5 Insect Plague</v>
      </c>
    </row>
    <row r="113">
      <c r="B113" s="89" t="str">
        <f>'Spell List'!B125&amp;" "&amp;'Spell List'!C125</f>
        <v>5 Stoneskin</v>
      </c>
    </row>
    <row r="114">
      <c r="B114" s="89" t="str">
        <f>'Spell List'!B126&amp;" "&amp;'Spell List'!C126</f>
        <v>5 Summon Nature's Ally V</v>
      </c>
    </row>
    <row r="115">
      <c r="B115" s="89" t="str">
        <f>'Spell List'!B127&amp;" "&amp;'Spell List'!C127</f>
        <v>5 Transmute Mud to Rock</v>
      </c>
    </row>
    <row r="116">
      <c r="B116" s="89" t="str">
        <f>'Spell List'!B128&amp;" "&amp;'Spell List'!C128</f>
        <v>5 Transmute Rock to Mud</v>
      </c>
    </row>
    <row r="117">
      <c r="B117" s="89" t="str">
        <f>'Spell List'!B129&amp;" "&amp;'Spell List'!C129</f>
        <v>5 Tree Stride</v>
      </c>
    </row>
    <row r="118">
      <c r="B118" s="89" t="str">
        <f>'Spell List'!B130&amp;" "&amp;'Spell List'!C130</f>
        <v>5 Unhallow</v>
      </c>
    </row>
    <row r="119">
      <c r="B119" s="89" t="str">
        <f>'Spell List'!B131&amp;" "&amp;'Spell List'!C131</f>
        <v>5 Wall of Fire</v>
      </c>
    </row>
    <row r="120">
      <c r="B120" s="89" t="str">
        <f>'Spell List'!B132&amp;" "&amp;'Spell List'!C132</f>
        <v>5 Wall of Thorns</v>
      </c>
    </row>
    <row r="121">
      <c r="B121" s="89" t="str">
        <f>'Spell List'!B133&amp;" "&amp;'Spell List'!C133</f>
        <v>6 Antilife Shell</v>
      </c>
    </row>
    <row r="122">
      <c r="B122" s="89" t="str">
        <f>'Spell List'!B134&amp;" "&amp;'Spell List'!C134</f>
        <v>6 Mass Bear's Endurance</v>
      </c>
    </row>
    <row r="123">
      <c r="B123" s="89" t="str">
        <f>'Spell List'!B135&amp;" "&amp;'Spell List'!C135</f>
        <v>6 Mass Bull's Strength</v>
      </c>
    </row>
    <row r="124">
      <c r="B124" s="89" t="str">
        <f>'Spell List'!B136&amp;" "&amp;'Spell List'!C136</f>
        <v>6 Mass Cat's Grace</v>
      </c>
    </row>
    <row r="125">
      <c r="B125" s="89" t="str">
        <f>'Spell List'!B137&amp;" "&amp;'Spell List'!C137</f>
        <v>6 Mass Cure Light Wounds</v>
      </c>
    </row>
    <row r="126">
      <c r="B126" s="89" t="str">
        <f>'Spell List'!B138&amp;" "&amp;'Spell List'!C138</f>
        <v>6 Greater Dispel Magic</v>
      </c>
    </row>
    <row r="127">
      <c r="B127" s="89" t="str">
        <f>'Spell List'!B139&amp;" "&amp;'Spell List'!C139</f>
        <v>6 Find the Path</v>
      </c>
    </row>
    <row r="128">
      <c r="B128" s="89" t="str">
        <f>'Spell List'!B140&amp;" "&amp;'Spell List'!C140</f>
        <v>6 Fire Seeds</v>
      </c>
    </row>
    <row r="129">
      <c r="B129" s="89" t="str">
        <f>'Spell List'!B141&amp;" "&amp;'Spell List'!C141</f>
        <v>6 Ironwood</v>
      </c>
    </row>
    <row r="130">
      <c r="B130" s="89" t="str">
        <f>'Spell List'!B142&amp;" "&amp;'Spell List'!C142</f>
        <v>6 Liveoak</v>
      </c>
    </row>
    <row r="131">
      <c r="B131" s="89" t="str">
        <f>'Spell List'!B143&amp;" "&amp;'Spell List'!C143</f>
        <v>6 Move Earth</v>
      </c>
    </row>
    <row r="132">
      <c r="B132" s="89" t="str">
        <f>'Spell List'!B144&amp;" "&amp;'Spell List'!C144</f>
        <v>6 Mass Owl's Wisdom</v>
      </c>
    </row>
    <row r="133">
      <c r="B133" s="89" t="str">
        <f>'Spell List'!B145&amp;" "&amp;'Spell List'!C145</f>
        <v>6 Repel Wood</v>
      </c>
    </row>
    <row r="134">
      <c r="B134" s="89" t="str">
        <f>'Spell List'!B146&amp;" "&amp;'Spell List'!C146</f>
        <v>6 Spellstaff</v>
      </c>
    </row>
    <row r="135">
      <c r="B135" s="89" t="str">
        <f>'Spell List'!B147&amp;" "&amp;'Spell List'!C147</f>
        <v>6 Stone Tell</v>
      </c>
    </row>
    <row r="136">
      <c r="B136" s="89" t="str">
        <f>'Spell List'!B148&amp;" "&amp;'Spell List'!C148</f>
        <v>6 Summon Nature's Ally VI</v>
      </c>
    </row>
    <row r="137">
      <c r="B137" s="89" t="str">
        <f>'Spell List'!B149&amp;" "&amp;'Spell List'!C149</f>
        <v>6 Transport via Plants</v>
      </c>
    </row>
    <row r="138">
      <c r="B138" s="89" t="str">
        <f>'Spell List'!B150&amp;" "&amp;'Spell List'!C150</f>
        <v>6 Wall of Stone</v>
      </c>
    </row>
    <row r="139">
      <c r="B139" s="89" t="str">
        <f>'Spell List'!B151&amp;" "&amp;'Spell List'!C151</f>
        <v>7 Animate Plants</v>
      </c>
    </row>
    <row r="140">
      <c r="B140" s="89" t="str">
        <f>'Spell List'!B152&amp;" "&amp;'Spell List'!C152</f>
        <v>7 Changestaff</v>
      </c>
    </row>
    <row r="141">
      <c r="B141" s="89" t="str">
        <f>'Spell List'!B153&amp;" "&amp;'Spell List'!C153</f>
        <v>7 Control Weather</v>
      </c>
    </row>
    <row r="142">
      <c r="B142" s="89" t="str">
        <f>'Spell List'!B154&amp;" "&amp;'Spell List'!C154</f>
        <v>7 Creeping Doom</v>
      </c>
    </row>
    <row r="143">
      <c r="B143" s="89" t="str">
        <f>'Spell List'!B155&amp;" "&amp;'Spell List'!C155</f>
        <v>7 Mass Cure Moderate Wounds</v>
      </c>
    </row>
    <row r="144">
      <c r="B144" s="89" t="str">
        <f>'Spell List'!B156&amp;" "&amp;'Spell List'!C156</f>
        <v>7 Fire Storm</v>
      </c>
    </row>
    <row r="145">
      <c r="B145" s="89" t="str">
        <f>'Spell List'!B157&amp;" "&amp;'Spell List'!C157</f>
        <v>7 Heal</v>
      </c>
    </row>
    <row r="146">
      <c r="B146" s="89" t="str">
        <f>'Spell List'!B158&amp;" "&amp;'Spell List'!C158</f>
        <v>7 Greater Scrying</v>
      </c>
    </row>
    <row r="147">
      <c r="B147" s="89" t="str">
        <f>'Spell List'!B159&amp;" "&amp;'Spell List'!C159</f>
        <v>7 Summon Nature's Ally VII</v>
      </c>
    </row>
    <row r="148">
      <c r="B148" s="89" t="str">
        <f>'Spell List'!B160&amp;" "&amp;'Spell List'!C160</f>
        <v>7 Sunbeam</v>
      </c>
    </row>
    <row r="149">
      <c r="B149" s="89" t="str">
        <f>'Spell List'!B161&amp;" "&amp;'Spell List'!C161</f>
        <v>7 Transmute Metal to Wood</v>
      </c>
    </row>
    <row r="150">
      <c r="B150" s="89" t="str">
        <f>'Spell List'!B162&amp;" "&amp;'Spell List'!C162</f>
        <v>7 True Seeing</v>
      </c>
    </row>
    <row r="151">
      <c r="B151" s="89" t="str">
        <f>'Spell List'!B163&amp;" "&amp;'Spell List'!C163</f>
        <v>7 Wind Walk</v>
      </c>
    </row>
    <row r="152">
      <c r="B152" s="89" t="str">
        <f>'Spell List'!B164&amp;" "&amp;'Spell List'!C164</f>
        <v>8 Animal Shapes</v>
      </c>
    </row>
    <row r="153">
      <c r="B153" s="89" t="str">
        <f>'Spell List'!B165&amp;" "&amp;'Spell List'!C165</f>
        <v>8 Control Plants</v>
      </c>
    </row>
    <row r="154">
      <c r="B154" s="89" t="str">
        <f>'Spell List'!B166&amp;" "&amp;'Spell List'!C166</f>
        <v>8 Mass Cure Serious Wounds</v>
      </c>
    </row>
    <row r="155">
      <c r="B155" s="89" t="str">
        <f>'Spell List'!B167&amp;" "&amp;'Spell List'!C167</f>
        <v>8 Earthquake</v>
      </c>
    </row>
    <row r="156">
      <c r="B156" s="89" t="str">
        <f>'Spell List'!B168&amp;" "&amp;'Spell List'!C168</f>
        <v>8 Finger of Death</v>
      </c>
    </row>
    <row r="157">
      <c r="B157" s="89" t="str">
        <f>'Spell List'!B169&amp;" "&amp;'Spell List'!C169</f>
        <v>8 Repel Metal or Stone</v>
      </c>
    </row>
    <row r="158">
      <c r="B158" s="89" t="str">
        <f>'Spell List'!B170&amp;" "&amp;'Spell List'!C170</f>
        <v>8 Reverse Gravity</v>
      </c>
    </row>
    <row r="159">
      <c r="B159" s="89" t="str">
        <f>'Spell List'!B171&amp;" "&amp;'Spell List'!C171</f>
        <v>8 Summon Nature's Ally VIII</v>
      </c>
    </row>
    <row r="160">
      <c r="B160" s="89" t="str">
        <f>'Spell List'!B172&amp;" "&amp;'Spell List'!C172</f>
        <v>8 Sunburst</v>
      </c>
    </row>
    <row r="161">
      <c r="B161" s="89" t="str">
        <f>'Spell List'!B173&amp;" "&amp;'Spell List'!C173</f>
        <v>8 Whirlwind</v>
      </c>
    </row>
    <row r="162">
      <c r="B162" s="89" t="str">
        <f>'Spell List'!B174&amp;" "&amp;'Spell List'!C174</f>
        <v>8 Word of Recall</v>
      </c>
    </row>
    <row r="163">
      <c r="B163" s="89" t="str">
        <f>'Spell List'!B175&amp;" "&amp;'Spell List'!C175</f>
        <v>9 Antipathy</v>
      </c>
    </row>
    <row r="164">
      <c r="B164" s="89" t="str">
        <f>'Spell List'!B176&amp;" "&amp;'Spell List'!C176</f>
        <v>9 Mass Cure Critical Wounds</v>
      </c>
    </row>
    <row r="165">
      <c r="B165" s="89" t="str">
        <f>'Spell List'!B177&amp;" "&amp;'Spell List'!C177</f>
        <v>9 Elemental Swarm</v>
      </c>
    </row>
    <row r="166">
      <c r="B166" s="89" t="str">
        <f>'Spell List'!B178&amp;" "&amp;'Spell List'!C178</f>
        <v>9 Foresight</v>
      </c>
    </row>
    <row r="167">
      <c r="B167" s="89" t="str">
        <f>'Spell List'!B179&amp;" "&amp;'Spell List'!C179</f>
        <v>9 Regenerate</v>
      </c>
    </row>
    <row r="168">
      <c r="B168" s="89" t="str">
        <f>'Spell List'!B180&amp;" "&amp;'Spell List'!C180</f>
        <v>9 Shambler</v>
      </c>
    </row>
    <row r="169">
      <c r="B169" s="89" t="str">
        <f>'Spell List'!B181&amp;" "&amp;'Spell List'!C181</f>
        <v>9 Shapechange</v>
      </c>
    </row>
    <row r="170">
      <c r="B170" s="89" t="str">
        <f>'Spell List'!B182&amp;" "&amp;'Spell List'!C182</f>
        <v>9 Storm of Vengeance</v>
      </c>
    </row>
    <row r="171">
      <c r="B171" s="89" t="str">
        <f>'Spell List'!B183&amp;" "&amp;'Spell List'!C183</f>
        <v>9 Summon Nature's Ally IX</v>
      </c>
    </row>
    <row r="172">
      <c r="B172" s="89" t="str">
        <f>'Spell List'!B184&amp;" "&amp;'Spell List'!C184</f>
        <v>9 Sympathy</v>
      </c>
    </row>
    <row r="173">
      <c r="B173" s="89" t="str">
        <f>'Spell List'!B185&amp;" "&amp;'Spell List'!C185</f>
        <v> </v>
      </c>
    </row>
    <row r="174">
      <c r="B174" s="89" t="str">
        <f>'Spell List'!B186&amp;" "&amp;'Spell List'!C186</f>
        <v> </v>
      </c>
    </row>
    <row r="175">
      <c r="B175" s="89" t="str">
        <f>'Spell List'!B187&amp;" "&amp;'Spell List'!C187</f>
        <v> </v>
      </c>
    </row>
    <row r="176">
      <c r="B176" s="89" t="str">
        <f>'Spell List'!B188&amp;" "&amp;'Spell List'!C188</f>
        <v> </v>
      </c>
    </row>
    <row r="177">
      <c r="B177" s="89" t="str">
        <f>'Spell List'!B189&amp;" "&amp;'Spell List'!C189</f>
        <v> </v>
      </c>
    </row>
    <row r="178">
      <c r="B178" s="89" t="str">
        <f>'Spell List'!B190&amp;" "&amp;'Spell List'!C190</f>
        <v> </v>
      </c>
    </row>
    <row r="179">
      <c r="B179" s="89" t="str">
        <f>'Spell List'!B191&amp;" "&amp;'Spell List'!C191</f>
        <v> </v>
      </c>
    </row>
    <row r="180">
      <c r="B180" s="89" t="str">
        <f>'Spell List'!B192&amp;" "&amp;'Spell List'!C192</f>
        <v> </v>
      </c>
    </row>
    <row r="181">
      <c r="B181" s="89" t="str">
        <f>'Spell List'!B193&amp;" "&amp;'Spell List'!C193</f>
        <v> </v>
      </c>
    </row>
    <row r="182">
      <c r="B182" s="89" t="str">
        <f>'Spell List'!B194&amp;" "&amp;'Spell List'!C194</f>
        <v> </v>
      </c>
    </row>
    <row r="183">
      <c r="B183" s="89" t="str">
        <f>'Spell List'!B195&amp;" "&amp;'Spell List'!C195</f>
        <v> </v>
      </c>
    </row>
    <row r="184">
      <c r="B184" s="89" t="str">
        <f>'Spell List'!B196&amp;" "&amp;'Spell List'!C196</f>
        <v> </v>
      </c>
    </row>
    <row r="185">
      <c r="B185" s="89" t="str">
        <f>'Spell List'!B197&amp;" "&amp;'Spell List'!C197</f>
        <v> </v>
      </c>
    </row>
    <row r="186">
      <c r="B186" s="89" t="str">
        <f>'Spell List'!B198&amp;" "&amp;'Spell List'!C198</f>
        <v> </v>
      </c>
    </row>
    <row r="187">
      <c r="B187" s="89" t="str">
        <f>'Spell List'!B199&amp;" "&amp;'Spell List'!C199</f>
        <v> </v>
      </c>
    </row>
    <row r="188">
      <c r="B188" s="89" t="str">
        <f>'Spell List'!B200&amp;" "&amp;'Spell List'!C200</f>
        <v> </v>
      </c>
    </row>
    <row r="189">
      <c r="B189" s="89" t="str">
        <f>'Spell List'!B201&amp;" "&amp;'Spell List'!C201</f>
        <v> </v>
      </c>
    </row>
    <row r="190">
      <c r="B190" s="89" t="str">
        <f>'Spell List'!B202&amp;" "&amp;'Spell List'!C202</f>
        <v> </v>
      </c>
    </row>
    <row r="191">
      <c r="B191" s="89" t="str">
        <f>'Spell List'!B203&amp;" "&amp;'Spell List'!C203</f>
        <v> </v>
      </c>
    </row>
    <row r="192">
      <c r="B192" s="89" t="str">
        <f>'Spell List'!B204&amp;" "&amp;'Spell List'!C204</f>
        <v> </v>
      </c>
    </row>
    <row r="193">
      <c r="B193" s="89" t="str">
        <f>'Spell List'!B205&amp;" "&amp;'Spell List'!C205</f>
        <v> </v>
      </c>
    </row>
    <row r="194">
      <c r="B194" s="89" t="str">
        <f>'Spell List'!B206&amp;" "&amp;'Spell List'!C206</f>
        <v> </v>
      </c>
    </row>
    <row r="195">
      <c r="B195" s="89" t="str">
        <f>'Spell List'!B207&amp;" "&amp;'Spell List'!C207</f>
        <v> </v>
      </c>
    </row>
    <row r="196">
      <c r="B196" s="89" t="str">
        <f>'Spell List'!B208&amp;" "&amp;'Spell List'!C208</f>
        <v> </v>
      </c>
    </row>
    <row r="197">
      <c r="B197" s="89" t="str">
        <f>'Spell List'!B209&amp;" "&amp;'Spell List'!C209</f>
        <v> </v>
      </c>
    </row>
    <row r="198">
      <c r="B198" s="89" t="str">
        <f>'Spell List'!B210&amp;" "&amp;'Spell List'!C210</f>
        <v> </v>
      </c>
    </row>
    <row r="199">
      <c r="B199" s="89" t="str">
        <f>'Spell List'!B211&amp;" "&amp;'Spell List'!C211</f>
        <v> </v>
      </c>
    </row>
    <row r="200">
      <c r="B200" s="89" t="str">
        <f>'Spell List'!B212&amp;" "&amp;'Spell List'!C212</f>
        <v> </v>
      </c>
    </row>
    <row r="201">
      <c r="B201" s="89" t="str">
        <f>'Spell List'!B213&amp;" "&amp;'Spell List'!C213</f>
        <v> </v>
      </c>
    </row>
    <row r="202">
      <c r="B202" s="89" t="str">
        <f>'Spell List'!B214&amp;" "&amp;'Spell List'!C214</f>
        <v> </v>
      </c>
    </row>
    <row r="203">
      <c r="B203" s="89" t="str">
        <f>'Spell List'!B215&amp;" "&amp;'Spell List'!C215</f>
        <v> </v>
      </c>
    </row>
    <row r="204">
      <c r="B204" s="89" t="str">
        <f>'Spell List'!B216&amp;" "&amp;'Spell List'!C216</f>
        <v> </v>
      </c>
    </row>
    <row r="205">
      <c r="B205" s="89" t="str">
        <f>'Spell List'!B217&amp;" "&amp;'Spell List'!C217</f>
        <v> </v>
      </c>
    </row>
    <row r="206">
      <c r="B206" s="89" t="str">
        <f>'Spell List'!B218&amp;" "&amp;'Spell List'!C218</f>
        <v> </v>
      </c>
    </row>
    <row r="207">
      <c r="B207" s="89" t="str">
        <f>'Spell List'!B219&amp;" "&amp;'Spell List'!C219</f>
        <v> </v>
      </c>
    </row>
    <row r="208">
      <c r="B208" s="89" t="str">
        <f>'Spell List'!B220&amp;" "&amp;'Spell List'!C220</f>
        <v> </v>
      </c>
    </row>
    <row r="209">
      <c r="B209" s="89" t="str">
        <f>'Spell List'!B221&amp;" "&amp;'Spell List'!C221</f>
        <v> </v>
      </c>
    </row>
    <row r="210">
      <c r="B210" s="89" t="str">
        <f>'Spell List'!B222&amp;" "&amp;'Spell List'!C222</f>
        <v> </v>
      </c>
    </row>
    <row r="211">
      <c r="B211" s="89" t="str">
        <f>'Spell List'!B223&amp;" "&amp;'Spell List'!C223</f>
        <v> </v>
      </c>
    </row>
    <row r="212">
      <c r="B212" s="89" t="str">
        <f>'Spell List'!B224&amp;" "&amp;'Spell List'!C224</f>
        <v> </v>
      </c>
    </row>
    <row r="213">
      <c r="B213" s="89" t="str">
        <f>'Spell List'!B225&amp;" "&amp;'Spell List'!C225</f>
        <v> </v>
      </c>
    </row>
    <row r="214">
      <c r="B214" s="89" t="str">
        <f>'Spell List'!B226&amp;" "&amp;'Spell List'!C226</f>
        <v> </v>
      </c>
    </row>
    <row r="215">
      <c r="B215" s="89" t="str">
        <f>'Spell List'!B227&amp;" "&amp;'Spell List'!C227</f>
        <v> </v>
      </c>
    </row>
    <row r="216">
      <c r="B216" s="89" t="str">
        <f>'Spell List'!B228&amp;" "&amp;'Spell List'!C228</f>
        <v> </v>
      </c>
    </row>
    <row r="217">
      <c r="B217" s="89" t="str">
        <f>'Spell List'!B229&amp;" "&amp;'Spell List'!C229</f>
        <v> </v>
      </c>
    </row>
    <row r="218">
      <c r="B218" s="89" t="str">
        <f>'Spell List'!B230&amp;" "&amp;'Spell List'!C230</f>
        <v> </v>
      </c>
    </row>
    <row r="219">
      <c r="B219" s="89" t="str">
        <f>'Spell List'!B231&amp;" "&amp;'Spell List'!C231</f>
        <v> </v>
      </c>
    </row>
    <row r="220">
      <c r="B220" s="89" t="str">
        <f>'Spell List'!B232&amp;" "&amp;'Spell List'!C232</f>
        <v> </v>
      </c>
    </row>
    <row r="221">
      <c r="B221" s="89" t="str">
        <f>'Spell List'!B233&amp;" "&amp;'Spell List'!C233</f>
        <v> </v>
      </c>
    </row>
    <row r="222">
      <c r="B222" s="89" t="str">
        <f>'Spell List'!B234&amp;" "&amp;'Spell List'!C234</f>
        <v> </v>
      </c>
    </row>
    <row r="223">
      <c r="B223" s="89" t="str">
        <f>'Spell List'!B235&amp;" "&amp;'Spell List'!C235</f>
        <v> </v>
      </c>
    </row>
    <row r="224">
      <c r="B224" s="89" t="str">
        <f>'Spell List'!B236&amp;" "&amp;'Spell List'!C236</f>
        <v> </v>
      </c>
    </row>
    <row r="225">
      <c r="B225" s="89" t="str">
        <f>'Spell List'!B237&amp;" "&amp;'Spell List'!C237</f>
        <v> </v>
      </c>
    </row>
    <row r="226">
      <c r="B226" s="89" t="str">
        <f>'Spell List'!B238&amp;" "&amp;'Spell List'!C238</f>
        <v> </v>
      </c>
    </row>
    <row r="227">
      <c r="B227" s="89" t="str">
        <f>'Spell List'!B239&amp;" "&amp;'Spell List'!C239</f>
        <v> </v>
      </c>
    </row>
    <row r="228">
      <c r="B228" s="89" t="str">
        <f>'Spell List'!B240&amp;" "&amp;'Spell List'!C240</f>
        <v> </v>
      </c>
    </row>
    <row r="229">
      <c r="B229" s="89" t="str">
        <f>'Spell List'!B241&amp;" "&amp;'Spell List'!C241</f>
        <v> </v>
      </c>
    </row>
    <row r="230">
      <c r="B230" s="89" t="str">
        <f>'Spell List'!B242&amp;" "&amp;'Spell List'!C242</f>
        <v> </v>
      </c>
    </row>
    <row r="231">
      <c r="B231" s="89" t="str">
        <f>'Spell List'!B243&amp;" "&amp;'Spell List'!C243</f>
        <v> </v>
      </c>
    </row>
    <row r="232">
      <c r="B232" s="89" t="str">
        <f>'Spell List'!B244&amp;" "&amp;'Spell List'!C244</f>
        <v> </v>
      </c>
    </row>
    <row r="233">
      <c r="B233" s="89" t="str">
        <f>'Spell List'!B245&amp;" "&amp;'Spell List'!C245</f>
        <v> </v>
      </c>
    </row>
    <row r="234">
      <c r="B234" s="89" t="str">
        <f>'Spell List'!B246&amp;" "&amp;'Spell List'!C246</f>
        <v> </v>
      </c>
    </row>
    <row r="235">
      <c r="B235" s="89" t="str">
        <f>'Spell List'!B247&amp;" "&amp;'Spell List'!C247</f>
        <v> </v>
      </c>
    </row>
    <row r="236">
      <c r="B236" s="89" t="str">
        <f>'Spell List'!B248&amp;" "&amp;'Spell List'!C248</f>
        <v> </v>
      </c>
    </row>
    <row r="237">
      <c r="B237" s="89" t="str">
        <f>'Spell List'!B249&amp;" "&amp;'Spell List'!C249</f>
        <v> </v>
      </c>
    </row>
    <row r="238">
      <c r="B238" s="89" t="str">
        <f>'Spell List'!B250&amp;" "&amp;'Spell List'!C250</f>
        <v> </v>
      </c>
    </row>
    <row r="239">
      <c r="B239" s="89" t="str">
        <f>'Spell List'!B251&amp;" "&amp;'Spell List'!C251</f>
        <v> </v>
      </c>
    </row>
    <row r="240">
      <c r="B240" s="89" t="str">
        <f>'Spell List'!B252&amp;" "&amp;'Spell List'!C252</f>
        <v> </v>
      </c>
    </row>
    <row r="241">
      <c r="B241" s="89" t="str">
        <f>'Spell List'!B253&amp;" "&amp;'Spell List'!C253</f>
        <v> </v>
      </c>
    </row>
    <row r="242">
      <c r="B242" s="89" t="str">
        <f>'Spell List'!B254&amp;" "&amp;'Spell List'!C254</f>
        <v> </v>
      </c>
    </row>
    <row r="243">
      <c r="B243" s="89" t="str">
        <f>'Spell List'!B255&amp;" "&amp;'Spell List'!C255</f>
        <v> </v>
      </c>
    </row>
    <row r="244">
      <c r="B244" s="89" t="str">
        <f>'Spell List'!B256&amp;" "&amp;'Spell List'!C256</f>
        <v> </v>
      </c>
    </row>
    <row r="245">
      <c r="B245" s="89" t="str">
        <f>'Spell List'!B257&amp;" "&amp;'Spell List'!C257</f>
        <v> </v>
      </c>
    </row>
    <row r="246">
      <c r="B246" s="89" t="str">
        <f>'Spell List'!B258&amp;" "&amp;'Spell List'!C258</f>
        <v> </v>
      </c>
    </row>
    <row r="247">
      <c r="B247" s="89" t="str">
        <f>'Spell List'!B259&amp;" "&amp;'Spell List'!C259</f>
        <v> </v>
      </c>
    </row>
    <row r="248">
      <c r="B248" s="89" t="str">
        <f>'Spell List'!B260&amp;" "&amp;'Spell List'!C260</f>
        <v> </v>
      </c>
    </row>
    <row r="249">
      <c r="B249" s="89" t="str">
        <f>'Spell List'!B261&amp;" "&amp;'Spell List'!C261</f>
        <v> </v>
      </c>
    </row>
    <row r="250">
      <c r="B250" s="89" t="str">
        <f>'Spell List'!B262&amp;" "&amp;'Spell List'!C262</f>
        <v> </v>
      </c>
    </row>
    <row r="251">
      <c r="B251" s="89" t="str">
        <f>'Spell List'!B263&amp;" "&amp;'Spell List'!C263</f>
        <v> </v>
      </c>
    </row>
    <row r="252">
      <c r="B252" s="89" t="str">
        <f>'Spell List'!B264&amp;" "&amp;'Spell List'!C264</f>
        <v> </v>
      </c>
    </row>
    <row r="253">
      <c r="B253" s="89" t="str">
        <f>'Spell List'!B265&amp;" "&amp;'Spell List'!C265</f>
        <v> </v>
      </c>
    </row>
    <row r="254">
      <c r="B254" s="89" t="str">
        <f>'Spell List'!B266&amp;" "&amp;'Spell List'!C266</f>
        <v> </v>
      </c>
    </row>
    <row r="255">
      <c r="B255" s="89" t="str">
        <f>'Spell List'!B267&amp;" "&amp;'Spell List'!C267</f>
        <v> </v>
      </c>
    </row>
    <row r="256">
      <c r="B256" s="89" t="str">
        <f>'Spell List'!B268&amp;" "&amp;'Spell List'!C268</f>
        <v> </v>
      </c>
    </row>
    <row r="257">
      <c r="B257" s="89" t="str">
        <f>'Spell List'!B269&amp;" "&amp;'Spell List'!C269</f>
        <v> </v>
      </c>
    </row>
    <row r="258">
      <c r="B258" s="89" t="str">
        <f>'Spell List'!B270&amp;" "&amp;'Spell List'!C270</f>
        <v> </v>
      </c>
    </row>
    <row r="259">
      <c r="B259" s="89" t="str">
        <f>'Spell List'!B271&amp;" "&amp;'Spell List'!C271</f>
        <v> </v>
      </c>
    </row>
    <row r="260">
      <c r="B260" s="89" t="str">
        <f>'Spell List'!B272&amp;" "&amp;'Spell List'!C272</f>
        <v> </v>
      </c>
    </row>
    <row r="261">
      <c r="B261" s="89" t="str">
        <f>'Spell List'!B273&amp;" "&amp;'Spell List'!C273</f>
        <v> </v>
      </c>
    </row>
    <row r="262">
      <c r="B262" s="89" t="str">
        <f>'Spell List'!B274&amp;" "&amp;'Spell List'!C274</f>
        <v> </v>
      </c>
    </row>
    <row r="263">
      <c r="B263" s="89" t="str">
        <f>'Spell List'!B275&amp;" "&amp;'Spell List'!C275</f>
        <v> </v>
      </c>
    </row>
    <row r="264">
      <c r="B264" s="89" t="str">
        <f>'Spell List'!B276&amp;" "&amp;'Spell List'!C276</f>
        <v> </v>
      </c>
    </row>
    <row r="265">
      <c r="B265" s="89" t="str">
        <f>'Spell List'!B277&amp;" "&amp;'Spell List'!C277</f>
        <v> </v>
      </c>
    </row>
    <row r="266">
      <c r="B266" s="89" t="str">
        <f>'Spell List'!B278&amp;" "&amp;'Spell List'!C278</f>
        <v> </v>
      </c>
    </row>
    <row r="267">
      <c r="B267" s="89" t="str">
        <f>'Spell List'!B279&amp;" "&amp;'Spell List'!C279</f>
        <v> </v>
      </c>
    </row>
    <row r="268">
      <c r="B268" s="89" t="str">
        <f>'Spell List'!B280&amp;" "&amp;'Spell List'!C280</f>
        <v> </v>
      </c>
    </row>
    <row r="269">
      <c r="B269" s="89" t="str">
        <f>'Spell List'!B281&amp;" "&amp;'Spell List'!C281</f>
        <v> </v>
      </c>
    </row>
    <row r="270">
      <c r="B270" s="89" t="str">
        <f>'Spell List'!B282&amp;" "&amp;'Spell List'!C282</f>
        <v> </v>
      </c>
    </row>
    <row r="271">
      <c r="B271" s="89" t="str">
        <f>'Spell List'!B283&amp;" "&amp;'Spell List'!C283</f>
        <v> </v>
      </c>
    </row>
    <row r="272">
      <c r="B272" s="89" t="str">
        <f>'Spell List'!B284&amp;" "&amp;'Spell List'!C284</f>
        <v> </v>
      </c>
    </row>
    <row r="273">
      <c r="B273" s="89" t="str">
        <f>'Spell List'!B285&amp;" "&amp;'Spell List'!C285</f>
        <v> </v>
      </c>
    </row>
    <row r="274">
      <c r="B274" s="89" t="str">
        <f>'Spell List'!B286&amp;" "&amp;'Spell List'!C286</f>
        <v> </v>
      </c>
    </row>
    <row r="275">
      <c r="B275" s="89" t="str">
        <f>'Spell List'!B287&amp;" "&amp;'Spell List'!C287</f>
        <v> </v>
      </c>
    </row>
    <row r="276">
      <c r="B276" s="89" t="str">
        <f>'Spell List'!B288&amp;" "&amp;'Spell List'!C288</f>
        <v> </v>
      </c>
    </row>
    <row r="277">
      <c r="B277" s="89" t="str">
        <f>'Spell List'!B289&amp;" "&amp;'Spell List'!C289</f>
        <v> </v>
      </c>
    </row>
    <row r="278">
      <c r="B278" s="89" t="str">
        <f>'Spell List'!B290&amp;" "&amp;'Spell List'!C290</f>
        <v> </v>
      </c>
    </row>
    <row r="279">
      <c r="B279" s="89" t="str">
        <f>'Spell List'!B291&amp;" "&amp;'Spell List'!C291</f>
        <v> </v>
      </c>
    </row>
    <row r="280">
      <c r="B280" s="89" t="str">
        <f>'Spell List'!B292&amp;" "&amp;'Spell List'!C292</f>
        <v> </v>
      </c>
    </row>
    <row r="281">
      <c r="B281" s="89" t="str">
        <f>'Spell List'!B293&amp;" "&amp;'Spell List'!C293</f>
        <v> </v>
      </c>
    </row>
    <row r="282">
      <c r="B282" s="89" t="str">
        <f>'Spell List'!B294&amp;" "&amp;'Spell List'!C294</f>
        <v> </v>
      </c>
    </row>
    <row r="283">
      <c r="B283" s="89" t="str">
        <f>'Spell List'!B295&amp;" "&amp;'Spell List'!C295</f>
        <v> </v>
      </c>
    </row>
    <row r="284">
      <c r="B284" s="89" t="str">
        <f>'Spell List'!B296&amp;" "&amp;'Spell List'!C296</f>
        <v> </v>
      </c>
    </row>
    <row r="285">
      <c r="B285" s="89" t="str">
        <f>'Spell List'!B297&amp;" "&amp;'Spell List'!C297</f>
        <v> </v>
      </c>
    </row>
    <row r="286">
      <c r="B286" s="89" t="str">
        <f>'Spell List'!B298&amp;" "&amp;'Spell List'!C298</f>
        <v> </v>
      </c>
    </row>
    <row r="287">
      <c r="B287" s="89" t="str">
        <f>'Spell List'!B299&amp;" "&amp;'Spell List'!C299</f>
        <v> </v>
      </c>
    </row>
    <row r="288">
      <c r="B288" s="89" t="str">
        <f>'Spell List'!B300&amp;" "&amp;'Spell List'!C300</f>
        <v> </v>
      </c>
    </row>
    <row r="289">
      <c r="B289" s="89" t="str">
        <f>'Spell List'!B301&amp;" "&amp;'Spell List'!C301</f>
        <v> </v>
      </c>
    </row>
    <row r="290">
      <c r="B290" s="89" t="str">
        <f>'Spell List'!B302&amp;" "&amp;'Spell List'!C302</f>
        <v> </v>
      </c>
    </row>
    <row r="291">
      <c r="B291" s="89" t="str">
        <f>'Spell List'!B303&amp;" "&amp;'Spell List'!C303</f>
        <v> </v>
      </c>
    </row>
    <row r="292">
      <c r="B292" s="89" t="str">
        <f>'Spell List'!B304&amp;" "&amp;'Spell List'!C304</f>
        <v> </v>
      </c>
    </row>
    <row r="293">
      <c r="B293" s="89" t="str">
        <f>'Spell List'!B305&amp;" "&amp;'Spell List'!C305</f>
        <v> </v>
      </c>
    </row>
    <row r="294">
      <c r="B294" s="89" t="str">
        <f>'Spell List'!B306&amp;" "&amp;'Spell List'!C306</f>
        <v> </v>
      </c>
    </row>
    <row r="295">
      <c r="B295" s="89" t="str">
        <f>'Spell List'!B307&amp;" "&amp;'Spell List'!C307</f>
        <v> </v>
      </c>
    </row>
    <row r="296">
      <c r="B296" s="89" t="str">
        <f>'Spell List'!B308&amp;" "&amp;'Spell List'!C308</f>
        <v> </v>
      </c>
    </row>
    <row r="297">
      <c r="B297" s="89" t="str">
        <f>'Spell List'!B309&amp;" "&amp;'Spell List'!C309</f>
        <v> </v>
      </c>
    </row>
    <row r="298">
      <c r="B298" s="89" t="str">
        <f>'Spell List'!B310&amp;" "&amp;'Spell List'!C310</f>
        <v> </v>
      </c>
    </row>
    <row r="299">
      <c r="B299" s="89" t="str">
        <f>'Spell List'!B311&amp;" "&amp;'Spell List'!C311</f>
        <v> </v>
      </c>
    </row>
    <row r="300">
      <c r="B300" s="89" t="str">
        <f>'Spell List'!B312&amp;" "&amp;'Spell List'!C312</f>
        <v> </v>
      </c>
    </row>
    <row r="301">
      <c r="B301" s="89" t="str">
        <f>'Spell List'!B313&amp;" "&amp;'Spell List'!C313</f>
        <v> </v>
      </c>
    </row>
    <row r="302">
      <c r="B302" s="89" t="str">
        <f>'Spell List'!B314&amp;" "&amp;'Spell List'!C314</f>
        <v> </v>
      </c>
    </row>
    <row r="303">
      <c r="B303" s="89" t="str">
        <f>'Spell List'!B315&amp;" "&amp;'Spell List'!C315</f>
        <v> </v>
      </c>
    </row>
    <row r="304">
      <c r="B304" s="89" t="str">
        <f>'Spell List'!B316&amp;" "&amp;'Spell List'!C316</f>
        <v> </v>
      </c>
    </row>
    <row r="305">
      <c r="B305" s="89" t="str">
        <f>'Spell List'!B317&amp;" "&amp;'Spell List'!C317</f>
        <v> </v>
      </c>
    </row>
    <row r="306">
      <c r="B306" s="89" t="str">
        <f>'Spell List'!B318&amp;" "&amp;'Spell List'!C318</f>
        <v> </v>
      </c>
    </row>
    <row r="307">
      <c r="B307" s="89" t="str">
        <f>'Spell List'!B319&amp;" "&amp;'Spell List'!C319</f>
        <v> </v>
      </c>
    </row>
    <row r="308">
      <c r="B308" s="89" t="str">
        <f>'Spell List'!B320&amp;" "&amp;'Spell List'!C320</f>
        <v> </v>
      </c>
    </row>
    <row r="309">
      <c r="B309" s="89" t="str">
        <f>'Spell List'!B321&amp;" "&amp;'Spell List'!C321</f>
        <v> </v>
      </c>
    </row>
    <row r="310">
      <c r="B310" s="89" t="str">
        <f>'Spell List'!B322&amp;" "&amp;'Spell List'!C322</f>
        <v> </v>
      </c>
    </row>
    <row r="311">
      <c r="B311" s="89" t="str">
        <f>'Spell List'!B323&amp;" "&amp;'Spell List'!C323</f>
        <v> </v>
      </c>
    </row>
    <row r="312">
      <c r="B312" s="89" t="str">
        <f>'Spell List'!B324&amp;" "&amp;'Spell List'!C324</f>
        <v> </v>
      </c>
    </row>
    <row r="313">
      <c r="B313" s="89" t="str">
        <f>'Spell List'!B325&amp;" "&amp;'Spell List'!C325</f>
        <v> </v>
      </c>
    </row>
    <row r="314">
      <c r="B314" s="89" t="str">
        <f>'Spell List'!B326&amp;" "&amp;'Spell List'!C326</f>
        <v> </v>
      </c>
    </row>
    <row r="315">
      <c r="B315" s="89" t="str">
        <f>'Spell List'!B327&amp;" "&amp;'Spell List'!C327</f>
        <v> </v>
      </c>
    </row>
    <row r="316">
      <c r="B316" s="89" t="str">
        <f>'Spell List'!B328&amp;" "&amp;'Spell List'!C328</f>
        <v> </v>
      </c>
    </row>
    <row r="317">
      <c r="B317" s="89" t="str">
        <f>'Spell List'!B329&amp;" "&amp;'Spell List'!C329</f>
        <v> </v>
      </c>
    </row>
    <row r="318">
      <c r="B318" s="89" t="str">
        <f>'Spell List'!B330&amp;" "&amp;'Spell List'!C330</f>
        <v> </v>
      </c>
    </row>
    <row r="319">
      <c r="B319" s="89" t="str">
        <f>'Spell List'!B331&amp;" "&amp;'Spell List'!C331</f>
        <v> </v>
      </c>
    </row>
    <row r="320">
      <c r="B320" s="89" t="str">
        <f>'Spell List'!B332&amp;" "&amp;'Spell List'!C332</f>
        <v> </v>
      </c>
    </row>
    <row r="321">
      <c r="B321" s="89" t="str">
        <f>'Spell List'!B333&amp;" "&amp;'Spell List'!C333</f>
        <v> </v>
      </c>
    </row>
    <row r="322">
      <c r="B322" s="89" t="str">
        <f>'Spell List'!B334&amp;" "&amp;'Spell List'!C334</f>
        <v> </v>
      </c>
    </row>
    <row r="323">
      <c r="B323" s="89" t="str">
        <f>'Spell List'!B335&amp;" "&amp;'Spell List'!C335</f>
        <v> </v>
      </c>
    </row>
    <row r="324">
      <c r="B324" s="89" t="str">
        <f>'Spell List'!B336&amp;" "&amp;'Spell List'!C336</f>
        <v> </v>
      </c>
    </row>
    <row r="325">
      <c r="B325" s="89" t="str">
        <f>'Spell List'!B337&amp;" "&amp;'Spell List'!C337</f>
        <v> </v>
      </c>
    </row>
    <row r="326">
      <c r="B326" s="89" t="str">
        <f>'Spell List'!B338&amp;" "&amp;'Spell List'!C338</f>
        <v> </v>
      </c>
    </row>
    <row r="327">
      <c r="B327" s="89" t="str">
        <f>'Spell List'!B339&amp;" "&amp;'Spell List'!C339</f>
        <v> </v>
      </c>
    </row>
    <row r="328">
      <c r="B328" s="89" t="str">
        <f>'Spell List'!B340&amp;" "&amp;'Spell List'!C340</f>
        <v> </v>
      </c>
    </row>
    <row r="329">
      <c r="B329" s="89" t="str">
        <f>'Spell List'!B341&amp;" "&amp;'Spell List'!C341</f>
        <v> </v>
      </c>
    </row>
    <row r="330">
      <c r="B330" s="89" t="str">
        <f>'Spell List'!B342&amp;" "&amp;'Spell List'!C342</f>
        <v> </v>
      </c>
    </row>
    <row r="331">
      <c r="B331" s="89" t="str">
        <f>'Spell List'!B343&amp;" "&amp;'Spell List'!C343</f>
        <v> </v>
      </c>
    </row>
    <row r="332">
      <c r="B332" s="89" t="str">
        <f>'Spell List'!B344&amp;" "&amp;'Spell List'!C344</f>
        <v> </v>
      </c>
    </row>
    <row r="333">
      <c r="B333" s="89" t="str">
        <f>'Spell List'!B345&amp;" "&amp;'Spell List'!C345</f>
        <v> </v>
      </c>
    </row>
    <row r="334">
      <c r="B334" s="89" t="str">
        <f>'Spell List'!B346&amp;" "&amp;'Spell List'!C346</f>
        <v> </v>
      </c>
    </row>
    <row r="335">
      <c r="B335" s="89" t="str">
        <f>'Spell List'!B347&amp;" "&amp;'Spell List'!C347</f>
        <v> </v>
      </c>
    </row>
    <row r="336">
      <c r="B336" s="89" t="str">
        <f>'Spell List'!B348&amp;" "&amp;'Spell List'!C348</f>
        <v> </v>
      </c>
    </row>
    <row r="337">
      <c r="B337" s="89" t="str">
        <f>'Spell List'!B349&amp;" "&amp;'Spell List'!C349</f>
        <v> </v>
      </c>
    </row>
    <row r="338">
      <c r="B338" s="89" t="str">
        <f>'Spell List'!B350&amp;" "&amp;'Spell List'!C350</f>
        <v> </v>
      </c>
    </row>
    <row r="339">
      <c r="B339" s="89" t="str">
        <f>'Spell List'!B351&amp;" "&amp;'Spell List'!C351</f>
        <v> </v>
      </c>
    </row>
    <row r="340">
      <c r="B340" s="89" t="str">
        <f>'Spell List'!B352&amp;" "&amp;'Spell List'!C352</f>
        <v> </v>
      </c>
    </row>
    <row r="341">
      <c r="B341" s="89" t="str">
        <f>'Spell List'!B353&amp;" "&amp;'Spell List'!C353</f>
        <v> </v>
      </c>
    </row>
    <row r="342">
      <c r="B342" s="89" t="str">
        <f>'Spell List'!B354&amp;" "&amp;'Spell List'!C354</f>
        <v> </v>
      </c>
    </row>
    <row r="343">
      <c r="B343" s="89" t="str">
        <f>'Spell List'!B355&amp;" "&amp;'Spell List'!C355</f>
        <v> </v>
      </c>
    </row>
    <row r="344">
      <c r="B344" s="89" t="str">
        <f>'Spell List'!B356&amp;" "&amp;'Spell List'!C356</f>
        <v> </v>
      </c>
    </row>
    <row r="345">
      <c r="B345" s="89" t="str">
        <f>'Spell List'!B357&amp;" "&amp;'Spell List'!C357</f>
        <v> </v>
      </c>
    </row>
    <row r="346">
      <c r="B346" s="89" t="str">
        <f>'Spell List'!B358&amp;" "&amp;'Spell List'!C358</f>
        <v> </v>
      </c>
    </row>
    <row r="347">
      <c r="B347" s="89" t="str">
        <f>'Spell List'!B359&amp;" "&amp;'Spell List'!C359</f>
        <v> </v>
      </c>
    </row>
    <row r="348">
      <c r="B348" s="89" t="str">
        <f>'Spell List'!B360&amp;" "&amp;'Spell List'!C360</f>
        <v> </v>
      </c>
    </row>
    <row r="349">
      <c r="B349" s="89" t="str">
        <f>'Spell List'!B361&amp;" "&amp;'Spell List'!C361</f>
        <v> </v>
      </c>
    </row>
    <row r="350">
      <c r="B350" s="89" t="str">
        <f>'Spell List'!B362&amp;" "&amp;'Spell List'!C362</f>
        <v> </v>
      </c>
    </row>
    <row r="351">
      <c r="B351" s="89" t="str">
        <f>'Spell List'!B363&amp;" "&amp;'Spell List'!C363</f>
        <v> </v>
      </c>
    </row>
    <row r="352">
      <c r="B352" s="89" t="str">
        <f>'Spell List'!B364&amp;" "&amp;'Spell List'!C364</f>
        <v> </v>
      </c>
    </row>
    <row r="353">
      <c r="B353" s="89" t="str">
        <f>'Spell List'!B365&amp;" "&amp;'Spell List'!C365</f>
        <v> </v>
      </c>
    </row>
    <row r="354">
      <c r="B354" s="89" t="str">
        <f>'Spell List'!B366&amp;" "&amp;'Spell List'!C366</f>
        <v> </v>
      </c>
    </row>
    <row r="355">
      <c r="B355" s="89" t="str">
        <f>'Spell List'!B367&amp;" "&amp;'Spell List'!C367</f>
        <v> </v>
      </c>
    </row>
    <row r="356">
      <c r="B356" s="89" t="str">
        <f>'Spell List'!B368&amp;" "&amp;'Spell List'!C368</f>
        <v> </v>
      </c>
    </row>
    <row r="357">
      <c r="B357" s="89" t="str">
        <f>'Spell List'!B369&amp;" "&amp;'Spell List'!C369</f>
        <v> </v>
      </c>
    </row>
    <row r="358">
      <c r="B358" s="89" t="str">
        <f>'Spell List'!B370&amp;" "&amp;'Spell List'!C370</f>
        <v> </v>
      </c>
    </row>
    <row r="359">
      <c r="B359" s="89" t="str">
        <f>'Spell List'!B371&amp;" "&amp;'Spell List'!C371</f>
        <v> </v>
      </c>
    </row>
    <row r="360">
      <c r="B360" s="89" t="str">
        <f>'Spell List'!B372&amp;" "&amp;'Spell List'!C372</f>
        <v> </v>
      </c>
    </row>
    <row r="361">
      <c r="B361" s="89" t="str">
        <f>'Spell List'!B373&amp;" "&amp;'Spell List'!C373</f>
        <v> </v>
      </c>
    </row>
    <row r="362">
      <c r="B362" s="89" t="str">
        <f>'Spell List'!B374&amp;" "&amp;'Spell List'!C374</f>
        <v> </v>
      </c>
    </row>
    <row r="363">
      <c r="B363" s="89" t="str">
        <f>'Spell List'!B375&amp;" "&amp;'Spell List'!C375</f>
        <v> </v>
      </c>
    </row>
    <row r="364">
      <c r="B364" s="89" t="str">
        <f>'Spell List'!B376&amp;" "&amp;'Spell List'!C376</f>
        <v> </v>
      </c>
    </row>
    <row r="365">
      <c r="B365" s="89" t="str">
        <f>'Spell List'!B377&amp;" "&amp;'Spell List'!C377</f>
        <v> </v>
      </c>
    </row>
    <row r="366">
      <c r="B366" s="89" t="str">
        <f>'Spell List'!B378&amp;" "&amp;'Spell List'!C378</f>
        <v> </v>
      </c>
    </row>
    <row r="367">
      <c r="B367" s="89" t="str">
        <f>'Spell List'!B379&amp;" "&amp;'Spell List'!C379</f>
        <v> </v>
      </c>
    </row>
    <row r="368">
      <c r="B368" s="89" t="str">
        <f>'Spell List'!B380&amp;" "&amp;'Spell List'!C380</f>
        <v> </v>
      </c>
    </row>
    <row r="369">
      <c r="B369" s="89" t="str">
        <f>'Spell List'!B381&amp;" "&amp;'Spell List'!C381</f>
        <v> </v>
      </c>
    </row>
    <row r="370">
      <c r="B370" s="89" t="str">
        <f>'Spell List'!B382&amp;" "&amp;'Spell List'!C382</f>
        <v> </v>
      </c>
    </row>
    <row r="371">
      <c r="B371" s="89" t="str">
        <f>'Spell List'!B383&amp;" "&amp;'Spell List'!C383</f>
        <v> </v>
      </c>
    </row>
    <row r="372">
      <c r="B372" s="89" t="str">
        <f>'Spell List'!B384&amp;" "&amp;'Spell List'!C384</f>
        <v> </v>
      </c>
    </row>
    <row r="373">
      <c r="B373" s="89" t="str">
        <f>'Spell List'!B385&amp;" "&amp;'Spell List'!C385</f>
        <v> </v>
      </c>
    </row>
    <row r="374">
      <c r="B374" s="89" t="str">
        <f>'Spell List'!B386&amp;" "&amp;'Spell List'!C386</f>
        <v> </v>
      </c>
    </row>
    <row r="375">
      <c r="B375" s="89" t="str">
        <f>'Spell List'!B387&amp;" "&amp;'Spell List'!C387</f>
        <v> </v>
      </c>
    </row>
    <row r="376">
      <c r="B376" s="89" t="str">
        <f>'Spell List'!B388&amp;" "&amp;'Spell List'!C388</f>
        <v> </v>
      </c>
    </row>
    <row r="377">
      <c r="B377" s="89" t="str">
        <f>'Spell List'!B389&amp;" "&amp;'Spell List'!C389</f>
        <v> </v>
      </c>
    </row>
    <row r="378">
      <c r="B378" s="89" t="str">
        <f>'Spell List'!B390&amp;" "&amp;'Spell List'!C390</f>
        <v> </v>
      </c>
    </row>
    <row r="379">
      <c r="B379" s="89" t="str">
        <f>'Spell List'!B391&amp;" "&amp;'Spell List'!C391</f>
        <v> </v>
      </c>
    </row>
    <row r="380">
      <c r="B380" s="89" t="str">
        <f>'Spell List'!B392&amp;" "&amp;'Spell List'!C392</f>
        <v> </v>
      </c>
    </row>
  </sheetData>
  <mergeCells count="377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75:C375"/>
    <mergeCell ref="B376:C376"/>
    <mergeCell ref="B377:C377"/>
    <mergeCell ref="B378:C378"/>
    <mergeCell ref="B379:C379"/>
    <mergeCell ref="B380:C380"/>
    <mergeCell ref="B368:C368"/>
    <mergeCell ref="B369:C369"/>
    <mergeCell ref="B370:C370"/>
    <mergeCell ref="B371:C371"/>
    <mergeCell ref="B372:C372"/>
    <mergeCell ref="B373:C373"/>
    <mergeCell ref="B374:C374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</mergeCells>
  <drawing r:id="rId1"/>
</worksheet>
</file>