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on Variables" sheetId="1" r:id="rId4"/>
    <sheet state="visible" name="Prepared Spells" sheetId="2" r:id="rId5"/>
    <sheet state="hidden" name="Tables" sheetId="3" r:id="rId6"/>
    <sheet state="visible" name="Spell List" sheetId="4" r:id="rId7"/>
    <sheet state="visible" name="Domains" sheetId="5" r:id="rId8"/>
    <sheet state="visible" name="Domain List" sheetId="6" r:id="rId9"/>
    <sheet state="hidden" name="DList" sheetId="7" r:id="rId10"/>
    <sheet state="hidden" name="DataSheet" sheetId="8" r:id="rId11"/>
    <sheet state="hidden" name="Dupe" sheetId="9" r:id="rId12"/>
  </sheets>
  <definedNames>
    <definedName name="DOne">Domains!$B$2</definedName>
    <definedName name="DSuperList">DList!$C$4:$X$21</definedName>
    <definedName name="Level">'Prepared Spells'!$F$3</definedName>
    <definedName name="long">'Common Variables'!$B$5</definedName>
    <definedName name="SuperList">'Spell List'!$C$16:$X$246</definedName>
    <definedName name="close">'Common Variables'!$B$3</definedName>
    <definedName name="bonus_spells">Tables!$A$25:$J$48</definedName>
    <definedName name="medium">'Common Variables'!$B$4</definedName>
    <definedName name="base_spells">Tables!$A$2:$K$22</definedName>
    <definedName name="DTwo">Domains!$B$14</definedName>
  </definedNames>
  <calcPr/>
</workbook>
</file>

<file path=xl/sharedStrings.xml><?xml version="1.0" encoding="utf-8"?>
<sst xmlns="http://schemas.openxmlformats.org/spreadsheetml/2006/main" count="4610" uniqueCount="987">
  <si>
    <t>Quick Links</t>
  </si>
  <si>
    <t>Level</t>
  </si>
  <si>
    <t>WIS Mod</t>
  </si>
  <si>
    <t>Orisons</t>
  </si>
  <si>
    <t>1st Level Spells</t>
  </si>
  <si>
    <t>2nd Level Spells</t>
  </si>
  <si>
    <t>3rd Level Spells</t>
  </si>
  <si>
    <t>4th Level Spells</t>
  </si>
  <si>
    <t>5th Level Spells</t>
  </si>
  <si>
    <t>6th Level Spells</t>
  </si>
  <si>
    <t>7th Level Spells</t>
  </si>
  <si>
    <t>8th Level Spells</t>
  </si>
  <si>
    <t>9th Level Spells</t>
  </si>
  <si>
    <t>Orisons Prepared</t>
  </si>
  <si>
    <t>Number Prepared</t>
  </si>
  <si>
    <t>Spell</t>
  </si>
  <si>
    <t>Metamagic</t>
  </si>
  <si>
    <t>Link</t>
  </si>
  <si>
    <t>School</t>
  </si>
  <si>
    <t>Components</t>
  </si>
  <si>
    <t>Casting Time</t>
  </si>
  <si>
    <t>Range</t>
  </si>
  <si>
    <t>Target, Effect, or Area</t>
  </si>
  <si>
    <t>Duration</t>
  </si>
  <si>
    <t>Saving Throw</t>
  </si>
  <si>
    <t>Spell Resistance</t>
  </si>
  <si>
    <t>Description</t>
  </si>
  <si>
    <t>Prepared</t>
  </si>
  <si>
    <t>1st Level Spells Prepared</t>
  </si>
  <si>
    <t>1st Level Domain Spell Prepared</t>
  </si>
  <si>
    <t>2nd Level Spells Prepared</t>
  </si>
  <si>
    <t>2nd Level Domain Spell Prepared</t>
  </si>
  <si>
    <t>3rd Level Spells Prepared</t>
  </si>
  <si>
    <t>3rd Level Domain Spell Prepared</t>
  </si>
  <si>
    <t>4th Level Spells Prepared</t>
  </si>
  <si>
    <t>4th Level Domain Spell Prepared</t>
  </si>
  <si>
    <t>5th Level Spells Prepared</t>
  </si>
  <si>
    <t>5th Level Domain Spell Prepared</t>
  </si>
  <si>
    <t>6th Level Spells Prepared</t>
  </si>
  <si>
    <t>6th Level Domain Spell Prepared</t>
  </si>
  <si>
    <t>7th Level Spells Prepared</t>
  </si>
  <si>
    <t>7th Level Domain Spell Prepared</t>
  </si>
  <si>
    <t>8th Level Spells Prepared</t>
  </si>
  <si>
    <t>8th Level Domain Spell Prepared</t>
  </si>
  <si>
    <t>9th Level Spells Prepared</t>
  </si>
  <si>
    <t>9th Level Domain Spell Prepared</t>
  </si>
  <si>
    <t>0th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</si>
  <si>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</si>
  <si>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</si>
  <si>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</si>
  <si>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</si>
  <si>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</si>
  <si>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</si>
  <si>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</si>
  <si>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</si>
  <si>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</si>
  <si>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Super List</t>
  </si>
  <si>
    <t>Create Water</t>
  </si>
  <si>
    <t>Conjuration
Creation
Water</t>
  </si>
  <si>
    <t>V, S</t>
  </si>
  <si>
    <t>1 standard action</t>
  </si>
  <si>
    <t>Instantaneous</t>
  </si>
  <si>
    <t>None</t>
  </si>
  <si>
    <t>No</t>
  </si>
  <si>
    <t>Cure Minor Wounds</t>
  </si>
  <si>
    <t>Conjuration
Healing</t>
  </si>
  <si>
    <t>Touch</t>
  </si>
  <si>
    <t>Creature Touched</t>
  </si>
  <si>
    <t>Will half
harmless
see text</t>
  </si>
  <si>
    <t>Yes
harmless
see text</t>
  </si>
  <si>
    <t>Cures 1 point of damage</t>
  </si>
  <si>
    <t>Detect Magic</t>
  </si>
  <si>
    <t>Divination</t>
  </si>
  <si>
    <t>60 ft</t>
  </si>
  <si>
    <t>Cone Shaped Emanation</t>
  </si>
  <si>
    <t>Detects spells and magic items within 60 ft</t>
  </si>
  <si>
    <t>Detect Poison</t>
  </si>
  <si>
    <t>One creature, one object, or a 5 ft cube</t>
  </si>
  <si>
    <t>Detects poison in one creature or small object</t>
  </si>
  <si>
    <t>Guidance</t>
  </si>
  <si>
    <t>1 minute or until discharged</t>
  </si>
  <si>
    <t>Will negates
harmless</t>
  </si>
  <si>
    <t>Yes</t>
  </si>
  <si>
    <t>Grants +1 on one attack roll, saving throw, or skill check.</t>
  </si>
  <si>
    <t>Inflict Minor Wounds</t>
  </si>
  <si>
    <t>Necromancy</t>
  </si>
  <si>
    <t>Will negates</t>
  </si>
  <si>
    <t>Touch attack, 1 point of damage</t>
  </si>
  <si>
    <t>Light</t>
  </si>
  <si>
    <t>Evocation
Light</t>
  </si>
  <si>
    <t xml:space="preserve">V, DF
</t>
  </si>
  <si>
    <t>Object Touched</t>
  </si>
  <si>
    <t>Object shines like a torch</t>
  </si>
  <si>
    <t>Mending</t>
  </si>
  <si>
    <t>Transmutation</t>
  </si>
  <si>
    <t>10 ft</t>
  </si>
  <si>
    <t>One object of up to 1 lb</t>
  </si>
  <si>
    <t>Will negates
harmless, object</t>
  </si>
  <si>
    <t>Yes
harmless, object</t>
  </si>
  <si>
    <t>Makes minor repairs on an object</t>
  </si>
  <si>
    <t>Purify Food and Drink</t>
  </si>
  <si>
    <t>Will negates
object</t>
  </si>
  <si>
    <t>Yes
object</t>
  </si>
  <si>
    <t>Read Magic</t>
  </si>
  <si>
    <t>V, S, F</t>
  </si>
  <si>
    <t>Personal</t>
  </si>
  <si>
    <t>You</t>
  </si>
  <si>
    <t>NA</t>
  </si>
  <si>
    <t>Read scrolls and spellbooks</t>
  </si>
  <si>
    <t>Resistance</t>
  </si>
  <si>
    <t>Abjuration</t>
  </si>
  <si>
    <t xml:space="preserve">V, S, DF
</t>
  </si>
  <si>
    <t>1 minute</t>
  </si>
  <si>
    <t>Yes
harmless</t>
  </si>
  <si>
    <t>Subject gains +1 on saving throws</t>
  </si>
  <si>
    <t>Virtue</t>
  </si>
  <si>
    <t>Subject gains 1 temporary hp</t>
  </si>
  <si>
    <t>Bane</t>
  </si>
  <si>
    <t>Enchantment
Compulsion
Fear
Mind-Affecting</t>
  </si>
  <si>
    <t>V, S, DF</t>
  </si>
  <si>
    <t>50 ft</t>
  </si>
  <si>
    <t>All enemies within 50 ft</t>
  </si>
  <si>
    <t>Enemies take -1 on attack rolls and saves against fear</t>
  </si>
  <si>
    <t>Bless</t>
  </si>
  <si>
    <t>Enchantment
Compulsion
Mind-Affecting</t>
  </si>
  <si>
    <t>The caster and all allies within a 50 ft burst, centered on the caster</t>
  </si>
  <si>
    <t>Allies gain +1 on attack rolls and saves against fear</t>
  </si>
  <si>
    <t>Bless Water</t>
  </si>
  <si>
    <t>Transmutation
Good</t>
  </si>
  <si>
    <t>V, S, M
Cost: 25 gp</t>
  </si>
  <si>
    <t>Flask of water touched</t>
  </si>
  <si>
    <t>Makes holy water</t>
  </si>
  <si>
    <t>Cause Fear</t>
  </si>
  <si>
    <t>Necromancy
Fear
Mind-Affecting</t>
  </si>
  <si>
    <t>One living creature with 5 or fewer HD</t>
  </si>
  <si>
    <t>1d4 rounds or 1 round; see text</t>
  </si>
  <si>
    <t>Will partial</t>
  </si>
  <si>
    <t>One creature of 5 HD or less flees for 1d4 rounds</t>
  </si>
  <si>
    <t>Command</t>
  </si>
  <si>
    <t>Enchantment
Compulsion
Language-
Dependant
Mind-Affecting</t>
  </si>
  <si>
    <t>V</t>
  </si>
  <si>
    <t>One living creature</t>
  </si>
  <si>
    <t>1 round</t>
  </si>
  <si>
    <t>One subject obeys selected command for 1 round</t>
  </si>
  <si>
    <t>Comprehend Languages</t>
  </si>
  <si>
    <t>You understand all spoken and written languages</t>
  </si>
  <si>
    <t>Cure Light Wounds</t>
  </si>
  <si>
    <t>Curse Water</t>
  </si>
  <si>
    <t>Necromancy
Evil</t>
  </si>
  <si>
    <t>Makes unholy water</t>
  </si>
  <si>
    <t>Deathwatch</t>
  </si>
  <si>
    <t>30 ft</t>
  </si>
  <si>
    <t>Cone shaped emanation</t>
  </si>
  <si>
    <t>Reveals how near death subjects within 30 ft are</t>
  </si>
  <si>
    <t>Detect Chaos</t>
  </si>
  <si>
    <t>Reveals creatures, spells, or objects of selected alignment</t>
  </si>
  <si>
    <t>Detect Evil</t>
  </si>
  <si>
    <t>Detect Good</t>
  </si>
  <si>
    <t>Detect Law</t>
  </si>
  <si>
    <t>Detect Undead</t>
  </si>
  <si>
    <t>Reveals undead within 60 ft</t>
  </si>
  <si>
    <t>Divine Favor</t>
  </si>
  <si>
    <t>Evocation</t>
  </si>
  <si>
    <t>Doom</t>
  </si>
  <si>
    <t>One subject takes -2 on attack rolls, saves, and checks</t>
  </si>
  <si>
    <t>Endure Elements</t>
  </si>
  <si>
    <t>Creature touched</t>
  </si>
  <si>
    <t>24 hours</t>
  </si>
  <si>
    <t>Exist comfortably in hot or cold environments</t>
  </si>
  <si>
    <t>Entropic Shield</t>
  </si>
  <si>
    <t>Ranged attacks against you have 20% miss chance</t>
  </si>
  <si>
    <t>Hide from Undead</t>
  </si>
  <si>
    <t>Will negates
harmless
see text</t>
  </si>
  <si>
    <t>Inflict Light Wounds</t>
  </si>
  <si>
    <t>Will half</t>
  </si>
  <si>
    <t>Magic Stone</t>
  </si>
  <si>
    <t>Up to 3 pebbles touched</t>
  </si>
  <si>
    <t>30 minutes or until discharged</t>
  </si>
  <si>
    <t>Three stones gain +1 on attack rolls, deal 1d6+1 damage</t>
  </si>
  <si>
    <t>Magic Weapon</t>
  </si>
  <si>
    <t>Weapon touched</t>
  </si>
  <si>
    <t>Weapon gains +1 bonus</t>
  </si>
  <si>
    <t>Obscuring Mist</t>
  </si>
  <si>
    <t>Conjuration
Creation</t>
  </si>
  <si>
    <t>20 ft</t>
  </si>
  <si>
    <t>Cloud spreads in 20-ft. radius from you, 20 ft. high</t>
  </si>
  <si>
    <t>Fog surrounds you</t>
  </si>
  <si>
    <t>Protection from Chaos</t>
  </si>
  <si>
    <t>Abjuration
Lawful</t>
  </si>
  <si>
    <t>No
see text</t>
  </si>
  <si>
    <t>+2 to AC and saves, counter mind control, hedge out elementals and outsiders</t>
  </si>
  <si>
    <t>Protection from Evil</t>
  </si>
  <si>
    <t>Abjuration
Good</t>
  </si>
  <si>
    <t>Protection from Good</t>
  </si>
  <si>
    <t>Abjuration
Evil</t>
  </si>
  <si>
    <t>Protection from Law</t>
  </si>
  <si>
    <t>Abjuration
Chaotic</t>
  </si>
  <si>
    <t>Remove Fear</t>
  </si>
  <si>
    <t>10 minutes
see text</t>
  </si>
  <si>
    <t>Sanctuary</t>
  </si>
  <si>
    <t>Opponents can’t attack you, and you can’t attack</t>
  </si>
  <si>
    <t>Shield of Faith</t>
  </si>
  <si>
    <t>V, S, M
No Listed Cost</t>
  </si>
  <si>
    <t>Aura grants +2 or higher deflection bonus</t>
  </si>
  <si>
    <t>Summon Monster I</t>
  </si>
  <si>
    <t>Conjuration
Summoning
See text</t>
  </si>
  <si>
    <t>One summoned creature</t>
  </si>
  <si>
    <t>Calls extraplanar creature to fight for you</t>
  </si>
  <si>
    <t>Aid</t>
  </si>
  <si>
    <t>Enchatnment
Compulsion
Mind-Affecting</t>
  </si>
  <si>
    <t>Living creature touched</t>
  </si>
  <si>
    <t>Align Weapon</t>
  </si>
  <si>
    <t>Transmutation
See text</t>
  </si>
  <si>
    <t>Weapon touched or fifty projectiles (all of which must be in contact with each other at the time of casting)</t>
  </si>
  <si>
    <t>Weapon becomes good, evil, lawful, or chaotic</t>
  </si>
  <si>
    <t>Augury</t>
  </si>
  <si>
    <t>V, S, M, F
Cost: 25 gp
Focus: 25 gp</t>
  </si>
  <si>
    <t>Learns whether an action will be good or bad</t>
  </si>
  <si>
    <t>Bear's Endurance</t>
  </si>
  <si>
    <t>Bull's Strength</t>
  </si>
  <si>
    <t>Calm Emotions</t>
  </si>
  <si>
    <t>Creatures in a 20 ft radius spread</t>
  </si>
  <si>
    <t>Calms creatures, negating emotion effects</t>
  </si>
  <si>
    <t>Consecrate</t>
  </si>
  <si>
    <t>Evocation
Good</t>
  </si>
  <si>
    <t>V, S, M, DF
Cost: 25 gp and holy water</t>
  </si>
  <si>
    <t>20 ft radius emanation</t>
  </si>
  <si>
    <t>Fills area with positive energy, making undead weaker</t>
  </si>
  <si>
    <t>Cure Moderate Wounds</t>
  </si>
  <si>
    <t>Darkness</t>
  </si>
  <si>
    <t>Evocation
Darkness</t>
  </si>
  <si>
    <t>V, DF</t>
  </si>
  <si>
    <t>Object touched</t>
  </si>
  <si>
    <t>20 ft radius of supernatural shadow</t>
  </si>
  <si>
    <t>Death Knell</t>
  </si>
  <si>
    <t>Necromancy
Death
Evil</t>
  </si>
  <si>
    <t>Instantaneous/10 minutes per HD of subject, see text</t>
  </si>
  <si>
    <t>Kills dying creature; you gain 1d8 temporary hp, +2 to Str, and +1 level</t>
  </si>
  <si>
    <t>Delay Posion</t>
  </si>
  <si>
    <t>Fortitude negates
harmless</t>
  </si>
  <si>
    <t>Desecrate</t>
  </si>
  <si>
    <t>Evocation
Evil</t>
  </si>
  <si>
    <t>V, S, M, DF
Cost: 25 gp and unholy water</t>
  </si>
  <si>
    <t>Fills area with negative energy, making undead stronger</t>
  </si>
  <si>
    <t>Eagle's Splendor</t>
  </si>
  <si>
    <t xml:space="preserve">Yes
</t>
  </si>
  <si>
    <t>Enthrall</t>
  </si>
  <si>
    <t>Enchantment
Charm
Language-
Dependant
Mind-Affecting
Sonic</t>
  </si>
  <si>
    <t>Any number of creatures</t>
  </si>
  <si>
    <t>1 hour or less</t>
  </si>
  <si>
    <t>Will negates
see text</t>
  </si>
  <si>
    <t>Find Traps</t>
  </si>
  <si>
    <t>Notice traps as a rogue does</t>
  </si>
  <si>
    <t>Gentle Repose</t>
  </si>
  <si>
    <t>Corpse touched</t>
  </si>
  <si>
    <t>Preserves one corpse</t>
  </si>
  <si>
    <t>Hold Person</t>
  </si>
  <si>
    <t>One humanoid creature</t>
  </si>
  <si>
    <t>Inflict Moderate Wounds</t>
  </si>
  <si>
    <t>Make Whole</t>
  </si>
  <si>
    <t>Repairs an object</t>
  </si>
  <si>
    <t>Owl's Wisdom</t>
  </si>
  <si>
    <t>Remove Paralysis</t>
  </si>
  <si>
    <t>Up to 4 creatures, no 2 of which can be more than 30 ft apart</t>
  </si>
  <si>
    <t>Frees one or more creatures from paralysis or slow effect</t>
  </si>
  <si>
    <t>Resist Energy</t>
  </si>
  <si>
    <t>Ignores 10 (or more) points of damage/attack from specified energy type</t>
  </si>
  <si>
    <t>Lesser Restoration</t>
  </si>
  <si>
    <t>3 rounds</t>
  </si>
  <si>
    <t>Dispels magical ability penalty or repairs 1d4 ability damage</t>
  </si>
  <si>
    <t>Shatter</t>
  </si>
  <si>
    <t>Evocation
Sonic</t>
  </si>
  <si>
    <t>5 ft radius spread; or one solid object or one crystalline creature</t>
  </si>
  <si>
    <t>Will negates
object or
Will negates
object or
Fortitude half
see text</t>
  </si>
  <si>
    <t>Sonic vibration damages objects or crystalline creatures</t>
  </si>
  <si>
    <t>Shield Other</t>
  </si>
  <si>
    <t>V, S, F
Focus: 100 gp</t>
  </si>
  <si>
    <t>One creature</t>
  </si>
  <si>
    <t>You take half of subject’s damage</t>
  </si>
  <si>
    <t>Silence</t>
  </si>
  <si>
    <t>Illusion
Glamer</t>
  </si>
  <si>
    <t>20 ft radius emanation centered on a creature, object, or point in space</t>
  </si>
  <si>
    <t>Will negates
see text
or
None
object</t>
  </si>
  <si>
    <t>Yes
see text
or
No
object</t>
  </si>
  <si>
    <t>Negates sound in 20 ft radius</t>
  </si>
  <si>
    <t>Sound Burst</t>
  </si>
  <si>
    <t>10 ft radius spread</t>
  </si>
  <si>
    <t>Fortitude partial</t>
  </si>
  <si>
    <t>Deals 1d8 sonic damage to subjects; may stun them</t>
  </si>
  <si>
    <t>Spiritual Weapon</t>
  </si>
  <si>
    <t>Evocation
Force</t>
  </si>
  <si>
    <t>Magic weapon of force</t>
  </si>
  <si>
    <t>Magic weapon attacks on its own</t>
  </si>
  <si>
    <t>Status</t>
  </si>
  <si>
    <t>Monitors condition, position of allies</t>
  </si>
  <si>
    <t>Summon Monster II</t>
  </si>
  <si>
    <t>Undetectable Alignment</t>
  </si>
  <si>
    <t>One creature or object</t>
  </si>
  <si>
    <t>Conceals alignment for 24 hours</t>
  </si>
  <si>
    <t>Zone of Truth</t>
  </si>
  <si>
    <t>Subjects within range cannot lie</t>
  </si>
  <si>
    <t>Animate Dead</t>
  </si>
  <si>
    <t>V, S, M
Cost: 25 gp per HD of target</t>
  </si>
  <si>
    <t>One or more corpses touched</t>
  </si>
  <si>
    <t>Creates undead skeletons and zombies</t>
  </si>
  <si>
    <t>Bestow Curse</t>
  </si>
  <si>
    <t>Permanent</t>
  </si>
  <si>
    <t>-6 to an ability score; -4 on attack rolls, saves, and checks; or 50% chance of losing each action</t>
  </si>
  <si>
    <t>Blindness/Deafness</t>
  </si>
  <si>
    <t>Permanent (D)</t>
  </si>
  <si>
    <t>Fortitude negates</t>
  </si>
  <si>
    <t>Makes subject blind or deaf</t>
  </si>
  <si>
    <t>Contagion</t>
  </si>
  <si>
    <t>Infects subject with chosen disease</t>
  </si>
  <si>
    <t>Continual Flame</t>
  </si>
  <si>
    <t>V, S, M
Cost: 50 gp</t>
  </si>
  <si>
    <t>Object touched
Magical, heatless flame</t>
  </si>
  <si>
    <t>Makes a permanent, heatless torch</t>
  </si>
  <si>
    <t>Create Food and Water</t>
  </si>
  <si>
    <t>10 minutes</t>
  </si>
  <si>
    <t>24 hours, see text</t>
  </si>
  <si>
    <t>Cure Serious Wounds</t>
  </si>
  <si>
    <t>Daylight</t>
  </si>
  <si>
    <t>60-ft. radius of bright light</t>
  </si>
  <si>
    <t>Deeper Darkness</t>
  </si>
  <si>
    <t>Object sheds supernatural shadow in 60 ft radius</t>
  </si>
  <si>
    <t>Dispel Magic</t>
  </si>
  <si>
    <t>One spellcaster, creature, or object; or 20-ft-radius burst</t>
  </si>
  <si>
    <t>Cancels magical spells and effects</t>
  </si>
  <si>
    <t>Glyph of Warding</t>
  </si>
  <si>
    <t>V, S, M
Cost: 200 gp</t>
  </si>
  <si>
    <t>Permanent or until discharged (D)</t>
  </si>
  <si>
    <t>See text</t>
  </si>
  <si>
    <t>No
object
and
Yes
see text</t>
  </si>
  <si>
    <t>Inscription harms those who pass it</t>
  </si>
  <si>
    <t>Helping Hand</t>
  </si>
  <si>
    <t>5 miles</t>
  </si>
  <si>
    <t>Ghostly hand</t>
  </si>
  <si>
    <t>Ghostly hand leads subject to you</t>
  </si>
  <si>
    <t>Inflict Serious Wounds</t>
  </si>
  <si>
    <t>Invisibility Purge</t>
  </si>
  <si>
    <t>Locate Object</t>
  </si>
  <si>
    <t>Senses direction toward object (specific or type)</t>
  </si>
  <si>
    <t>Magic Circle against Chaos</t>
  </si>
  <si>
    <t>10 ft radius emanation from touched creature</t>
  </si>
  <si>
    <t>Magic Circle against Evil</t>
  </si>
  <si>
    <t>Magic Circle against Good</t>
  </si>
  <si>
    <t>Magic Circle against Law</t>
  </si>
  <si>
    <t>Magic Vestament</t>
  </si>
  <si>
    <t>Armor or shield touched</t>
  </si>
  <si>
    <t>Meld into Stone</t>
  </si>
  <si>
    <t>Transmutation
Earth</t>
  </si>
  <si>
    <t>You and your gear merge with stone</t>
  </si>
  <si>
    <t>Obscure Object</t>
  </si>
  <si>
    <t>8 hours (D)</t>
  </si>
  <si>
    <t>Masks object against scrying</t>
  </si>
  <si>
    <t>Prayer</t>
  </si>
  <si>
    <t>40 ft</t>
  </si>
  <si>
    <t>All allies and foes within a 40 ft radius burst centered on you</t>
  </si>
  <si>
    <t>Allies +1 bonus on most rolls, enemies -1 penalty</t>
  </si>
  <si>
    <t>Protection from Energy</t>
  </si>
  <si>
    <t>Remove Blindness/Deafness</t>
  </si>
  <si>
    <t>Cures normal or magical conditions</t>
  </si>
  <si>
    <t>Remove Curse</t>
  </si>
  <si>
    <t>Creature or item touched</t>
  </si>
  <si>
    <t>Frees object or person from curse</t>
  </si>
  <si>
    <t>Remove Disease</t>
  </si>
  <si>
    <t>Cures all diseases affecting subject</t>
  </si>
  <si>
    <t>Searing Light</t>
  </si>
  <si>
    <t>Ray</t>
  </si>
  <si>
    <t>Speak with Dead</t>
  </si>
  <si>
    <t>Necromancy
Language-
Dependant</t>
  </si>
  <si>
    <t>One dead creature</t>
  </si>
  <si>
    <t>Stone Shape</t>
  </si>
  <si>
    <t>Sculpts stone into any shape</t>
  </si>
  <si>
    <t>Summon Monster III</t>
  </si>
  <si>
    <t>Water Breathing</t>
  </si>
  <si>
    <t>Living creatures touched</t>
  </si>
  <si>
    <t>Subjects can breathe underwater</t>
  </si>
  <si>
    <t>Water Walk</t>
  </si>
  <si>
    <t>Transmutation
Water</t>
  </si>
  <si>
    <t>Subject treads on water as if solid</t>
  </si>
  <si>
    <t>Wind Wall</t>
  </si>
  <si>
    <t>Evocation
Air</t>
  </si>
  <si>
    <t>None
see text</t>
  </si>
  <si>
    <t>Deflects arrows, smaller creatures, and gases</t>
  </si>
  <si>
    <t>Air Walk</t>
  </si>
  <si>
    <t>Transmutation
Air</t>
  </si>
  <si>
    <t>Creature (Gargantuan or smaller) touched</t>
  </si>
  <si>
    <t>Subject treads on air as if solid (climb at 45-degree angle)</t>
  </si>
  <si>
    <t>Control Water</t>
  </si>
  <si>
    <t>Raises or lowers bodies of water</t>
  </si>
  <si>
    <t>Cure Critical Wounds</t>
  </si>
  <si>
    <t>Death Ward</t>
  </si>
  <si>
    <t>Grants immunity to all death spells and negative energy effects</t>
  </si>
  <si>
    <t>Dimensional Anchor</t>
  </si>
  <si>
    <t>Bars extradimensional movement</t>
  </si>
  <si>
    <t>Discern Lies</t>
  </si>
  <si>
    <t>Reveals deliberate falsehoods</t>
  </si>
  <si>
    <t>Dismissal</t>
  </si>
  <si>
    <t>One extraplanar creature</t>
  </si>
  <si>
    <t>Forces a creature to return to native plane</t>
  </si>
  <si>
    <t>Provides useful advice for specific proposed actions</t>
  </si>
  <si>
    <t>Divine Power</t>
  </si>
  <si>
    <t>Freedom of Movement</t>
  </si>
  <si>
    <t>V, S, M, DF
No Listed Cost</t>
  </si>
  <si>
    <t>Personal or Touch</t>
  </si>
  <si>
    <t>You or creature touched</t>
  </si>
  <si>
    <t>Subject moves normally despite impediments</t>
  </si>
  <si>
    <t>Giant Vermin</t>
  </si>
  <si>
    <t>Up to three vermin, no two of which can be more than 30 ft. apart</t>
  </si>
  <si>
    <t>Turns centipedes, scorpions, or spiders into giant vermin</t>
  </si>
  <si>
    <t>Imbue with Spell Ability</t>
  </si>
  <si>
    <t>Creature touched, see text</t>
  </si>
  <si>
    <t>Permanent until discharged (D)</t>
  </si>
  <si>
    <t>Transfer spells to subject</t>
  </si>
  <si>
    <t>Inflict Critical Wounds</t>
  </si>
  <si>
    <t>Greater Magic Weapon</t>
  </si>
  <si>
    <t>One weapon or fifty projectiles (all of which must be in contact with each other at the time of casting)</t>
  </si>
  <si>
    <t>Neutralize Poison</t>
  </si>
  <si>
    <t>Will negates
harmless
object</t>
  </si>
  <si>
    <t>Yes
harmless
object</t>
  </si>
  <si>
    <t>Immunizes subject against poison, detoxifies venom in or on subject</t>
  </si>
  <si>
    <t>Lesser Planar Ally</t>
  </si>
  <si>
    <t>Conjuration
Calling
See text</t>
  </si>
  <si>
    <t>V, S, DF, XP</t>
  </si>
  <si>
    <t>One called elemental or outsider of 6 HD or less</t>
  </si>
  <si>
    <t>Exchange services with a 6 HD extraplanar creature</t>
  </si>
  <si>
    <t>Poison</t>
  </si>
  <si>
    <t>Instantaneous
see text</t>
  </si>
  <si>
    <t>Fortitude negates
see text</t>
  </si>
  <si>
    <t>Touch deals 1d10 Con damage, repeats in 1 min</t>
  </si>
  <si>
    <t>Repel Vermin</t>
  </si>
  <si>
    <t>10 ft radius emanation centered on you</t>
  </si>
  <si>
    <t>None
or
Will negates
see text</t>
  </si>
  <si>
    <t>Insects, spiders, and other vermin stay 10 ft. away</t>
  </si>
  <si>
    <t>Restoration</t>
  </si>
  <si>
    <t>V, S, M
Cost: 100 gp</t>
  </si>
  <si>
    <t>Restores level and ability score drains</t>
  </si>
  <si>
    <t>Sending</t>
  </si>
  <si>
    <t>1 round, see text</t>
  </si>
  <si>
    <t>Delivers short message anywhere, instantly</t>
  </si>
  <si>
    <t>Spell Immunity</t>
  </si>
  <si>
    <t>Summon Monster IV</t>
  </si>
  <si>
    <t>Tongues</t>
  </si>
  <si>
    <t>Speak any language</t>
  </si>
  <si>
    <t>Atonement</t>
  </si>
  <si>
    <t>V, S, M, F, DF, XP
No Listed Cost
Focus: 500 gp</t>
  </si>
  <si>
    <t>1 hour</t>
  </si>
  <si>
    <t>Removes burden of misdeeds from subject</t>
  </si>
  <si>
    <t>Break Enchantment</t>
  </si>
  <si>
    <t>Frees subjects from enchantments, alterations, curses, and petrification</t>
  </si>
  <si>
    <t>Greater Command</t>
  </si>
  <si>
    <t>Commune</t>
  </si>
  <si>
    <t>V, S, M, DF, XP
Cost: holy or unholy water</t>
  </si>
  <si>
    <t>Mass Cure Light Wounds</t>
  </si>
  <si>
    <t>Will half
harmless
or
Will half
see text</t>
  </si>
  <si>
    <t>Yes
harmless
or
Yes
see text</t>
  </si>
  <si>
    <t>Dispel Chaos</t>
  </si>
  <si>
    <t>You and a touched chaotic creature from another plane; or you and an enchantment or chaotic spell on a touched creature or object</t>
  </si>
  <si>
    <t>+4 bonus against attacks</t>
  </si>
  <si>
    <t>Dispel Evil</t>
  </si>
  <si>
    <t>You and a touched evil creature from another plane; or you and an enchantment or evil spell on a touched creature or object</t>
  </si>
  <si>
    <t>Dispel Good</t>
  </si>
  <si>
    <t>You and a touched good creature from another plane; or you and an enchantment or good spell on a touched creature or object</t>
  </si>
  <si>
    <t>Dispel Law</t>
  </si>
  <si>
    <t>You and a touched lawful creature from another plane; or you and an enchantment or lawful spell on a touched creature or object</t>
  </si>
  <si>
    <t>Disrupting Weapon</t>
  </si>
  <si>
    <t>One melee weapon</t>
  </si>
  <si>
    <t>Will negates
harmless, object
see text</t>
  </si>
  <si>
    <t>Melee weapon destroys undead</t>
  </si>
  <si>
    <t>Flame Strike</t>
  </si>
  <si>
    <t>Evocation
Fire</t>
  </si>
  <si>
    <t>Cylinder (10 ft radius, 40 ft high)</t>
  </si>
  <si>
    <t>Reflex half</t>
  </si>
  <si>
    <t>Hallow</t>
  </si>
  <si>
    <t>V, S, M, DF
Cost: 1000+ gp</t>
  </si>
  <si>
    <t>40 ft radius emanating from the touched point</t>
  </si>
  <si>
    <t>Designates location as holy</t>
  </si>
  <si>
    <t>Mass Inflict Light Wounds</t>
  </si>
  <si>
    <t>Insect Plague</t>
  </si>
  <si>
    <t>Conjuration
Summoning</t>
  </si>
  <si>
    <t>Locust swarms attack creatures</t>
  </si>
  <si>
    <t>Mark of Justice</t>
  </si>
  <si>
    <t>Permanent, see text</t>
  </si>
  <si>
    <t>Designates action that will trigger curse on subject</t>
  </si>
  <si>
    <t>Plane Shift</t>
  </si>
  <si>
    <t>Conjuration
Teleportation</t>
  </si>
  <si>
    <t>Creature touched, or up to 8 willing creatures joining hands</t>
  </si>
  <si>
    <t>As many as eight subjects travel to another plane</t>
  </si>
  <si>
    <t>Raise Dead</t>
  </si>
  <si>
    <t>V, S, M, DF
Cost: 5000 gp</t>
  </si>
  <si>
    <t>Dead creature touched</t>
  </si>
  <si>
    <t>Righteous Might</t>
  </si>
  <si>
    <t>Your size increases, and you gain combat bonuses</t>
  </si>
  <si>
    <t>Scrying</t>
  </si>
  <si>
    <t>Divination
Scrying</t>
  </si>
  <si>
    <t>V, S, DF, F
Focus: 100 gp</t>
  </si>
  <si>
    <t>Magical sensor</t>
  </si>
  <si>
    <t>Spies on subject from a distance</t>
  </si>
  <si>
    <t>Slay Living</t>
  </si>
  <si>
    <t>Necromancy
Death</t>
  </si>
  <si>
    <t>Touch attack kills subject</t>
  </si>
  <si>
    <t>Summon Monster V</t>
  </si>
  <si>
    <t>Symbol of Pain</t>
  </si>
  <si>
    <t>V, S, M
Cost: 1000 gp</t>
  </si>
  <si>
    <t>0 ft, see text</t>
  </si>
  <si>
    <t>One symbol</t>
  </si>
  <si>
    <t>Triggered rune wracks nearby creatures with pain</t>
  </si>
  <si>
    <t>Symbol of Sleep</t>
  </si>
  <si>
    <t>Triggered rune puts nearby creatures into catatonic slumber</t>
  </si>
  <si>
    <t>True Seeing</t>
  </si>
  <si>
    <t>V, S, M
Cost: 250 gp</t>
  </si>
  <si>
    <t>Will negates
harmless</t>
  </si>
  <si>
    <t>Yes
harmless</t>
  </si>
  <si>
    <t>Lets you see all things as they really are</t>
  </si>
  <si>
    <t>Unhallow</t>
  </si>
  <si>
    <t>V, S, M
Cost: 1000+ gp</t>
  </si>
  <si>
    <t>40 ft  radius emanating from the touched point</t>
  </si>
  <si>
    <t>Designates location as unholy</t>
  </si>
  <si>
    <t>Wall of Stone</t>
  </si>
  <si>
    <t>Conjuration
Creation
Earth</t>
  </si>
  <si>
    <t>Creates a stone wall that can be shaped</t>
  </si>
  <si>
    <t>Animate Objects</t>
  </si>
  <si>
    <t>Objects attack your foes</t>
  </si>
  <si>
    <t>Antilife Shell</t>
  </si>
  <si>
    <t>10-ft.-radius emanation, centered on you</t>
  </si>
  <si>
    <t>10-ft.-radius field hedges out living creatures</t>
  </si>
  <si>
    <t>Banishment</t>
  </si>
  <si>
    <t>One or more extraplanar creatures, no two of which can be more than 30 ft apart</t>
  </si>
  <si>
    <t>Mass Bear's Endurance</t>
  </si>
  <si>
    <t>Blade Barrier</t>
  </si>
  <si>
    <t>Reflex half
or
Reflex negates
see text</t>
  </si>
  <si>
    <t>Mass Bull's Strength</t>
  </si>
  <si>
    <t>Create Undead</t>
  </si>
  <si>
    <t>V, S, M
Cost: 50 gp per HD</t>
  </si>
  <si>
    <t>One corpse</t>
  </si>
  <si>
    <t>Creates ghouls, ghasts, mummies, or mohrgs</t>
  </si>
  <si>
    <t>Mass Cure Moderate Wounds</t>
  </si>
  <si>
    <t>Greater Dispel Magic</t>
  </si>
  <si>
    <t>As dispel magic, but +20 on check</t>
  </si>
  <si>
    <t>Mass Eagle's Splendor</t>
  </si>
  <si>
    <t>V, S, DF
No Listed Cost</t>
  </si>
  <si>
    <t>Find the Path</t>
  </si>
  <si>
    <t>Personal or touch</t>
  </si>
  <si>
    <t>None
or
Will negates
harmless</t>
  </si>
  <si>
    <t>No
or
Yes
harmless</t>
  </si>
  <si>
    <t>Shows most direct way to a location</t>
  </si>
  <si>
    <t>Forbiddence</t>
  </si>
  <si>
    <t>V, S, M, DF
Cost: 1500 gp per cube and 1000 gp per cube with password</t>
  </si>
  <si>
    <t>6 rounds</t>
  </si>
  <si>
    <t>Blocks planar travel, damages creatures of different alignment</t>
  </si>
  <si>
    <t>Geas/Quest</t>
  </si>
  <si>
    <t>As lesser geas, plus it affects any creature</t>
  </si>
  <si>
    <t>Greater Glyph of Warding</t>
  </si>
  <si>
    <t>Enchantment</t>
  </si>
  <si>
    <t>V, S, M
Cost: 400 gp</t>
  </si>
  <si>
    <t>As glyph of warding, but up to 10d8 damage or 6th-level spell</t>
  </si>
  <si>
    <t>Harm</t>
  </si>
  <si>
    <t>Heal</t>
  </si>
  <si>
    <t>Heroes' Feast</t>
  </si>
  <si>
    <t>1 hour plus 12 hours, see text</t>
  </si>
  <si>
    <t>Mass Inflict Moderate Wounds</t>
  </si>
  <si>
    <t>Mass Owl's Wisdom</t>
  </si>
  <si>
    <t>Planar Ally</t>
  </si>
  <si>
    <t>One or two called elementals or outsiders, totaling no more than 12 HD, which cannot be more than 30 ft apart when they appear</t>
  </si>
  <si>
    <t>As lesser planar ally, but up to 12 HD</t>
  </si>
  <si>
    <t>Summon Monster VI</t>
  </si>
  <si>
    <t>Symbol of Fear</t>
  </si>
  <si>
    <t>Triggered rune panics nearby creatures</t>
  </si>
  <si>
    <t>Symbol of Persuasion</t>
  </si>
  <si>
    <t>Enchantment
Charm
Mind-Affecting</t>
  </si>
  <si>
    <t>V, S, M
Cost: 5000 gp</t>
  </si>
  <si>
    <t>Triggered rune charms nearby creatures</t>
  </si>
  <si>
    <t>Undeath to Death</t>
  </si>
  <si>
    <t>Several undead creatures within a 40 ft burst</t>
  </si>
  <si>
    <t>Wind Walk</t>
  </si>
  <si>
    <t>None
and
Will negates
harmless</t>
  </si>
  <si>
    <t>No
and
Yes
harmless</t>
  </si>
  <si>
    <t>You and your allies turn vaporous and travel fast</t>
  </si>
  <si>
    <t>Word of Recall</t>
  </si>
  <si>
    <t>Unlimited</t>
  </si>
  <si>
    <t>You and touched objects or other willing creatures</t>
  </si>
  <si>
    <t>None
or
Will negates
harmless, object</t>
  </si>
  <si>
    <t>No
or
Yes
harmless, object</t>
  </si>
  <si>
    <t>Teleports you back to designated place</t>
  </si>
  <si>
    <t>Blasphemy</t>
  </si>
  <si>
    <t>Evocation
Evil
Sonic</t>
  </si>
  <si>
    <t>Nonevil creatures in a 40 ft radius spread centered on you</t>
  </si>
  <si>
    <t>Kills, paralyzes, weakens, or dazes nonevil subjects</t>
  </si>
  <si>
    <t>Control Weather</t>
  </si>
  <si>
    <t>2 miles</t>
  </si>
  <si>
    <t>2-mile-radius circle, centered on you; see text</t>
  </si>
  <si>
    <t>4d12 hours, see text</t>
  </si>
  <si>
    <t>Changes weather in local area</t>
  </si>
  <si>
    <t>Mass Cure Serious Wounds</t>
  </si>
  <si>
    <t>Destruction</t>
  </si>
  <si>
    <t>V, S, F
Focus: 500 gp</t>
  </si>
  <si>
    <t>Kills subject and destroys remains</t>
  </si>
  <si>
    <t>Dictum</t>
  </si>
  <si>
    <t>Evocation
Lawful
Sonic</t>
  </si>
  <si>
    <t>Nonlawful creatures in a 40 ft radius spread centered on you</t>
  </si>
  <si>
    <t>Kills, paralyzes, slows, or deafens nonlawful subjects</t>
  </si>
  <si>
    <t>Ethereal Jaunt</t>
  </si>
  <si>
    <t>Holy Word</t>
  </si>
  <si>
    <t>Evocation
Good
Sonic</t>
  </si>
  <si>
    <t>Nongood creatures in a 40 ft radius spread centered on you</t>
  </si>
  <si>
    <t>Kills, paralyzes, slows, or deafens nongood subjects</t>
  </si>
  <si>
    <t>Mass Inflict Serious Wounds</t>
  </si>
  <si>
    <t>Refuge</t>
  </si>
  <si>
    <t>V, S, M
Cost: 1500 gp</t>
  </si>
  <si>
    <t>Object touch</t>
  </si>
  <si>
    <t>Permanent until discharged</t>
  </si>
  <si>
    <t>Alters item to transport its possessor to you</t>
  </si>
  <si>
    <t>Regenerate</t>
  </si>
  <si>
    <t>3 full rounds</t>
  </si>
  <si>
    <t>Repulsion</t>
  </si>
  <si>
    <t>V, S, F
Focus: 50 gp</t>
  </si>
  <si>
    <t>Creatures can’t approach you</t>
  </si>
  <si>
    <t>Greater Restoration</t>
  </si>
  <si>
    <t>V, S, XP</t>
  </si>
  <si>
    <t>As restoration, plus restores all levels and ability scores</t>
  </si>
  <si>
    <t>Ressurection</t>
  </si>
  <si>
    <t>V, S, M, DF
Cost: 10000 gp</t>
  </si>
  <si>
    <t>Fully restore dead subject</t>
  </si>
  <si>
    <t>Greater Scrying</t>
  </si>
  <si>
    <t>As scrying, but faster and longer</t>
  </si>
  <si>
    <t>Summon Monster VII</t>
  </si>
  <si>
    <t>Symbol of Stunning</t>
  </si>
  <si>
    <t>Triggered rune stuns nearby creatures</t>
  </si>
  <si>
    <t>Symbol of Weakness</t>
  </si>
  <si>
    <t>Triggered rune weakens nearby creatures</t>
  </si>
  <si>
    <t>Word of Chaos</t>
  </si>
  <si>
    <t>Evocation
Chaotic
Sonic</t>
  </si>
  <si>
    <t>Nonchaotic creatures in a 40 ft radius spread centered on you</t>
  </si>
  <si>
    <t>Kills, confuses, stuns, or deafens nonchaotic subjects</t>
  </si>
  <si>
    <t>Antimagic Field</t>
  </si>
  <si>
    <t>10 ft radius emanation, centered on you</t>
  </si>
  <si>
    <t>Negates magic within 10 ft</t>
  </si>
  <si>
    <t>Cloak of Chaos</t>
  </si>
  <si>
    <t>+4 to AC, +4 resistance, and SR 25 against lawful spells</t>
  </si>
  <si>
    <t>Create Greater Undead</t>
  </si>
  <si>
    <t>Create shadows, wraiths, spectres, or devourers</t>
  </si>
  <si>
    <t>Mass Cure Critical Wounds</t>
  </si>
  <si>
    <t>Dimensional Lock</t>
  </si>
  <si>
    <t>20 ft radius emanation centered on a point in space</t>
  </si>
  <si>
    <t>Discern Location</t>
  </si>
  <si>
    <t>Reveals exact location of creature or object</t>
  </si>
  <si>
    <t>Earthquake</t>
  </si>
  <si>
    <t>Evocation
Earth</t>
  </si>
  <si>
    <t>80 ft radius spread</t>
  </si>
  <si>
    <t>Intense tremor shakes 80-ft.-radius</t>
  </si>
  <si>
    <t>Fire Storm</t>
  </si>
  <si>
    <t>Holy Aura</t>
  </si>
  <si>
    <t>+4 to AC, +4 resistance, and SR 25 against evil spells</t>
  </si>
  <si>
    <t>Mass Inflict Critical Wounds</t>
  </si>
  <si>
    <t>Greater Planar Ally</t>
  </si>
  <si>
    <t>Up to 3 called elementals or outsiders, totaling no more than 18 HD, no 2 of which can be more than 30 ft apart when they appear</t>
  </si>
  <si>
    <t>As lesser planar ally, but up to 18 HD</t>
  </si>
  <si>
    <t>Shield of Law</t>
  </si>
  <si>
    <t>+4 to AC, +4 resistance, and SR 25 against chaotic spells</t>
  </si>
  <si>
    <t>Greater Spell Immunity</t>
  </si>
  <si>
    <t>As spell immunity, but up to 8th-level spells</t>
  </si>
  <si>
    <t>Summon Monster VIII</t>
  </si>
  <si>
    <t>Symbol of Death</t>
  </si>
  <si>
    <t>Triggered rune slays nearby creatures</t>
  </si>
  <si>
    <t>Symbol of Insanity</t>
  </si>
  <si>
    <t>Triggered rune renders nearby creatures insane</t>
  </si>
  <si>
    <t>Unholy Aura</t>
  </si>
  <si>
    <t>+4 to AC, +4 resistance, and SR 25 against good spells</t>
  </si>
  <si>
    <t>Astral Projection</t>
  </si>
  <si>
    <t>V, S, M
Cost: 1000 gp + 5 gp per person</t>
  </si>
  <si>
    <t>30 minutes</t>
  </si>
  <si>
    <t>Projects you and companions onto Astral Plane</t>
  </si>
  <si>
    <t>Energy Drain</t>
  </si>
  <si>
    <t>Ray of negative energy</t>
  </si>
  <si>
    <t>Fortitude partial
see text for enervation</t>
  </si>
  <si>
    <t>Subject gains 2d4 negative levels</t>
  </si>
  <si>
    <t>Etherealness</t>
  </si>
  <si>
    <t>Touch, see text</t>
  </si>
  <si>
    <t>Travel to Ethereal Plane with companions</t>
  </si>
  <si>
    <t>Gate</t>
  </si>
  <si>
    <t>Conjuration
Creation
or
Calling</t>
  </si>
  <si>
    <t>V, S, XP
see text</t>
  </si>
  <si>
    <t>Connects two planes for travel or summoning</t>
  </si>
  <si>
    <t>Mass Heal</t>
  </si>
  <si>
    <t>One or more creatures, no 2 of which can be more than 30 ft apart</t>
  </si>
  <si>
    <t>As heal, but with several subjects</t>
  </si>
  <si>
    <t>Implosion</t>
  </si>
  <si>
    <t>One corporeal creature/round</t>
  </si>
  <si>
    <t>Concentration (up to 4 rounds)</t>
  </si>
  <si>
    <t>Kills one creature/round</t>
  </si>
  <si>
    <t>Miracle</t>
  </si>
  <si>
    <t>Requests a deity’s intercession</t>
  </si>
  <si>
    <t>Soul Bind</t>
  </si>
  <si>
    <t>V, S, F
Focus: 1000 gp per HD</t>
  </si>
  <si>
    <t>Corpse</t>
  </si>
  <si>
    <t>Traps newly dead soul to prevent resurrection</t>
  </si>
  <si>
    <t>Storm of Vengeance</t>
  </si>
  <si>
    <t>360 ft radius storm cloud</t>
  </si>
  <si>
    <t>Concentration (maximum 10 rounds) (D)</t>
  </si>
  <si>
    <t>Storm rains acid, lightning, and hail</t>
  </si>
  <si>
    <t>Summon Monster XI</t>
  </si>
  <si>
    <t>True Ressurection</t>
  </si>
  <si>
    <t>V, S, M, DF
Cost: 25000 gp</t>
  </si>
  <si>
    <t>As resurrection, plus remains aren’t needed</t>
  </si>
  <si>
    <t>Domain 1</t>
  </si>
  <si>
    <t>Domain 2</t>
  </si>
  <si>
    <t>Air Domain</t>
  </si>
  <si>
    <t>Cloud spreads in 20 ft radius from you, 20 ft high</t>
  </si>
  <si>
    <t>Gaseous Form</t>
  </si>
  <si>
    <t>S, DF</t>
  </si>
  <si>
    <t>Willing corporeal creature touched</t>
  </si>
  <si>
    <t>Subject becomes insubstantial and can fly slowly</t>
  </si>
  <si>
    <t>Control Winds</t>
  </si>
  <si>
    <t>Change wind direction and speed</t>
  </si>
  <si>
    <t>Chain Lightning</t>
  </si>
  <si>
    <t>Evocation
Electricity</t>
  </si>
  <si>
    <t>2 mile radius circle, centered on you; see text</t>
  </si>
  <si>
    <t>Whirlwind</t>
  </si>
  <si>
    <t>Cyclone 10 ft wide at base, 30 ft wide at top, and 30 ft tall</t>
  </si>
  <si>
    <t>Reflex negates
see text</t>
  </si>
  <si>
    <t>Cyclone deals damage and can pick up creatures</t>
  </si>
  <si>
    <r>
      <rPr>
        <rFont val="Arial"/>
        <color rgb="FF1155CC"/>
        <sz val="12.0"/>
        <u/>
      </rPr>
      <t xml:space="preserve">Elemental Swarm
</t>
    </r>
    <r>
      <rPr>
        <rFont val="Arial"/>
        <color rgb="FF000000"/>
        <sz val="12.0"/>
        <u/>
      </rPr>
      <t>(As Air Spell Only)</t>
    </r>
  </si>
  <si>
    <t>Conjuration
Summoning
Air</t>
  </si>
  <si>
    <t>Two or more summoned creatures, no two of which can be more than 30 ft apart</t>
  </si>
  <si>
    <t>Summons multiple elementals</t>
  </si>
  <si>
    <t>Animal Domain</t>
  </si>
  <si>
    <t>Calm Animals</t>
  </si>
  <si>
    <t>Animals within 30 ft of each other</t>
  </si>
  <si>
    <t>Hold Animal</t>
  </si>
  <si>
    <t>Enchantment
Compulsion
Mind-Affecting</t>
  </si>
  <si>
    <t>One animal</t>
  </si>
  <si>
    <t>Dominate Animal</t>
  </si>
  <si>
    <t>EnchantmentCompulsion
Mind-Affecting</t>
  </si>
  <si>
    <t>Subject animal obeys silent mental commands</t>
  </si>
  <si>
    <r>
      <rPr>
        <rFont val="Arial"/>
        <color rgb="FF1155CC"/>
        <sz val="12.0"/>
        <u/>
      </rPr>
      <t xml:space="preserve">Summon Nature's Ally IV
</t>
    </r>
    <r>
      <rPr>
        <rFont val="Arial"/>
        <color rgb="FF000000"/>
        <sz val="12.0"/>
        <u/>
      </rPr>
      <t>(Animals Only)</t>
    </r>
  </si>
  <si>
    <t xml:space="preserve">One or more creatures, no two of which can be more than 30 ft apart
</t>
  </si>
  <si>
    <t>Calls creature to fight.</t>
  </si>
  <si>
    <t>Commune with Nature</t>
  </si>
  <si>
    <t>10 ft radius field hedges out living creatures</t>
  </si>
  <si>
    <t>Animal Shapes</t>
  </si>
  <si>
    <r>
      <rPr>
        <rFont val="Arial"/>
        <color rgb="FF1155CC"/>
        <sz val="12.0"/>
        <u/>
      </rPr>
      <t xml:space="preserve">Summon Nature's Ally VIII
</t>
    </r>
    <r>
      <rPr>
        <rFont val="Arial"/>
        <color rgb="FF000000"/>
        <sz val="12.0"/>
        <u/>
      </rPr>
      <t>(Animals Only)</t>
    </r>
  </si>
  <si>
    <t>Conjuration
Summoning
See text</t>
  </si>
  <si>
    <t>Shapechange</t>
  </si>
  <si>
    <t>V, S, F
Cost: 1500 gp</t>
  </si>
  <si>
    <t>Transforms you into any creature, and change forms once per round</t>
  </si>
  <si>
    <t>Chaos Domain</t>
  </si>
  <si>
    <t>Chaos Hammer</t>
  </si>
  <si>
    <t>Evocation
Chaotic</t>
  </si>
  <si>
    <t>20 ft radius burst</t>
  </si>
  <si>
    <t>Instantaneous (1d6 rounds), see text</t>
  </si>
  <si>
    <t>Will partial
see text</t>
  </si>
  <si>
    <t>Damages and staggers lawful creatures</t>
  </si>
  <si>
    <r>
      <rPr>
        <rFont val="Arial"/>
        <color rgb="FF1155CC"/>
        <sz val="12.0"/>
        <u/>
      </rPr>
      <t xml:space="preserve">Summon Monster IX
</t>
    </r>
    <r>
      <rPr>
        <rFont val="Arial"/>
        <color rgb="FF000000"/>
        <sz val="12.0"/>
        <u/>
      </rPr>
      <t>(Chaos Spell Only)</t>
    </r>
  </si>
  <si>
    <t>Conjuration
Summoning
Chaotic</t>
  </si>
  <si>
    <t>Death Domain</t>
  </si>
  <si>
    <t>Wail of the Banshee</t>
  </si>
  <si>
    <t>Necromancy
Death
Sonic</t>
  </si>
  <si>
    <t>Destruction Domain</t>
  </si>
  <si>
    <t>Disintegrate</t>
  </si>
  <si>
    <t>Fortitude partial
object</t>
  </si>
  <si>
    <t>Makes one creature or object vanish</t>
  </si>
  <si>
    <t>Intense tremor shakes 80 ft radius</t>
  </si>
  <si>
    <t>Earth Domain</t>
  </si>
  <si>
    <t>Soften Earth and Stone</t>
  </si>
  <si>
    <t>Turns stone to clay or dirt to sand or mud</t>
  </si>
  <si>
    <t>Spike Stones</t>
  </si>
  <si>
    <t>Reflex partial</t>
  </si>
  <si>
    <t>Creatures in area take 1d8 damage, may be slowed</t>
  </si>
  <si>
    <t>Stoneskin</t>
  </si>
  <si>
    <t>Ignore 10 points of damage per attack</t>
  </si>
  <si>
    <t>Iron Body</t>
  </si>
  <si>
    <t>Your body becomes living iron</t>
  </si>
  <si>
    <r>
      <rPr>
        <rFont val="Arial"/>
        <color rgb="FF1155CC"/>
        <sz val="12.0"/>
        <u/>
      </rPr>
      <t xml:space="preserve">Elemental Swarm
</t>
    </r>
    <r>
      <rPr>
        <rFont val="Arial"/>
        <color rgb="FF000000"/>
        <sz val="12.0"/>
        <u/>
      </rPr>
      <t>(As Earth Spell Only)</t>
    </r>
  </si>
  <si>
    <t>Conjuration
Summoning
Earth</t>
  </si>
  <si>
    <t>Evil Domain</t>
  </si>
  <si>
    <t>Unholy Blight</t>
  </si>
  <si>
    <t>20 ft radius spread</t>
  </si>
  <si>
    <t>Instantaneous (1d4 rounds), see text</t>
  </si>
  <si>
    <t>Damages and sickens good creatures</t>
  </si>
  <si>
    <r>
      <rPr>
        <rFont val="Arial"/>
        <color rgb="FF1155CC"/>
        <sz val="12.0"/>
        <u/>
      </rPr>
      <t xml:space="preserve">Summon Monster IX
</t>
    </r>
    <r>
      <rPr>
        <rFont val="Arial"/>
        <color rgb="FF000000"/>
        <sz val="12.0"/>
        <u/>
      </rPr>
      <t>(As evil spell only)</t>
    </r>
  </si>
  <si>
    <t>Conjuration
Summoning
Evil</t>
  </si>
  <si>
    <t>Fire Domain</t>
  </si>
  <si>
    <t>Burning Hands</t>
  </si>
  <si>
    <t>15 ft</t>
  </si>
  <si>
    <t>Cone shaped burst</t>
  </si>
  <si>
    <t>Produce Flame</t>
  </si>
  <si>
    <t>0 ft</t>
  </si>
  <si>
    <t>Flame in your palm</t>
  </si>
  <si>
    <r>
      <rPr>
        <rFont val="Arial"/>
        <color rgb="FF1155CC"/>
        <sz val="12.0"/>
        <u/>
      </rPr>
      <t xml:space="preserve">Resist Energy
</t>
    </r>
    <r>
      <rPr>
        <rFont val="Arial"/>
        <color rgb="FF000000"/>
        <sz val="12.0"/>
        <u/>
      </rPr>
      <t>(vs cold or fire only)</t>
    </r>
  </si>
  <si>
    <t>Wall of Fire</t>
  </si>
  <si>
    <t>Fire Shield</t>
  </si>
  <si>
    <t>Evocation
Fire
or
Cold</t>
  </si>
  <si>
    <t>Creatures attacking you take fire damage; you’re protected from heat or cold</t>
  </si>
  <si>
    <t>Fire Seeds</t>
  </si>
  <si>
    <t>Conjuration
Creation
Fire</t>
  </si>
  <si>
    <t>Up to four touched acorns or up to eight touched holly berries</t>
  </si>
  <si>
    <t>None
or
Reflex half
see text</t>
  </si>
  <si>
    <t>Acorns and berries become grenades and bombs</t>
  </si>
  <si>
    <t>Incendiary Cloud</t>
  </si>
  <si>
    <t>Cloud spreads in a 20 ft radius, 20 ft high</t>
  </si>
  <si>
    <t>Reflex half
see text</t>
  </si>
  <si>
    <t>Cloud deals 4d6 fire damage/round</t>
  </si>
  <si>
    <r>
      <rPr>
        <rFont val="Arial"/>
        <color rgb="FF1155CC"/>
        <sz val="12.0"/>
        <u/>
      </rPr>
      <t xml:space="preserve">Elemental Swarm
</t>
    </r>
    <r>
      <rPr>
        <rFont val="Arial"/>
        <color rgb="FF000000"/>
        <sz val="12.0"/>
        <u/>
      </rPr>
      <t>(As Fire Spell Only)</t>
    </r>
  </si>
  <si>
    <t>Conjuration
Summoning
Fire</t>
  </si>
  <si>
    <t>Good Domain</t>
  </si>
  <si>
    <t>Holy Smite</t>
  </si>
  <si>
    <t>Instantaneous (1 round), see text</t>
  </si>
  <si>
    <t>Damages and blinds evil creatures</t>
  </si>
  <si>
    <r>
      <rPr>
        <rFont val="Arial"/>
        <color rgb="FF1155CC"/>
        <sz val="12.0"/>
        <u/>
      </rPr>
      <t xml:space="preserve">Summon Monster IX
</t>
    </r>
    <r>
      <rPr>
        <rFont val="Arial"/>
        <color rgb="FF000000"/>
        <sz val="12.0"/>
        <u/>
      </rPr>
      <t>(As good spell only)</t>
    </r>
  </si>
  <si>
    <t>Conjuration
Summoning
Good</t>
  </si>
  <si>
    <t>Healing Domain</t>
  </si>
  <si>
    <t>Conjuration
Healing</t>
  </si>
  <si>
    <t>Knowledge Domain</t>
  </si>
  <si>
    <t>Detect Secret Doors</t>
  </si>
  <si>
    <t>Reveals hidden doors within 60 ft</t>
  </si>
  <si>
    <t>Detect Thoughts</t>
  </si>
  <si>
    <t>Divination
Mind-Affecting</t>
  </si>
  <si>
    <t>V, S, F
Focus: 1 copper piece</t>
  </si>
  <si>
    <t>Allows “listening” to surface thoughts</t>
  </si>
  <si>
    <t>Clairaudience
Clairvoyance</t>
  </si>
  <si>
    <t>Legend Lore</t>
  </si>
  <si>
    <t>V, S, M, F
Cost: 250 gp
Focus: 200 gp</t>
  </si>
  <si>
    <t>Lets you learn tales about a person, place, or thing</t>
  </si>
  <si>
    <t>Foresight</t>
  </si>
  <si>
    <t>“Sixth sense” warns of impending danger</t>
  </si>
  <si>
    <t>Law Domain</t>
  </si>
  <si>
    <t>Order's Wrath</t>
  </si>
  <si>
    <t>Evocation
Lawful</t>
  </si>
  <si>
    <t>Damages and dazes chaotic creatures</t>
  </si>
  <si>
    <t>Hold Monster</t>
  </si>
  <si>
    <t>Enchantment
Compulsion
Mind-Affecting</t>
  </si>
  <si>
    <t>As hold person, but any creature</t>
  </si>
  <si>
    <r>
      <rPr>
        <rFont val="Arial"/>
        <color rgb="FF1155CC"/>
        <sz val="12.0"/>
        <u/>
      </rPr>
      <t xml:space="preserve">Summon Monster IX
</t>
    </r>
    <r>
      <rPr>
        <rFont val="Arial"/>
        <color rgb="FF000000"/>
        <sz val="12.0"/>
        <u/>
      </rPr>
      <t>(As law spell only)</t>
    </r>
  </si>
  <si>
    <t>Conjuration
Summoning
Lawful</t>
  </si>
  <si>
    <t>Luck Domain</t>
  </si>
  <si>
    <t>Mislead</t>
  </si>
  <si>
    <t>Illusion
Figment
Glamer</t>
  </si>
  <si>
    <t>S</t>
  </si>
  <si>
    <t>You and 1 illusory double</t>
  </si>
  <si>
    <t>None
or
Will disbelief
if interacted with
see text</t>
  </si>
  <si>
    <t>Turns you invisible and creates illusory double</t>
  </si>
  <si>
    <t>Spell Turning</t>
  </si>
  <si>
    <t>Reflect 1d4+6 spell levels back at caster</t>
  </si>
  <si>
    <t>Moment of Prescience</t>
  </si>
  <si>
    <t>You gain insight bonus on single attack roll, check, or save</t>
  </si>
  <si>
    <t>Magic Domain</t>
  </si>
  <si>
    <t>Nystul's Magic Aura</t>
  </si>
  <si>
    <t>Alters object’s magic aura</t>
  </si>
  <si>
    <t>Identify</t>
  </si>
  <si>
    <t>One touched object</t>
  </si>
  <si>
    <t>Determines properties of magic item</t>
  </si>
  <si>
    <t>One spellcaster, creature, or object; or 20 ft radius burst</t>
  </si>
  <si>
    <t>Protection from Spells</t>
  </si>
  <si>
    <t>V, S, M, F
Cost: 500 gp
Focus: 1000 gp per creature</t>
  </si>
  <si>
    <t>Confers +8 resistance bonus</t>
  </si>
  <si>
    <t>Mordenkainen's Disjunction</t>
  </si>
  <si>
    <t>All magical effects and magic items within a 40 ft radius burst</t>
  </si>
  <si>
    <t>Dispels magic, disenchants magic items</t>
  </si>
  <si>
    <t>Plant Domain</t>
  </si>
  <si>
    <t>Entangle</t>
  </si>
  <si>
    <t>Plants in a 40 ft radius spread</t>
  </si>
  <si>
    <t>Reflex partial
see text</t>
  </si>
  <si>
    <t>Plants entangle everyone in 40 ft radius.</t>
  </si>
  <si>
    <t>Barkskin</t>
  </si>
  <si>
    <t>Grants +2 (or higher) enhancement to natural armor.</t>
  </si>
  <si>
    <t>Plant Growth</t>
  </si>
  <si>
    <t>Grows vegetation, improves crops</t>
  </si>
  <si>
    <t>Command Plants</t>
  </si>
  <si>
    <t xml:space="preserve">V
</t>
  </si>
  <si>
    <t>Sway the actions of one or more plant creatures</t>
  </si>
  <si>
    <t>Wall of Thorns</t>
  </si>
  <si>
    <t>Thorns damage anyone who tries to pass</t>
  </si>
  <si>
    <t>Repel Wood</t>
  </si>
  <si>
    <t>60 ft line-shaped emanation from you</t>
  </si>
  <si>
    <t>Pushes away wooden objects</t>
  </si>
  <si>
    <t>Animate Plants</t>
  </si>
  <si>
    <t>One or more plants animate and fight for you</t>
  </si>
  <si>
    <t>Control Plants</t>
  </si>
  <si>
    <t>Control actions of one or more plant creatures</t>
  </si>
  <si>
    <t>Shambler</t>
  </si>
  <si>
    <t>Three or more shambling mounds, no two of which can be more than 30 ft. apart; see text</t>
  </si>
  <si>
    <t>Seven days or seven months (D); see text</t>
  </si>
  <si>
    <t>Summons 1d4+2 shambling mounds to fight for you</t>
  </si>
  <si>
    <t>Protection Domain</t>
  </si>
  <si>
    <t>Mind Blank</t>
  </si>
  <si>
    <t>Subject is immune to mental/emotional magic and scrying</t>
  </si>
  <si>
    <t>Prismatic Sphere</t>
  </si>
  <si>
    <t>10 ft radius sphere centered on you</t>
  </si>
  <si>
    <t>As prismatic wall, but surrounds on all sides</t>
  </si>
  <si>
    <t>Strength Domain</t>
  </si>
  <si>
    <t>Enlarge Person</t>
  </si>
  <si>
    <t>Humanoid creature doubles in size</t>
  </si>
  <si>
    <t>Bigby's Grasping Hand</t>
  </si>
  <si>
    <t>10 ft hand</t>
  </si>
  <si>
    <t>Hand provides cover, pushes, or grapples</t>
  </si>
  <si>
    <t>Bigby's Clenched Fist</t>
  </si>
  <si>
    <t>Large hand provides cover, pushes, or attacks your foes</t>
  </si>
  <si>
    <t>Bigby's Crushing Hand</t>
  </si>
  <si>
    <t>V, S, M, F
No Listed Cost</t>
  </si>
  <si>
    <t>Large hand provides cover, pushes, or crushes your foes</t>
  </si>
  <si>
    <t>Sun Domain</t>
  </si>
  <si>
    <t>Heat Metal</t>
  </si>
  <si>
    <t>Transmutation
Fire</t>
  </si>
  <si>
    <t>7 rounds</t>
  </si>
  <si>
    <t>Make metal so hot it damages those who touch it.</t>
  </si>
  <si>
    <t>Conjuration
Fire</t>
  </si>
  <si>
    <t>Sunbeam</t>
  </si>
  <si>
    <t>Line from your hand</t>
  </si>
  <si>
    <t>Reflex negates
and
Reflex half
see text</t>
  </si>
  <si>
    <t>Beam blinds and deals 4d6 damage</t>
  </si>
  <si>
    <t>Sunburst</t>
  </si>
  <si>
    <t>80 ft radius burst</t>
  </si>
  <si>
    <t>Blinds all within 10 ft, deals 6d6 damage</t>
  </si>
  <si>
    <t>Travel Domain</t>
  </si>
  <si>
    <t>Longstrider</t>
  </si>
  <si>
    <t>Your speed increases by 10 ft.</t>
  </si>
  <si>
    <t>Fly</t>
  </si>
  <si>
    <t>Subject flies at speed of 60 ft</t>
  </si>
  <si>
    <t>Dimension Door</t>
  </si>
  <si>
    <t>You and touched objects or other touched willing creatures</t>
  </si>
  <si>
    <t>None
and
Will negates
object</t>
  </si>
  <si>
    <t>No
and
Yes
object</t>
  </si>
  <si>
    <t>Teleports you short distance</t>
  </si>
  <si>
    <t>Teleport</t>
  </si>
  <si>
    <t>Personal and Touch</t>
  </si>
  <si>
    <t>Greater Teleport</t>
  </si>
  <si>
    <t>As teleport, but no range limit and no off-target arrival</t>
  </si>
  <si>
    <t>Phase Door</t>
  </si>
  <si>
    <t>Creates an invisible passage through wood or stone</t>
  </si>
  <si>
    <t>Trickery Domain</t>
  </si>
  <si>
    <t>Disguise Self</t>
  </si>
  <si>
    <t>Changes your appearance</t>
  </si>
  <si>
    <t>Invisibility</t>
  </si>
  <si>
    <t>Will negates
harmless
or
Will negates
harmless, object</t>
  </si>
  <si>
    <t>Yes
harmless
or
Yes
harmless, object</t>
  </si>
  <si>
    <t>Nondetection</t>
  </si>
  <si>
    <t>Creature or object touched</t>
  </si>
  <si>
    <t>Hides subject from divination, scrying</t>
  </si>
  <si>
    <t>Confusion</t>
  </si>
  <si>
    <t>All creatures within a 15 ft burst</t>
  </si>
  <si>
    <t>False Vision</t>
  </si>
  <si>
    <t>40 ft radius emanation</t>
  </si>
  <si>
    <t>Fools scrying with an illusion</t>
  </si>
  <si>
    <t>Screen</t>
  </si>
  <si>
    <t>Illusion hides area from vision, scrying</t>
  </si>
  <si>
    <t>Polymorph any Object</t>
  </si>
  <si>
    <t>Fortitude negates
object, see text</t>
  </si>
  <si>
    <t>Yes
obejct</t>
  </si>
  <si>
    <t>Changes any subject into anything else</t>
  </si>
  <si>
    <t>Time Stop</t>
  </si>
  <si>
    <t>1d4+1 rounds (apparent time), see text</t>
  </si>
  <si>
    <t>You act freely for 1d4+1 rounds</t>
  </si>
  <si>
    <t>War Domain</t>
  </si>
  <si>
    <t>Power Word Blind</t>
  </si>
  <si>
    <t>One creature with 200 hp or less</t>
  </si>
  <si>
    <t>Blinds creature with 200 hp or less</t>
  </si>
  <si>
    <t>Power Word Stun</t>
  </si>
  <si>
    <t>One creature with 150 hp or less</t>
  </si>
  <si>
    <t>Stuns creature with 150 hp or less</t>
  </si>
  <si>
    <t>Power Word Kill</t>
  </si>
  <si>
    <t>Enchantment
Compulsion
Death
Mind-Affecting</t>
  </si>
  <si>
    <t>One creature with 100 hp or less</t>
  </si>
  <si>
    <t>Kills one creature with 100 hp or less</t>
  </si>
  <si>
    <t>Water Domain</t>
  </si>
  <si>
    <t>Fog Cloud</t>
  </si>
  <si>
    <t>Fog spreads in 20 ft radius, 20 ft high</t>
  </si>
  <si>
    <t>Fog obscures vision.</t>
  </si>
  <si>
    <t>Ice Storm</t>
  </si>
  <si>
    <t>Evocation
Cold</t>
  </si>
  <si>
    <t>Cylinder (20 ft radius, 40 ft high)</t>
  </si>
  <si>
    <t>1 full round</t>
  </si>
  <si>
    <t>Hail deals 5d6 damage in cylinder 40 ft across</t>
  </si>
  <si>
    <t>Cone of Cold</t>
  </si>
  <si>
    <t>Acid Fog</t>
  </si>
  <si>
    <t>Conjuration
Creation
Acid</t>
  </si>
  <si>
    <t>Fog spreads in a 20 ft radius, 20 ft high</t>
  </si>
  <si>
    <t>Fog deals acid damage</t>
  </si>
  <si>
    <t>Horrid Wilting</t>
  </si>
  <si>
    <t>Living creatures, no two of which can be more than 60 ft apart</t>
  </si>
  <si>
    <t>Fortitude half</t>
  </si>
  <si>
    <r>
      <rPr>
        <rFont val="Arial"/>
        <color rgb="FF1155CC"/>
        <sz val="12.0"/>
        <u/>
      </rPr>
      <t xml:space="preserve">Elemental Swarm
</t>
    </r>
    <r>
      <rPr>
        <rFont val="Arial"/>
        <color rgb="FF000000"/>
        <sz val="12.0"/>
        <u/>
      </rPr>
      <t>(As Water Spell Only)</t>
    </r>
  </si>
  <si>
    <t>Conjuration
Summoning
Water</t>
  </si>
  <si>
    <t>DList</t>
  </si>
  <si>
    <t xml:space="preserve"> Times Prepared</t>
  </si>
  <si>
    <t>Times Prepared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</si>
</sst>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+&quot;0;&quot;-&quot;0"/>
  </numFmts>
  <fonts count="36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</font>
    <font>
      <sz val="24.0"/>
      <color theme="1"/>
      <name val="Arial"/>
    </font>
    <font>
      <sz val="12.0"/>
      <color rgb="FF000000"/>
      <name val="Arial"/>
    </font>
    <font>
      <u/>
      <sz val="12.0"/>
      <color rgb="FF1155CC"/>
      <name val="Arial"/>
    </font>
    <font>
      <sz val="10.0"/>
      <color theme="1"/>
      <name val="Arial"/>
    </font>
    <font>
      <u/>
      <sz val="12.0"/>
      <color rgb="FF1155CC"/>
      <name val="Arial"/>
    </font>
    <font>
      <sz val="11.0"/>
      <color theme="1"/>
      <name val="Arial"/>
    </font>
    <font>
      <u/>
      <sz val="12.0"/>
      <color rgb="FF1155CC"/>
    </font>
    <font>
      <u/>
      <sz val="12.0"/>
      <color rgb="FF1155CC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sz val="14.0"/>
      <color rgb="FF000000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u/>
      <sz val="14.0"/>
      <color rgb="FF1155CC"/>
      <name val="Arial"/>
    </font>
    <font>
      <sz val="18.0"/>
      <color theme="1"/>
      <name val="Arial"/>
    </font>
    <font>
      <u/>
      <sz val="14.0"/>
      <color rgb="FF1155CC"/>
    </font>
    <font>
      <u/>
      <sz val="14.0"/>
      <color rgb="FF1155CC"/>
    </font>
    <font>
      <u/>
      <sz val="14.0"/>
      <color rgb="FF1155CC"/>
    </font>
    <font>
      <u/>
      <sz val="14.0"/>
      <color rgb="FF1155CC"/>
      <name val="Arial"/>
    </font>
    <font>
      <u/>
      <sz val="14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center" readingOrder="0" shrinkToFit="0" wrapText="1"/>
    </xf>
    <xf borderId="2" fillId="2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shrinkToFit="0" vertical="center" wrapText="1"/>
    </xf>
    <xf borderId="2" fillId="3" fontId="3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top" wrapText="1"/>
    </xf>
    <xf borderId="4" fillId="0" fontId="4" numFmtId="164" xfId="0" applyAlignment="1" applyBorder="1" applyFont="1" applyNumberFormat="1">
      <alignment horizontal="center" readingOrder="0" shrinkToFit="0" vertical="top" wrapText="1"/>
    </xf>
    <xf borderId="1" fillId="2" fontId="6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3" fillId="2" fontId="3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horizontal="center" readingOrder="0" shrinkToFit="0" vertical="top" wrapText="1"/>
    </xf>
    <xf borderId="3" fillId="3" fontId="3" numFmtId="0" xfId="0" applyBorder="1" applyFont="1"/>
    <xf borderId="0" fillId="0" fontId="2" numFmtId="0" xfId="0" applyAlignment="1" applyFont="1">
      <alignment horizontal="center" readingOrder="0" vertical="top"/>
    </xf>
    <xf borderId="4" fillId="2" fontId="9" numFmtId="0" xfId="0" applyAlignment="1" applyBorder="1" applyFont="1">
      <alignment horizontal="center" readingOrder="0" shrinkToFit="0" vertical="top" wrapText="1"/>
    </xf>
    <xf borderId="1" fillId="2" fontId="10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shrinkToFit="0" vertical="top" wrapText="1"/>
    </xf>
    <xf borderId="4" fillId="2" fontId="11" numFmtId="0" xfId="0" applyAlignment="1" applyBorder="1" applyFont="1">
      <alignment horizontal="center" readingOrder="0" shrinkToFit="0" vertical="top" wrapText="1"/>
    </xf>
    <xf borderId="4" fillId="3" fontId="9" numFmtId="0" xfId="0" applyAlignment="1" applyBorder="1" applyFont="1">
      <alignment horizontal="center" readingOrder="0" shrinkToFit="0" vertical="top" wrapText="1"/>
    </xf>
    <xf borderId="1" fillId="3" fontId="12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shrinkToFit="0" vertical="top" wrapText="1"/>
    </xf>
    <xf borderId="4" fillId="3" fontId="11" numFmtId="0" xfId="0" applyAlignment="1" applyBorder="1" applyFont="1">
      <alignment horizontal="center" shrinkToFit="0" vertical="top" wrapText="1"/>
    </xf>
    <xf borderId="4" fillId="2" fontId="9" numFmtId="0" xfId="0" applyAlignment="1" applyBorder="1" applyFont="1">
      <alignment horizontal="center" shrinkToFit="0" vertical="top" wrapText="1"/>
    </xf>
    <xf borderId="4" fillId="2" fontId="11" numFmtId="0" xfId="0" applyAlignment="1" applyBorder="1" applyFont="1">
      <alignment horizontal="center" shrinkToFit="0" vertical="top" wrapText="1"/>
    </xf>
    <xf borderId="0" fillId="0" fontId="13" numFmtId="0" xfId="0" applyAlignment="1" applyFont="1">
      <alignment readingOrder="0"/>
    </xf>
    <xf borderId="4" fillId="3" fontId="9" numFmtId="0" xfId="0" applyAlignment="1" applyBorder="1" applyFont="1">
      <alignment horizontal="center" shrinkToFit="0" vertical="top" wrapText="1"/>
    </xf>
    <xf borderId="0" fillId="0" fontId="13" numFmtId="0" xfId="0" applyFont="1"/>
    <xf borderId="4" fillId="2" fontId="2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top" wrapText="1"/>
    </xf>
    <xf borderId="4" fillId="2" fontId="9" numFmtId="0" xfId="0" applyAlignment="1" applyBorder="1" applyFont="1">
      <alignment horizontal="center" readingOrder="0" shrinkToFit="0" vertical="top" wrapText="1"/>
    </xf>
    <xf borderId="4" fillId="2" fontId="4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/>
    </xf>
    <xf borderId="1" fillId="2" fontId="2" numFmtId="0" xfId="0" applyAlignment="1" applyBorder="1" applyFont="1">
      <alignment horizontal="center" readingOrder="0"/>
    </xf>
    <xf borderId="1" fillId="3" fontId="14" numFmtId="0" xfId="0" applyAlignment="1" applyBorder="1" applyFont="1">
      <alignment horizontal="center" readingOrder="0" vertical="center"/>
    </xf>
    <xf borderId="1" fillId="2" fontId="15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top"/>
    </xf>
    <xf borderId="1" fillId="3" fontId="4" numFmtId="0" xfId="0" applyAlignment="1" applyBorder="1" applyFont="1">
      <alignment horizontal="center" readingOrder="0" vertical="top"/>
    </xf>
    <xf borderId="4" fillId="2" fontId="9" numFmtId="0" xfId="0" applyAlignment="1" applyBorder="1" applyFont="1">
      <alignment horizontal="center" readingOrder="0" vertical="top"/>
    </xf>
    <xf borderId="4" fillId="3" fontId="9" numFmtId="0" xfId="0" applyAlignment="1" applyBorder="1" applyFont="1">
      <alignment horizontal="center" readingOrder="0" vertical="top"/>
    </xf>
    <xf borderId="4" fillId="2" fontId="9" numFmtId="0" xfId="0" applyAlignment="1" applyBorder="1" applyFont="1">
      <alignment horizontal="center" readingOrder="0" vertical="top"/>
    </xf>
    <xf borderId="4" fillId="3" fontId="9" numFmtId="0" xfId="0" applyAlignment="1" applyBorder="1" applyFont="1">
      <alignment horizontal="center" readingOrder="0" vertical="top"/>
    </xf>
    <xf borderId="1" fillId="3" fontId="16" numFmtId="0" xfId="0" applyAlignment="1" applyBorder="1" applyFont="1">
      <alignment horizontal="center" readingOrder="0" shrinkToFit="0" vertical="top" wrapText="1"/>
    </xf>
    <xf borderId="1" fillId="3" fontId="11" numFmtId="0" xfId="0" applyAlignment="1" applyBorder="1" applyFont="1">
      <alignment readingOrder="0" shrinkToFit="0" vertical="top" wrapText="1"/>
    </xf>
    <xf borderId="1" fillId="2" fontId="17" numFmtId="0" xfId="0" applyAlignment="1" applyBorder="1" applyFont="1">
      <alignment horizontal="center" readingOrder="0" shrinkToFit="0" vertical="top" wrapText="1"/>
    </xf>
    <xf borderId="1" fillId="2" fontId="11" numFmtId="0" xfId="0" applyAlignment="1" applyBorder="1" applyFont="1">
      <alignment readingOrder="0" shrinkToFit="0" vertical="top" wrapText="1"/>
    </xf>
    <xf quotePrefix="1" borderId="1" fillId="3" fontId="11" numFmtId="0" xfId="0" applyAlignment="1" applyBorder="1" applyFont="1">
      <alignment shrinkToFit="0" vertical="top" wrapText="1"/>
    </xf>
    <xf quotePrefix="1" borderId="1" fillId="2" fontId="11" numFmtId="0" xfId="0" applyAlignment="1" applyBorder="1" applyFont="1">
      <alignment shrinkToFit="0" vertical="top" wrapText="1"/>
    </xf>
    <xf quotePrefix="1" borderId="1" fillId="3" fontId="11" numFmtId="0" xfId="0" applyAlignment="1" applyBorder="1" applyFont="1">
      <alignment readingOrder="0" shrinkToFit="0" vertical="top" wrapText="1"/>
    </xf>
    <xf quotePrefix="1" borderId="1" fillId="2" fontId="11" numFmtId="0" xfId="0" applyAlignment="1" applyBorder="1" applyFont="1">
      <alignment readingOrder="0" shrinkToFit="0" vertical="top" wrapText="1"/>
    </xf>
    <xf borderId="1" fillId="2" fontId="18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shrinkToFit="0" vertical="top" wrapText="1"/>
    </xf>
    <xf borderId="1" fillId="3" fontId="19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horizontal="center" shrinkToFit="0" vertical="top" wrapText="1"/>
    </xf>
    <xf borderId="1" fillId="3" fontId="11" numFmtId="0" xfId="0" applyAlignment="1" applyBorder="1" applyFont="1">
      <alignment shrinkToFit="0" vertical="top" wrapText="1"/>
    </xf>
    <xf borderId="0" fillId="4" fontId="20" numFmtId="0" xfId="0" applyAlignment="1" applyFill="1" applyFont="1">
      <alignment horizontal="center" readingOrder="0" shrinkToFit="0" vertical="top" wrapText="1"/>
    </xf>
    <xf borderId="0" fillId="4" fontId="4" numFmtId="0" xfId="0" applyAlignment="1" applyFont="1">
      <alignment horizontal="center" readingOrder="0" shrinkToFit="0" vertical="top" wrapText="1"/>
    </xf>
    <xf borderId="0" fillId="4" fontId="4" numFmtId="0" xfId="0" applyAlignment="1" applyFont="1">
      <alignment readingOrder="0" shrinkToFit="0" vertical="top" wrapText="1"/>
    </xf>
    <xf borderId="4" fillId="2" fontId="9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readingOrder="0" vertical="center"/>
    </xf>
    <xf borderId="4" fillId="2" fontId="9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0" fillId="4" fontId="1" numFmtId="0" xfId="0" applyFont="1"/>
    <xf borderId="2" fillId="4" fontId="21" numFmtId="0" xfId="0" applyAlignment="1" applyBorder="1" applyFont="1">
      <alignment horizontal="center" readingOrder="0" shrinkToFit="0" vertical="top" wrapText="1"/>
    </xf>
    <xf borderId="2" fillId="4" fontId="22" numFmtId="0" xfId="0" applyAlignment="1" applyBorder="1" applyFont="1">
      <alignment horizontal="center" shrinkToFit="0" vertical="top" wrapText="1"/>
    </xf>
    <xf borderId="2" fillId="4" fontId="4" numFmtId="0" xfId="0" applyAlignment="1" applyBorder="1" applyFont="1">
      <alignment horizontal="center" shrinkToFit="0" vertical="top" wrapText="1"/>
    </xf>
    <xf borderId="2" fillId="4" fontId="4" numFmtId="0" xfId="0" applyAlignment="1" applyBorder="1" applyFont="1">
      <alignment shrinkToFit="0" vertical="top" wrapText="1"/>
    </xf>
    <xf borderId="0" fillId="4" fontId="23" numFmtId="0" xfId="0" applyAlignment="1" applyFont="1">
      <alignment horizontal="center" shrinkToFit="0" vertical="top" wrapText="1"/>
    </xf>
    <xf borderId="0" fillId="4" fontId="4" numFmtId="0" xfId="0" applyAlignment="1" applyFont="1">
      <alignment horizontal="center" shrinkToFit="0" vertical="top" wrapText="1"/>
    </xf>
    <xf borderId="0" fillId="4" fontId="4" numFmtId="0" xfId="0" applyAlignment="1" applyFont="1">
      <alignment shrinkToFit="0" vertical="top" wrapText="1"/>
    </xf>
    <xf borderId="1" fillId="2" fontId="2" numFmtId="0" xfId="0" applyAlignment="1" applyBorder="1" applyFont="1">
      <alignment horizontal="center" vertical="top"/>
    </xf>
    <xf borderId="4" fillId="3" fontId="4" numFmtId="0" xfId="0" applyAlignment="1" applyBorder="1" applyFont="1">
      <alignment horizontal="center" vertical="top"/>
    </xf>
    <xf borderId="1" fillId="3" fontId="4" numFmtId="0" xfId="0" applyAlignment="1" applyBorder="1" applyFont="1">
      <alignment horizontal="center" vertical="top"/>
    </xf>
    <xf borderId="4" fillId="2" fontId="4" numFmtId="0" xfId="0" applyAlignment="1" applyBorder="1" applyFont="1">
      <alignment horizontal="center" readingOrder="0" vertical="top"/>
    </xf>
    <xf borderId="4" fillId="2" fontId="4" numFmtId="0" xfId="0" applyAlignment="1" applyBorder="1" applyFont="1">
      <alignment horizontal="center" vertical="top"/>
    </xf>
    <xf borderId="4" fillId="2" fontId="4" numFmtId="0" xfId="0" applyAlignment="1" applyBorder="1" applyFont="1">
      <alignment horizontal="center" shrinkToFit="0" vertical="top" wrapText="1"/>
    </xf>
    <xf borderId="4" fillId="3" fontId="4" numFmtId="0" xfId="0" applyAlignment="1" applyBorder="1" applyFont="1">
      <alignment horizontal="center" shrinkToFit="0" vertical="top" wrapText="1"/>
    </xf>
    <xf borderId="1" fillId="2" fontId="8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 vertical="top"/>
    </xf>
    <xf borderId="1" fillId="3" fontId="2" numFmtId="0" xfId="0" applyAlignment="1" applyBorder="1" applyFont="1">
      <alignment horizontal="center" readingOrder="0"/>
    </xf>
    <xf borderId="4" fillId="2" fontId="24" numFmtId="0" xfId="0" applyAlignment="1" applyBorder="1" applyFont="1">
      <alignment horizontal="center" readingOrder="0" shrinkToFit="0" vertical="top" wrapText="1"/>
    </xf>
    <xf borderId="1" fillId="2" fontId="25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horizontal="center" shrinkToFit="0" vertical="top" wrapText="1"/>
    </xf>
    <xf borderId="1" fillId="2" fontId="4" numFmtId="0" xfId="0" applyAlignment="1" applyBorder="1" applyFont="1">
      <alignment shrinkToFit="0" vertical="top" wrapText="1"/>
    </xf>
    <xf borderId="4" fillId="3" fontId="24" numFmtId="0" xfId="0" applyAlignment="1" applyBorder="1" applyFont="1">
      <alignment horizontal="center" readingOrder="0" shrinkToFit="0" vertical="top" wrapText="1"/>
    </xf>
    <xf borderId="1" fillId="3" fontId="26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horizontal="center" shrinkToFit="0" vertical="top" wrapText="1"/>
    </xf>
    <xf borderId="1" fillId="3" fontId="4" numFmtId="0" xfId="0" applyAlignment="1" applyBorder="1" applyFont="1">
      <alignment shrinkToFit="0" vertical="top" wrapText="1"/>
    </xf>
    <xf borderId="4" fillId="2" fontId="24" numFmtId="0" xfId="0" applyAlignment="1" applyBorder="1" applyFont="1">
      <alignment horizontal="center" readingOrder="0" shrinkToFit="0" vertical="top" wrapText="1"/>
    </xf>
    <xf borderId="1" fillId="2" fontId="27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horizontal="center" readingOrder="0" shrinkToFit="0" vertical="top" wrapText="1"/>
    </xf>
    <xf borderId="1" fillId="2" fontId="4" numFmtId="0" xfId="0" applyAlignment="1" applyBorder="1" applyFont="1">
      <alignment readingOrder="0" shrinkToFit="0" vertical="top" wrapText="1"/>
    </xf>
    <xf borderId="4" fillId="3" fontId="24" numFmtId="0" xfId="0" applyAlignment="1" applyBorder="1" applyFont="1">
      <alignment horizontal="center" readingOrder="0" shrinkToFit="0" vertical="top" wrapText="1"/>
    </xf>
    <xf borderId="1" fillId="3" fontId="28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ont="1">
      <alignment readingOrder="0" shrinkToFit="0" vertical="top" wrapText="1"/>
    </xf>
    <xf borderId="5" fillId="2" fontId="24" numFmtId="0" xfId="0" applyAlignment="1" applyBorder="1" applyFont="1">
      <alignment horizontal="center" readingOrder="0" shrinkToFit="0" vertical="top" wrapText="1"/>
    </xf>
    <xf borderId="6" fillId="2" fontId="29" numFmtId="0" xfId="0" applyAlignment="1" applyBorder="1" applyFont="1">
      <alignment horizontal="center" shrinkToFit="0" vertical="top" wrapText="1"/>
    </xf>
    <xf borderId="7" fillId="2" fontId="3" numFmtId="0" xfId="0" applyBorder="1" applyFont="1"/>
    <xf borderId="6" fillId="2" fontId="4" numFmtId="0" xfId="0" applyAlignment="1" applyBorder="1" applyFont="1">
      <alignment horizontal="center" shrinkToFit="0" vertical="top" wrapText="1"/>
    </xf>
    <xf borderId="6" fillId="2" fontId="4" numFmtId="0" xfId="0" applyAlignment="1" applyBorder="1" applyFont="1">
      <alignment shrinkToFit="0" vertical="top" wrapText="1"/>
    </xf>
    <xf borderId="8" fillId="2" fontId="3" numFmtId="0" xfId="0" applyBorder="1" applyFont="1"/>
    <xf borderId="1" fillId="2" fontId="30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center"/>
    </xf>
    <xf borderId="1" fillId="3" fontId="31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readingOrder="0" vertical="top"/>
    </xf>
    <xf borderId="1" fillId="2" fontId="32" numFmtId="0" xfId="0" applyAlignment="1" applyBorder="1" applyFont="1">
      <alignment horizontal="center" readingOrder="0" vertical="center"/>
    </xf>
    <xf borderId="1" fillId="3" fontId="33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readingOrder="0" shrinkToFit="0" vertical="top" wrapText="1"/>
    </xf>
    <xf borderId="1" fillId="3" fontId="35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5">
    <dxf>
      <font>
        <color rgb="FF0000FF"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>
        <color rgb="FF0000FF"/>
      </font>
      <fill>
        <patternFill patternType="solid">
          <fgColor theme="7"/>
          <bgColor theme="7"/>
        </patternFill>
      </fill>
      <border/>
    </dxf>
  </dxfs>
  <tableStyles count="2">
    <tableStyle count="3" pivot="0" name="Prepared Spells-style">
      <tableStyleElement dxfId="2" type="headerRow"/>
      <tableStyleElement dxfId="3" type="firstRowStripe"/>
      <tableStyleElement dxfId="2" type="secondRowStripe"/>
    </tableStyle>
    <tableStyle count="3" pivot="0" name="Dupe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2:H3" displayName="Table_1" id="1">
  <tableColumns count="1">
    <tableColumn name="WIS Mod" id="1"/>
  </tableColumns>
  <tableStyleInfo name="Prepared Spells-style" showColumnStripes="0" showFirstColumn="1" showLastColumn="1" showRowStripes="1"/>
</table>
</file>

<file path=xl/tables/table2.xml><?xml version="1.0" encoding="utf-8"?>
<table xmlns="http://schemas.openxmlformats.org/spreadsheetml/2006/main" ref="H2:H3" displayName="Table_2" id="2">
  <tableColumns count="1">
    <tableColumn name="WIS Mod" id="1"/>
  </tableColumns>
  <tableStyleInfo name="Dup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removeFear.htm" TargetMode="External"/><Relationship Id="rId190" Type="http://schemas.openxmlformats.org/officeDocument/2006/relationships/hyperlink" Target="https://www.d20srd.org/srd/spells/dictum.htm" TargetMode="External"/><Relationship Id="rId42" Type="http://schemas.openxmlformats.org/officeDocument/2006/relationships/hyperlink" Target="https://www.d20srd.org/srd/spells/shieldOfFaith.htm" TargetMode="External"/><Relationship Id="rId41" Type="http://schemas.openxmlformats.org/officeDocument/2006/relationships/hyperlink" Target="https://www.d20srd.org/srd/spells/sanctuary.htm" TargetMode="External"/><Relationship Id="rId44" Type="http://schemas.openxmlformats.org/officeDocument/2006/relationships/hyperlink" Target="https://www.d20srd.org/srd/spells/aid.htm" TargetMode="External"/><Relationship Id="rId194" Type="http://schemas.openxmlformats.org/officeDocument/2006/relationships/hyperlink" Target="https://www.d20srd.org/srd/spells/refuge.htm" TargetMode="External"/><Relationship Id="rId43" Type="http://schemas.openxmlformats.org/officeDocument/2006/relationships/hyperlink" Target="https://www.d20srd.org/srd/spells/summonMonsterI.htm" TargetMode="External"/><Relationship Id="rId193" Type="http://schemas.openxmlformats.org/officeDocument/2006/relationships/hyperlink" Target="https://www.d20srd.org/srd/spells/inflictSeriousWoundsMass.htm" TargetMode="External"/><Relationship Id="rId46" Type="http://schemas.openxmlformats.org/officeDocument/2006/relationships/hyperlink" Target="https://www.d20srd.org/srd/spells/augury.htm" TargetMode="External"/><Relationship Id="rId192" Type="http://schemas.openxmlformats.org/officeDocument/2006/relationships/hyperlink" Target="https://www.d20srd.org/srd/spells/holyWord.htm" TargetMode="External"/><Relationship Id="rId45" Type="http://schemas.openxmlformats.org/officeDocument/2006/relationships/hyperlink" Target="https://www.d20srd.org/srd/spells/alignWeapon.htm" TargetMode="External"/><Relationship Id="rId191" Type="http://schemas.openxmlformats.org/officeDocument/2006/relationships/hyperlink" Target="https://www.d20srd.org/srd/spells/etherealJaunt.htm" TargetMode="External"/><Relationship Id="rId48" Type="http://schemas.openxmlformats.org/officeDocument/2006/relationships/hyperlink" Target="https://www.d20srd.org/srd/spells/bullsStrength.htm" TargetMode="External"/><Relationship Id="rId187" Type="http://schemas.openxmlformats.org/officeDocument/2006/relationships/hyperlink" Target="https://www.d20srd.org/srd/spells/controlWeather.htm" TargetMode="External"/><Relationship Id="rId47" Type="http://schemas.openxmlformats.org/officeDocument/2006/relationships/hyperlink" Target="https://www.d20srd.org/srd/spells/bearsEndurance.htm" TargetMode="External"/><Relationship Id="rId186" Type="http://schemas.openxmlformats.org/officeDocument/2006/relationships/hyperlink" Target="https://www.d20srd.org/srd/spells/blasphemy.htm" TargetMode="External"/><Relationship Id="rId185" Type="http://schemas.openxmlformats.org/officeDocument/2006/relationships/hyperlink" Target="https://www.d20srd.org/srd/spells/wordOfRecall.htm" TargetMode="External"/><Relationship Id="rId49" Type="http://schemas.openxmlformats.org/officeDocument/2006/relationships/hyperlink" Target="https://www.d20srd.org/srd/spells/calmEmotions.htm" TargetMode="External"/><Relationship Id="rId184" Type="http://schemas.openxmlformats.org/officeDocument/2006/relationships/hyperlink" Target="https://www.d20srd.org/srd/spells/windWalk.htm" TargetMode="External"/><Relationship Id="rId189" Type="http://schemas.openxmlformats.org/officeDocument/2006/relationships/hyperlink" Target="https://www.d20srd.org/srd/spells/destruction.htm" TargetMode="External"/><Relationship Id="rId188" Type="http://schemas.openxmlformats.org/officeDocument/2006/relationships/hyperlink" Target="https://www.d20srd.org/srd/spells/cureSeriousWoundsMass.htm" TargetMode="External"/><Relationship Id="rId31" Type="http://schemas.openxmlformats.org/officeDocument/2006/relationships/hyperlink" Target="https://www.d20srd.org/srd/spells/hideFromUndead.htm" TargetMode="External"/><Relationship Id="rId30" Type="http://schemas.openxmlformats.org/officeDocument/2006/relationships/hyperlink" Target="https://www.d20srd.org/srd/spells/entropicShield.htm" TargetMode="External"/><Relationship Id="rId33" Type="http://schemas.openxmlformats.org/officeDocument/2006/relationships/hyperlink" Target="https://www.d20srd.org/srd/spells/magicStone.htm" TargetMode="External"/><Relationship Id="rId183" Type="http://schemas.openxmlformats.org/officeDocument/2006/relationships/hyperlink" Target="https://www.d20srd.org/srd/spells/undeathToDeath.htm" TargetMode="External"/><Relationship Id="rId32" Type="http://schemas.openxmlformats.org/officeDocument/2006/relationships/hyperlink" Target="https://www.d20srd.org/srd/spells/inflictLightWounds.htm" TargetMode="External"/><Relationship Id="rId182" Type="http://schemas.openxmlformats.org/officeDocument/2006/relationships/hyperlink" Target="https://www.d20srd.org/srd/spells/symbolOfPersuasion.htm" TargetMode="External"/><Relationship Id="rId35" Type="http://schemas.openxmlformats.org/officeDocument/2006/relationships/hyperlink" Target="https://www.d20srd.org/srd/spells/obscuringMist.htm" TargetMode="External"/><Relationship Id="rId181" Type="http://schemas.openxmlformats.org/officeDocument/2006/relationships/hyperlink" Target="https://www.d20srd.org/srd/spells/symbolOfFear.htm" TargetMode="External"/><Relationship Id="rId34" Type="http://schemas.openxmlformats.org/officeDocument/2006/relationships/hyperlink" Target="https://www.d20srd.org/srd/spells/magicWeapon.htm" TargetMode="External"/><Relationship Id="rId180" Type="http://schemas.openxmlformats.org/officeDocument/2006/relationships/hyperlink" Target="https://www.d20srd.org/srd/spells/summonMonsterVI.htm" TargetMode="External"/><Relationship Id="rId37" Type="http://schemas.openxmlformats.org/officeDocument/2006/relationships/hyperlink" Target="https://www.d20srd.org/srd/spells/protectionFromEvil.htm" TargetMode="External"/><Relationship Id="rId176" Type="http://schemas.openxmlformats.org/officeDocument/2006/relationships/hyperlink" Target="https://www.d20srd.org/srd/spells/heroesFeast.htm" TargetMode="External"/><Relationship Id="rId36" Type="http://schemas.openxmlformats.org/officeDocument/2006/relationships/hyperlink" Target="https://www.d20srd.org/srd/spells/protectionFromChaos.htm" TargetMode="External"/><Relationship Id="rId175" Type="http://schemas.openxmlformats.org/officeDocument/2006/relationships/hyperlink" Target="https://www.d20srd.org/srd/spells/heal.htm" TargetMode="External"/><Relationship Id="rId39" Type="http://schemas.openxmlformats.org/officeDocument/2006/relationships/hyperlink" Target="https://www.d20srd.org/srd/spells/protectionFromLaw.htm" TargetMode="External"/><Relationship Id="rId174" Type="http://schemas.openxmlformats.org/officeDocument/2006/relationships/hyperlink" Target="https://www.d20srd.org/srd/spells/harm.htm" TargetMode="External"/><Relationship Id="rId38" Type="http://schemas.openxmlformats.org/officeDocument/2006/relationships/hyperlink" Target="https://www.d20srd.org/srd/spells/protectionFromGood.htm" TargetMode="External"/><Relationship Id="rId173" Type="http://schemas.openxmlformats.org/officeDocument/2006/relationships/hyperlink" Target="https://www.d20srd.org/srd/spells/glyphOfWardingGreater.htm" TargetMode="External"/><Relationship Id="rId179" Type="http://schemas.openxmlformats.org/officeDocument/2006/relationships/hyperlink" Target="https://www.d20srd.org/srd/spells/planarAlly.htm" TargetMode="External"/><Relationship Id="rId178" Type="http://schemas.openxmlformats.org/officeDocument/2006/relationships/hyperlink" Target="https://www.d20srd.org/srd/spells/owlsWisdomMass.htm" TargetMode="External"/><Relationship Id="rId177" Type="http://schemas.openxmlformats.org/officeDocument/2006/relationships/hyperlink" Target="https://www.d20srd.org/srd/spells/inflictModerateWoundsMass.htm" TargetMode="External"/><Relationship Id="rId20" Type="http://schemas.openxmlformats.org/officeDocument/2006/relationships/hyperlink" Target="https://www.d20srd.org/srd/spells/curseWater.htm" TargetMode="External"/><Relationship Id="rId22" Type="http://schemas.openxmlformats.org/officeDocument/2006/relationships/hyperlink" Target="https://www.d20srd.org/srd/spells/detectChaos.htm" TargetMode="External"/><Relationship Id="rId21" Type="http://schemas.openxmlformats.org/officeDocument/2006/relationships/hyperlink" Target="https://www.d20srd.org/srd/spells/deathwatch.htm" TargetMode="External"/><Relationship Id="rId24" Type="http://schemas.openxmlformats.org/officeDocument/2006/relationships/hyperlink" Target="https://www.d20srd.org/srd/spells/detectGood.htm" TargetMode="External"/><Relationship Id="rId23" Type="http://schemas.openxmlformats.org/officeDocument/2006/relationships/hyperlink" Target="https://www.d20srd.org/srd/spells/detectEvil.htm" TargetMode="External"/><Relationship Id="rId26" Type="http://schemas.openxmlformats.org/officeDocument/2006/relationships/hyperlink" Target="https://www.d20srd.org/srd/spells/detectUndead.htm" TargetMode="External"/><Relationship Id="rId25" Type="http://schemas.openxmlformats.org/officeDocument/2006/relationships/hyperlink" Target="https://www.d20srd.org/srd/spells/detectLaw.htm" TargetMode="External"/><Relationship Id="rId28" Type="http://schemas.openxmlformats.org/officeDocument/2006/relationships/hyperlink" Target="https://www.d20srd.org/srd/spells/doom.htm" TargetMode="External"/><Relationship Id="rId27" Type="http://schemas.openxmlformats.org/officeDocument/2006/relationships/hyperlink" Target="https://www.d20srd.org/srd/spells/divineFavor.htm" TargetMode="External"/><Relationship Id="rId29" Type="http://schemas.openxmlformats.org/officeDocument/2006/relationships/hyperlink" Target="https://www.d20srd.org/srd/spells/endureElements.htm" TargetMode="External"/><Relationship Id="rId11" Type="http://schemas.openxmlformats.org/officeDocument/2006/relationships/hyperlink" Target="https://www.d20srd.org/srd/spells/resistance.htm" TargetMode="External"/><Relationship Id="rId10" Type="http://schemas.openxmlformats.org/officeDocument/2006/relationships/hyperlink" Target="https://www.d20srd.org/srd/spells/readMagic.htm" TargetMode="External"/><Relationship Id="rId13" Type="http://schemas.openxmlformats.org/officeDocument/2006/relationships/hyperlink" Target="https://www.d20srd.org/srd/spells/bane.htm" TargetMode="External"/><Relationship Id="rId12" Type="http://schemas.openxmlformats.org/officeDocument/2006/relationships/hyperlink" Target="https://www.d20srd.org/srd/spells/virtue.htm" TargetMode="External"/><Relationship Id="rId15" Type="http://schemas.openxmlformats.org/officeDocument/2006/relationships/hyperlink" Target="https://www.d20srd.org/srd/spells/blessWater.htm" TargetMode="External"/><Relationship Id="rId198" Type="http://schemas.openxmlformats.org/officeDocument/2006/relationships/hyperlink" Target="https://www.d20srd.org/srd/spells/resurrection.htm" TargetMode="External"/><Relationship Id="rId14" Type="http://schemas.openxmlformats.org/officeDocument/2006/relationships/hyperlink" Target="https://www.d20srd.org/srd/spells/bless.htm" TargetMode="External"/><Relationship Id="rId197" Type="http://schemas.openxmlformats.org/officeDocument/2006/relationships/hyperlink" Target="https://www.d20srd.org/srd/spells/restorationGreater.htm" TargetMode="External"/><Relationship Id="rId17" Type="http://schemas.openxmlformats.org/officeDocument/2006/relationships/hyperlink" Target="https://www.d20srd.org/srd/spells/command.htm" TargetMode="External"/><Relationship Id="rId196" Type="http://schemas.openxmlformats.org/officeDocument/2006/relationships/hyperlink" Target="https://www.d20srd.org/srd/spells/repulsion.htm" TargetMode="External"/><Relationship Id="rId16" Type="http://schemas.openxmlformats.org/officeDocument/2006/relationships/hyperlink" Target="https://www.d20srd.org/srd/spells/causeFear.htm" TargetMode="External"/><Relationship Id="rId195" Type="http://schemas.openxmlformats.org/officeDocument/2006/relationships/hyperlink" Target="https://www.d20srd.org/srd/spells/regenerate.htm" TargetMode="External"/><Relationship Id="rId19" Type="http://schemas.openxmlformats.org/officeDocument/2006/relationships/hyperlink" Target="https://www.d20srd.org/srd/spells/cureLightWounds.htm" TargetMode="External"/><Relationship Id="rId18" Type="http://schemas.openxmlformats.org/officeDocument/2006/relationships/hyperlink" Target="https://www.d20srd.org/srd/spells/comprehendLanguages.htm" TargetMode="External"/><Relationship Id="rId199" Type="http://schemas.openxmlformats.org/officeDocument/2006/relationships/hyperlink" Target="https://www.d20srd.org/srd/spells/scryingGreater.htm" TargetMode="External"/><Relationship Id="rId84" Type="http://schemas.openxmlformats.org/officeDocument/2006/relationships/hyperlink" Target="https://www.d20srd.org/srd/spells/deeperDarkness.htm" TargetMode="External"/><Relationship Id="rId83" Type="http://schemas.openxmlformats.org/officeDocument/2006/relationships/hyperlink" Target="https://www.d20srd.org/srd/spells/daylight.htm" TargetMode="External"/><Relationship Id="rId86" Type="http://schemas.openxmlformats.org/officeDocument/2006/relationships/hyperlink" Target="https://www.d20srd.org/srd/spells/glyphOfWarding.htm" TargetMode="External"/><Relationship Id="rId85" Type="http://schemas.openxmlformats.org/officeDocument/2006/relationships/hyperlink" Target="https://www.d20srd.org/srd/spells/dispelMagic.htm" TargetMode="External"/><Relationship Id="rId88" Type="http://schemas.openxmlformats.org/officeDocument/2006/relationships/hyperlink" Target="https://www.d20srd.org/srd/spells/inflictSeriousWounds.htm" TargetMode="External"/><Relationship Id="rId150" Type="http://schemas.openxmlformats.org/officeDocument/2006/relationships/hyperlink" Target="https://www.d20srd.org/srd/spells/righteousMight.htm" TargetMode="External"/><Relationship Id="rId87" Type="http://schemas.openxmlformats.org/officeDocument/2006/relationships/hyperlink" Target="https://www.d20srd.org/srd/spells/helpingHand.htm" TargetMode="External"/><Relationship Id="rId89" Type="http://schemas.openxmlformats.org/officeDocument/2006/relationships/hyperlink" Target="https://www.d20srd.org/srd/spells/invisibilityPurge.htm" TargetMode="External"/><Relationship Id="rId80" Type="http://schemas.openxmlformats.org/officeDocument/2006/relationships/hyperlink" Target="https://www.d20srd.org/srd/spells/continualFlame.htm" TargetMode="External"/><Relationship Id="rId82" Type="http://schemas.openxmlformats.org/officeDocument/2006/relationships/hyperlink" Target="https://www.d20srd.org/srd/spells/cureSeriousWounds.htm" TargetMode="External"/><Relationship Id="rId81" Type="http://schemas.openxmlformats.org/officeDocument/2006/relationships/hyperlink" Target="https://www.d20srd.org/srd/spells/createFoodAndWater.htm" TargetMode="External"/><Relationship Id="rId1" Type="http://schemas.openxmlformats.org/officeDocument/2006/relationships/hyperlink" Target="https://www.d20srd.org/srd/spells/createWater.htm" TargetMode="External"/><Relationship Id="rId2" Type="http://schemas.openxmlformats.org/officeDocument/2006/relationships/hyperlink" Target="https://www.d20srd.org/srd/spells/cureMinorWounds.htm" TargetMode="External"/><Relationship Id="rId3" Type="http://schemas.openxmlformats.org/officeDocument/2006/relationships/hyperlink" Target="https://www.d20srd.org/srd/spells/detectMagic.htm" TargetMode="External"/><Relationship Id="rId149" Type="http://schemas.openxmlformats.org/officeDocument/2006/relationships/hyperlink" Target="https://www.d20srd.org/srd/spells/raiseDead.htm" TargetMode="External"/><Relationship Id="rId4" Type="http://schemas.openxmlformats.org/officeDocument/2006/relationships/hyperlink" Target="https://www.d20srd.org/srd/spells/detectPoison.htm" TargetMode="External"/><Relationship Id="rId148" Type="http://schemas.openxmlformats.org/officeDocument/2006/relationships/hyperlink" Target="https://www.d20srd.org/srd/spells/planeShift.htm" TargetMode="External"/><Relationship Id="rId9" Type="http://schemas.openxmlformats.org/officeDocument/2006/relationships/hyperlink" Target="https://www.d20srd.org/srd/spells/purifyFoodAndDrink.htm" TargetMode="External"/><Relationship Id="rId143" Type="http://schemas.openxmlformats.org/officeDocument/2006/relationships/hyperlink" Target="https://www.d20srd.org/srd/spells/flameStrike.htm" TargetMode="External"/><Relationship Id="rId142" Type="http://schemas.openxmlformats.org/officeDocument/2006/relationships/hyperlink" Target="https://www.d20srd.org/srd/spells/disruptingWeapon.htm" TargetMode="External"/><Relationship Id="rId141" Type="http://schemas.openxmlformats.org/officeDocument/2006/relationships/hyperlink" Target="https://www.d20srd.org/srd/spells/dispelLaw.htm" TargetMode="External"/><Relationship Id="rId140" Type="http://schemas.openxmlformats.org/officeDocument/2006/relationships/hyperlink" Target="https://www.d20srd.org/srd/spells/dispelGood.htm" TargetMode="External"/><Relationship Id="rId5" Type="http://schemas.openxmlformats.org/officeDocument/2006/relationships/hyperlink" Target="https://www.d20srd.org/srd/spells/guidance.htm" TargetMode="External"/><Relationship Id="rId147" Type="http://schemas.openxmlformats.org/officeDocument/2006/relationships/hyperlink" Target="https://www.d20srd.org/srd/spells/markOfJustice.htm" TargetMode="External"/><Relationship Id="rId6" Type="http://schemas.openxmlformats.org/officeDocument/2006/relationships/hyperlink" Target="https://www.d20srd.org/srd/spells/inflictMinorWounds.htm" TargetMode="External"/><Relationship Id="rId146" Type="http://schemas.openxmlformats.org/officeDocument/2006/relationships/hyperlink" Target="https://www.d20srd.org/srd/spells/insectPlague.htm" TargetMode="External"/><Relationship Id="rId7" Type="http://schemas.openxmlformats.org/officeDocument/2006/relationships/hyperlink" Target="https://www.d20srd.org/srd/spells/light.htm" TargetMode="External"/><Relationship Id="rId145" Type="http://schemas.openxmlformats.org/officeDocument/2006/relationships/hyperlink" Target="https://www.d20srd.org/srd/spells/inflictLightWoundsMass.htm" TargetMode="External"/><Relationship Id="rId8" Type="http://schemas.openxmlformats.org/officeDocument/2006/relationships/hyperlink" Target="https://www.d20srd.org/srd/spells/mending.htm" TargetMode="External"/><Relationship Id="rId144" Type="http://schemas.openxmlformats.org/officeDocument/2006/relationships/hyperlink" Target="https://www.d20srd.org/srd/spells/hallow.htm" TargetMode="External"/><Relationship Id="rId73" Type="http://schemas.openxmlformats.org/officeDocument/2006/relationships/hyperlink" Target="https://www.d20srd.org/srd/spells/summonMonsterII.htm" TargetMode="External"/><Relationship Id="rId72" Type="http://schemas.openxmlformats.org/officeDocument/2006/relationships/hyperlink" Target="https://www.d20srd.org/srd/spells/status.htm" TargetMode="External"/><Relationship Id="rId75" Type="http://schemas.openxmlformats.org/officeDocument/2006/relationships/hyperlink" Target="https://www.d20srd.org/srd/spells/zoneOfTruth.htm" TargetMode="External"/><Relationship Id="rId74" Type="http://schemas.openxmlformats.org/officeDocument/2006/relationships/hyperlink" Target="https://www.d20srd.org/srd/spells/undetectableAlignment.htm" TargetMode="External"/><Relationship Id="rId77" Type="http://schemas.openxmlformats.org/officeDocument/2006/relationships/hyperlink" Target="https://www.d20srd.org/srd/spells/bestowCurse.htm" TargetMode="External"/><Relationship Id="rId76" Type="http://schemas.openxmlformats.org/officeDocument/2006/relationships/hyperlink" Target="https://www.d20srd.org/srd/spells/animateDead.htm" TargetMode="External"/><Relationship Id="rId79" Type="http://schemas.openxmlformats.org/officeDocument/2006/relationships/hyperlink" Target="https://www.d20srd.org/srd/spells/contagion.htm" TargetMode="External"/><Relationship Id="rId78" Type="http://schemas.openxmlformats.org/officeDocument/2006/relationships/hyperlink" Target="https://www.d20srd.org/srd/spells/blindnessDeafness.htm" TargetMode="External"/><Relationship Id="rId71" Type="http://schemas.openxmlformats.org/officeDocument/2006/relationships/hyperlink" Target="https://www.d20srd.org/srd/spells/spiritualWeapon.htm" TargetMode="External"/><Relationship Id="rId70" Type="http://schemas.openxmlformats.org/officeDocument/2006/relationships/hyperlink" Target="https://www.d20srd.org/srd/spells/soundBurst.htm" TargetMode="External"/><Relationship Id="rId139" Type="http://schemas.openxmlformats.org/officeDocument/2006/relationships/hyperlink" Target="https://www.d20srd.org/srd/spells/dispelEvil.htm" TargetMode="External"/><Relationship Id="rId138" Type="http://schemas.openxmlformats.org/officeDocument/2006/relationships/hyperlink" Target="https://www.d20srd.org/srd/spells/dispelChaos.htm" TargetMode="External"/><Relationship Id="rId137" Type="http://schemas.openxmlformats.org/officeDocument/2006/relationships/hyperlink" Target="https://www.d20srd.org/srd/spells/cureLightWoundsMass.htm" TargetMode="External"/><Relationship Id="rId132" Type="http://schemas.openxmlformats.org/officeDocument/2006/relationships/hyperlink" Target="https://www.d20srd.org/srd/spells/tongues.htm" TargetMode="External"/><Relationship Id="rId131" Type="http://schemas.openxmlformats.org/officeDocument/2006/relationships/hyperlink" Target="https://www.d20srd.org/srd/spells/summonMonsterIV.htm" TargetMode="External"/><Relationship Id="rId130" Type="http://schemas.openxmlformats.org/officeDocument/2006/relationships/hyperlink" Target="https://www.d20srd.org/srd/spells/spellImmunity.htm" TargetMode="External"/><Relationship Id="rId136" Type="http://schemas.openxmlformats.org/officeDocument/2006/relationships/hyperlink" Target="https://www.d20srd.org/srd/spells/commune.htm" TargetMode="External"/><Relationship Id="rId135" Type="http://schemas.openxmlformats.org/officeDocument/2006/relationships/hyperlink" Target="https://www.d20srd.org/srd/spells/commandGreater.htm" TargetMode="External"/><Relationship Id="rId134" Type="http://schemas.openxmlformats.org/officeDocument/2006/relationships/hyperlink" Target="https://www.d20srd.org/srd/spells/breakEnchantment.htm" TargetMode="External"/><Relationship Id="rId133" Type="http://schemas.openxmlformats.org/officeDocument/2006/relationships/hyperlink" Target="https://www.d20srd.org/srd/spells/atonement.htm" TargetMode="External"/><Relationship Id="rId62" Type="http://schemas.openxmlformats.org/officeDocument/2006/relationships/hyperlink" Target="https://www.d20srd.org/srd/spells/makeWhole.htm" TargetMode="External"/><Relationship Id="rId61" Type="http://schemas.openxmlformats.org/officeDocument/2006/relationships/hyperlink" Target="https://www.d20srd.org/srd/spells/inflictModerateWounds.htm" TargetMode="External"/><Relationship Id="rId64" Type="http://schemas.openxmlformats.org/officeDocument/2006/relationships/hyperlink" Target="https://www.d20srd.org/srd/spells/removeParalysis.htm" TargetMode="External"/><Relationship Id="rId63" Type="http://schemas.openxmlformats.org/officeDocument/2006/relationships/hyperlink" Target="https://www.d20srd.org/srd/spells/owlsWisdom.htm" TargetMode="External"/><Relationship Id="rId66" Type="http://schemas.openxmlformats.org/officeDocument/2006/relationships/hyperlink" Target="https://www.d20srd.org/srd/spells/restorationLesser.htm" TargetMode="External"/><Relationship Id="rId172" Type="http://schemas.openxmlformats.org/officeDocument/2006/relationships/hyperlink" Target="https://www.d20srd.org/srd/spells/geasQuest.htm" TargetMode="External"/><Relationship Id="rId65" Type="http://schemas.openxmlformats.org/officeDocument/2006/relationships/hyperlink" Target="https://www.d20srd.org/srd/spells/resistEnergy.htm" TargetMode="External"/><Relationship Id="rId171" Type="http://schemas.openxmlformats.org/officeDocument/2006/relationships/hyperlink" Target="https://www.d20srd.org/srd/spells/forbiddance.htm" TargetMode="External"/><Relationship Id="rId68" Type="http://schemas.openxmlformats.org/officeDocument/2006/relationships/hyperlink" Target="https://www.d20srd.org/srd/spells/shieldOther.htm" TargetMode="External"/><Relationship Id="rId170" Type="http://schemas.openxmlformats.org/officeDocument/2006/relationships/hyperlink" Target="https://www.d20srd.org/srd/spells/findThePath.htm" TargetMode="External"/><Relationship Id="rId67" Type="http://schemas.openxmlformats.org/officeDocument/2006/relationships/hyperlink" Target="https://www.d20srd.org/srd/spells/shatter.htm" TargetMode="External"/><Relationship Id="rId60" Type="http://schemas.openxmlformats.org/officeDocument/2006/relationships/hyperlink" Target="https://www.d20srd.org/srd/spells/holdPerson.htm" TargetMode="External"/><Relationship Id="rId165" Type="http://schemas.openxmlformats.org/officeDocument/2006/relationships/hyperlink" Target="https://www.d20srd.org/srd/spells/bullsStrengthMass.htm" TargetMode="External"/><Relationship Id="rId69" Type="http://schemas.openxmlformats.org/officeDocument/2006/relationships/hyperlink" Target="https://www.d20srd.org/srd/spells/silence.htm" TargetMode="External"/><Relationship Id="rId164" Type="http://schemas.openxmlformats.org/officeDocument/2006/relationships/hyperlink" Target="https://www.d20srd.org/srd/spells/bladeBarrier.htm" TargetMode="External"/><Relationship Id="rId163" Type="http://schemas.openxmlformats.org/officeDocument/2006/relationships/hyperlink" Target="https://www.d20srd.org/srd/spells/bearsEnduranceMass.htm" TargetMode="External"/><Relationship Id="rId162" Type="http://schemas.openxmlformats.org/officeDocument/2006/relationships/hyperlink" Target="https://www.d20srd.org/srd/spells/banishment.htm" TargetMode="External"/><Relationship Id="rId169" Type="http://schemas.openxmlformats.org/officeDocument/2006/relationships/hyperlink" Target="https://www.d20srd.org/srd/spells/eaglesSplendorMass.htm" TargetMode="External"/><Relationship Id="rId168" Type="http://schemas.openxmlformats.org/officeDocument/2006/relationships/hyperlink" Target="https://www.d20srd.org/srd/spells/dispelMagicGreater.htm" TargetMode="External"/><Relationship Id="rId167" Type="http://schemas.openxmlformats.org/officeDocument/2006/relationships/hyperlink" Target="https://www.d20srd.org/srd/spells/cureModerateWoundsMass.htm" TargetMode="External"/><Relationship Id="rId166" Type="http://schemas.openxmlformats.org/officeDocument/2006/relationships/hyperlink" Target="https://www.d20srd.org/srd/spells/createUndead.htm" TargetMode="External"/><Relationship Id="rId51" Type="http://schemas.openxmlformats.org/officeDocument/2006/relationships/hyperlink" Target="https://www.d20srd.org/srd/spells/cureModerateWounds.htm" TargetMode="External"/><Relationship Id="rId50" Type="http://schemas.openxmlformats.org/officeDocument/2006/relationships/hyperlink" Target="https://www.d20srd.org/srd/spells/consecrate.htm" TargetMode="External"/><Relationship Id="rId53" Type="http://schemas.openxmlformats.org/officeDocument/2006/relationships/hyperlink" Target="https://www.d20srd.org/srd/spells/deathKnell.htm" TargetMode="External"/><Relationship Id="rId52" Type="http://schemas.openxmlformats.org/officeDocument/2006/relationships/hyperlink" Target="https://www.d20srd.org/srd/spells/darkness.htm" TargetMode="External"/><Relationship Id="rId55" Type="http://schemas.openxmlformats.org/officeDocument/2006/relationships/hyperlink" Target="https://www.d20srd.org/srd/spells/desecrate.htm" TargetMode="External"/><Relationship Id="rId161" Type="http://schemas.openxmlformats.org/officeDocument/2006/relationships/hyperlink" Target="https://www.d20srd.org/srd/spells/antilifeShell.htm" TargetMode="External"/><Relationship Id="rId54" Type="http://schemas.openxmlformats.org/officeDocument/2006/relationships/hyperlink" Target="https://www.d20srd.org/srd/spells/delayPoison.htm" TargetMode="External"/><Relationship Id="rId160" Type="http://schemas.openxmlformats.org/officeDocument/2006/relationships/hyperlink" Target="https://www.d20srd.org/srd/spells/animateObjects.htm" TargetMode="External"/><Relationship Id="rId57" Type="http://schemas.openxmlformats.org/officeDocument/2006/relationships/hyperlink" Target="https://www.d20srd.org/srd/spells/enthrall.htm" TargetMode="External"/><Relationship Id="rId56" Type="http://schemas.openxmlformats.org/officeDocument/2006/relationships/hyperlink" Target="https://www.d20srd.org/srd/spells/eaglesSplendor.htm" TargetMode="External"/><Relationship Id="rId159" Type="http://schemas.openxmlformats.org/officeDocument/2006/relationships/hyperlink" Target="https://www.d20srd.org/srd/spells/wallOfStone.htm" TargetMode="External"/><Relationship Id="rId59" Type="http://schemas.openxmlformats.org/officeDocument/2006/relationships/hyperlink" Target="https://www.d20srd.org/srd/spells/gentleRepose.htm" TargetMode="External"/><Relationship Id="rId154" Type="http://schemas.openxmlformats.org/officeDocument/2006/relationships/hyperlink" Target="https://www.d20srd.org/srd/spells/summonMonsterV.htm" TargetMode="External"/><Relationship Id="rId58" Type="http://schemas.openxmlformats.org/officeDocument/2006/relationships/hyperlink" Target="https://www.d20srd.org/srd/spells/findTraps.htm" TargetMode="External"/><Relationship Id="rId153" Type="http://schemas.openxmlformats.org/officeDocument/2006/relationships/hyperlink" Target="https://www.d20srd.org/srd/spells/spellResistance.htm" TargetMode="External"/><Relationship Id="rId152" Type="http://schemas.openxmlformats.org/officeDocument/2006/relationships/hyperlink" Target="https://www.d20srd.org/srd/spells/slayLiving.htm" TargetMode="External"/><Relationship Id="rId151" Type="http://schemas.openxmlformats.org/officeDocument/2006/relationships/hyperlink" Target="https://www.d20srd.org/srd/spells/scrying.htm" TargetMode="External"/><Relationship Id="rId158" Type="http://schemas.openxmlformats.org/officeDocument/2006/relationships/hyperlink" Target="https://www.d20srd.org/srd/spells/unhallow.htm" TargetMode="External"/><Relationship Id="rId157" Type="http://schemas.openxmlformats.org/officeDocument/2006/relationships/hyperlink" Target="https://www.d20srd.org/srd/spells/trueSeeing.htm" TargetMode="External"/><Relationship Id="rId156" Type="http://schemas.openxmlformats.org/officeDocument/2006/relationships/hyperlink" Target="https://www.d20srd.org/srd/spells/symbolOfSleep.htm" TargetMode="External"/><Relationship Id="rId155" Type="http://schemas.openxmlformats.org/officeDocument/2006/relationships/hyperlink" Target="https://www.d20srd.org/srd/spells/symbolOfPain.htm" TargetMode="External"/><Relationship Id="rId107" Type="http://schemas.openxmlformats.org/officeDocument/2006/relationships/hyperlink" Target="https://www.d20srd.org/srd/spells/waterBreathing.htm" TargetMode="External"/><Relationship Id="rId228" Type="http://schemas.openxmlformats.org/officeDocument/2006/relationships/hyperlink" Target="https://www.d20srd.org/srd/spells/soulBind.htm" TargetMode="External"/><Relationship Id="rId106" Type="http://schemas.openxmlformats.org/officeDocument/2006/relationships/hyperlink" Target="https://www.d20srd.org/srd/spells/summonMonsterIII.htm" TargetMode="External"/><Relationship Id="rId227" Type="http://schemas.openxmlformats.org/officeDocument/2006/relationships/hyperlink" Target="https://www.d20srd.org/srd/spells/miracle.htm" TargetMode="External"/><Relationship Id="rId105" Type="http://schemas.openxmlformats.org/officeDocument/2006/relationships/hyperlink" Target="https://www.d20srd.org/srd/spells/stoneShape.htm" TargetMode="External"/><Relationship Id="rId226" Type="http://schemas.openxmlformats.org/officeDocument/2006/relationships/hyperlink" Target="https://www.d20srd.org/srd/spells/implosion.htm" TargetMode="External"/><Relationship Id="rId104" Type="http://schemas.openxmlformats.org/officeDocument/2006/relationships/hyperlink" Target="https://www.d20srd.org/srd/spells/speakWithDead.htm" TargetMode="External"/><Relationship Id="rId225" Type="http://schemas.openxmlformats.org/officeDocument/2006/relationships/hyperlink" Target="https://www.d20srd.org/srd/spells/healMass.htm" TargetMode="External"/><Relationship Id="rId109" Type="http://schemas.openxmlformats.org/officeDocument/2006/relationships/hyperlink" Target="https://www.d20srd.org/srd/spells/windWall.htm" TargetMode="External"/><Relationship Id="rId108" Type="http://schemas.openxmlformats.org/officeDocument/2006/relationships/hyperlink" Target="https://www.d20srd.org/srd/spells/waterWalk.htm" TargetMode="External"/><Relationship Id="rId229" Type="http://schemas.openxmlformats.org/officeDocument/2006/relationships/hyperlink" Target="https://www.d20srd.org/srd/spells/stormOfVengeance.htm" TargetMode="External"/><Relationship Id="rId220" Type="http://schemas.openxmlformats.org/officeDocument/2006/relationships/hyperlink" Target="https://www.d20srd.org/srd/spells/unholyAura.htm" TargetMode="External"/><Relationship Id="rId103" Type="http://schemas.openxmlformats.org/officeDocument/2006/relationships/hyperlink" Target="https://www.d20srd.org/srd/spells/searingLight.htm" TargetMode="External"/><Relationship Id="rId224" Type="http://schemas.openxmlformats.org/officeDocument/2006/relationships/hyperlink" Target="https://www.d20srd.org/srd/spells/gate.htm" TargetMode="External"/><Relationship Id="rId102" Type="http://schemas.openxmlformats.org/officeDocument/2006/relationships/hyperlink" Target="https://www.d20srd.org/srd/spells/removeDisease.htm" TargetMode="External"/><Relationship Id="rId223" Type="http://schemas.openxmlformats.org/officeDocument/2006/relationships/hyperlink" Target="https://www.d20srd.org/srd/spells/etherealness.htm" TargetMode="External"/><Relationship Id="rId101" Type="http://schemas.openxmlformats.org/officeDocument/2006/relationships/hyperlink" Target="https://www.d20srd.org/srd/spells/removeCurse.htm" TargetMode="External"/><Relationship Id="rId222" Type="http://schemas.openxmlformats.org/officeDocument/2006/relationships/hyperlink" Target="https://www.d20srd.org/srd/spells/energyDrain.htm" TargetMode="External"/><Relationship Id="rId100" Type="http://schemas.openxmlformats.org/officeDocument/2006/relationships/hyperlink" Target="https://www.d20srd.org/srd/spells/removeBlindnessDeafness.htm" TargetMode="External"/><Relationship Id="rId221" Type="http://schemas.openxmlformats.org/officeDocument/2006/relationships/hyperlink" Target="https://www.d20srd.org/srd/spells/astralProjection.htm" TargetMode="External"/><Relationship Id="rId217" Type="http://schemas.openxmlformats.org/officeDocument/2006/relationships/hyperlink" Target="https://www.d20srd.org/srd/spells/summonMonsterVIII.htm" TargetMode="External"/><Relationship Id="rId216" Type="http://schemas.openxmlformats.org/officeDocument/2006/relationships/hyperlink" Target="https://www.d20srd.org/srd/spells/spellImmunityGreater.htm" TargetMode="External"/><Relationship Id="rId215" Type="http://schemas.openxmlformats.org/officeDocument/2006/relationships/hyperlink" Target="https://www.d20srd.org/srd/spells/shieldOfLaw.htm" TargetMode="External"/><Relationship Id="rId214" Type="http://schemas.openxmlformats.org/officeDocument/2006/relationships/hyperlink" Target="https://www.d20srd.org/srd/spells/planarAllyGreater.htm" TargetMode="External"/><Relationship Id="rId219" Type="http://schemas.openxmlformats.org/officeDocument/2006/relationships/hyperlink" Target="https://www.d20srd.org/srd/spells/symbolOfInsanity.htm" TargetMode="External"/><Relationship Id="rId218" Type="http://schemas.openxmlformats.org/officeDocument/2006/relationships/hyperlink" Target="https://www.d20srd.org/srd/spells/symbolOfDeath.htm" TargetMode="External"/><Relationship Id="rId213" Type="http://schemas.openxmlformats.org/officeDocument/2006/relationships/hyperlink" Target="https://www.d20srd.org/srd/spells/inflictCriticalWoundsMass.htm" TargetMode="External"/><Relationship Id="rId212" Type="http://schemas.openxmlformats.org/officeDocument/2006/relationships/hyperlink" Target="https://www.d20srd.org/srd/spells/holyAura.htm" TargetMode="External"/><Relationship Id="rId211" Type="http://schemas.openxmlformats.org/officeDocument/2006/relationships/hyperlink" Target="https://www.d20srd.org/srd/spells/fireStorm.htm" TargetMode="External"/><Relationship Id="rId210" Type="http://schemas.openxmlformats.org/officeDocument/2006/relationships/hyperlink" Target="https://www.d20srd.org/srd/spells/earthquake.htm" TargetMode="External"/><Relationship Id="rId129" Type="http://schemas.openxmlformats.org/officeDocument/2006/relationships/hyperlink" Target="https://www.d20srd.org/srd/spells/sending.htm" TargetMode="External"/><Relationship Id="rId128" Type="http://schemas.openxmlformats.org/officeDocument/2006/relationships/hyperlink" Target="https://www.d20srd.org/srd/spells/restoration.htm" TargetMode="External"/><Relationship Id="rId127" Type="http://schemas.openxmlformats.org/officeDocument/2006/relationships/hyperlink" Target="https://www.d20srd.org/srd/spells/repelVermin.htm" TargetMode="External"/><Relationship Id="rId126" Type="http://schemas.openxmlformats.org/officeDocument/2006/relationships/hyperlink" Target="https://www.d20srd.org/srd/spells/poison.htm" TargetMode="External"/><Relationship Id="rId121" Type="http://schemas.openxmlformats.org/officeDocument/2006/relationships/hyperlink" Target="https://www.d20srd.org/srd/spells/imbueWithSpellAbility.htm" TargetMode="External"/><Relationship Id="rId120" Type="http://schemas.openxmlformats.org/officeDocument/2006/relationships/hyperlink" Target="https://www.d20srd.org/srd/spells/giantVermin.htm" TargetMode="External"/><Relationship Id="rId125" Type="http://schemas.openxmlformats.org/officeDocument/2006/relationships/hyperlink" Target="https://www.d20srd.org/srd/spells/planarAllyLesser.htm" TargetMode="External"/><Relationship Id="rId124" Type="http://schemas.openxmlformats.org/officeDocument/2006/relationships/hyperlink" Target="https://www.d20srd.org/srd/spells/neutralizePoison.htm" TargetMode="External"/><Relationship Id="rId123" Type="http://schemas.openxmlformats.org/officeDocument/2006/relationships/hyperlink" Target="https://www.d20srd.org/srd/spells/magicWeaponGreater.htm" TargetMode="External"/><Relationship Id="rId122" Type="http://schemas.openxmlformats.org/officeDocument/2006/relationships/hyperlink" Target="https://www.d20srd.org/srd/spells/inflictCriticalWounds.htm" TargetMode="External"/><Relationship Id="rId95" Type="http://schemas.openxmlformats.org/officeDocument/2006/relationships/hyperlink" Target="https://www.d20srd.org/srd/spells/magicVestment.htm" TargetMode="External"/><Relationship Id="rId94" Type="http://schemas.openxmlformats.org/officeDocument/2006/relationships/hyperlink" Target="https://www.d20srd.org/srd/spells/magicCircleAgainstLaw.htm" TargetMode="External"/><Relationship Id="rId97" Type="http://schemas.openxmlformats.org/officeDocument/2006/relationships/hyperlink" Target="https://www.d20srd.org/srd/spells/obscureObject.htm" TargetMode="External"/><Relationship Id="rId96" Type="http://schemas.openxmlformats.org/officeDocument/2006/relationships/hyperlink" Target="https://www.d20srd.org/srd/spells/meldIntoStone.htm" TargetMode="External"/><Relationship Id="rId99" Type="http://schemas.openxmlformats.org/officeDocument/2006/relationships/hyperlink" Target="https://www.d20srd.org/srd/spells/protectionFromEnergy.htm" TargetMode="External"/><Relationship Id="rId98" Type="http://schemas.openxmlformats.org/officeDocument/2006/relationships/hyperlink" Target="https://www.d20srd.org/srd/spells/prayer.htm" TargetMode="External"/><Relationship Id="rId91" Type="http://schemas.openxmlformats.org/officeDocument/2006/relationships/hyperlink" Target="https://www.d20srd.org/srd/spells/magicCircleAgainstChaos.htm" TargetMode="External"/><Relationship Id="rId90" Type="http://schemas.openxmlformats.org/officeDocument/2006/relationships/hyperlink" Target="https://www.d20srd.org/srd/spells/locateObject.htm" TargetMode="External"/><Relationship Id="rId93" Type="http://schemas.openxmlformats.org/officeDocument/2006/relationships/hyperlink" Target="https://www.d20srd.org/srd/spells/magicCircleAgainstGood.htm" TargetMode="External"/><Relationship Id="rId92" Type="http://schemas.openxmlformats.org/officeDocument/2006/relationships/hyperlink" Target="https://www.d20srd.org/srd/spells/magicCircleAgainstEvil.htm" TargetMode="External"/><Relationship Id="rId118" Type="http://schemas.openxmlformats.org/officeDocument/2006/relationships/hyperlink" Target="https://www.d20srd.org/srd/spells/divinePower.htm" TargetMode="External"/><Relationship Id="rId117" Type="http://schemas.openxmlformats.org/officeDocument/2006/relationships/hyperlink" Target="https://www.d20srd.org/srd/spells/divination.htm" TargetMode="External"/><Relationship Id="rId116" Type="http://schemas.openxmlformats.org/officeDocument/2006/relationships/hyperlink" Target="https://www.d20srd.org/srd/spells/dismissal.htm" TargetMode="External"/><Relationship Id="rId115" Type="http://schemas.openxmlformats.org/officeDocument/2006/relationships/hyperlink" Target="https://www.d20srd.org/srd/spells/discernLies.htm" TargetMode="External"/><Relationship Id="rId119" Type="http://schemas.openxmlformats.org/officeDocument/2006/relationships/hyperlink" Target="https://www.d20srd.org/srd/spells/freedomOfMovement.htm" TargetMode="External"/><Relationship Id="rId110" Type="http://schemas.openxmlformats.org/officeDocument/2006/relationships/hyperlink" Target="https://www.d20srd.org/srd/spells/airWalk.htm" TargetMode="External"/><Relationship Id="rId231" Type="http://schemas.openxmlformats.org/officeDocument/2006/relationships/hyperlink" Target="https://www.d20srd.org/srd/spells/trueResurrection.htm" TargetMode="External"/><Relationship Id="rId230" Type="http://schemas.openxmlformats.org/officeDocument/2006/relationships/hyperlink" Target="https://www.d20srd.org/srd/spells/summonMonsterIX.htm" TargetMode="External"/><Relationship Id="rId114" Type="http://schemas.openxmlformats.org/officeDocument/2006/relationships/hyperlink" Target="https://www.d20srd.org/srd/spells/dimensionalAnchor.htm" TargetMode="External"/><Relationship Id="rId113" Type="http://schemas.openxmlformats.org/officeDocument/2006/relationships/hyperlink" Target="https://www.d20srd.org/srd/spells/deathWard.htm" TargetMode="External"/><Relationship Id="rId112" Type="http://schemas.openxmlformats.org/officeDocument/2006/relationships/hyperlink" Target="https://www.d20srd.org/srd/spells/cureCriticalWounds.htm" TargetMode="External"/><Relationship Id="rId111" Type="http://schemas.openxmlformats.org/officeDocument/2006/relationships/hyperlink" Target="https://www.d20srd.org/srd/spells/controlWater.htm" TargetMode="External"/><Relationship Id="rId232" Type="http://schemas.openxmlformats.org/officeDocument/2006/relationships/drawing" Target="../drawings/drawing4.xml"/><Relationship Id="rId206" Type="http://schemas.openxmlformats.org/officeDocument/2006/relationships/hyperlink" Target="https://www.d20srd.org/srd/spells/createGreaterUndead.htm" TargetMode="External"/><Relationship Id="rId205" Type="http://schemas.openxmlformats.org/officeDocument/2006/relationships/hyperlink" Target="https://www.d20srd.org/srd/spells/cloakOfChaos.htm" TargetMode="External"/><Relationship Id="rId204" Type="http://schemas.openxmlformats.org/officeDocument/2006/relationships/hyperlink" Target="https://www.d20srd.org/srd/spells/antimagicField.htm" TargetMode="External"/><Relationship Id="rId203" Type="http://schemas.openxmlformats.org/officeDocument/2006/relationships/hyperlink" Target="https://www.d20srd.org/srd/spells/wordOfChaos.htm" TargetMode="External"/><Relationship Id="rId209" Type="http://schemas.openxmlformats.org/officeDocument/2006/relationships/hyperlink" Target="https://www.d20srd.org/srd/spells/discernLocation.htm" TargetMode="External"/><Relationship Id="rId208" Type="http://schemas.openxmlformats.org/officeDocument/2006/relationships/hyperlink" Target="https://www.d20srd.org/srd/spells/dimensionalLock.htm" TargetMode="External"/><Relationship Id="rId207" Type="http://schemas.openxmlformats.org/officeDocument/2006/relationships/hyperlink" Target="https://www.d20srd.org/srd/spells/cureCriticalWoundsMass.htm" TargetMode="External"/><Relationship Id="rId202" Type="http://schemas.openxmlformats.org/officeDocument/2006/relationships/hyperlink" Target="https://www.d20srd.org/srd/spells/symbolOfWeakness.htm" TargetMode="External"/><Relationship Id="rId201" Type="http://schemas.openxmlformats.org/officeDocument/2006/relationships/hyperlink" Target="https://www.d20srd.org/srd/spells/symbolOfStunning.htm" TargetMode="External"/><Relationship Id="rId200" Type="http://schemas.openxmlformats.org/officeDocument/2006/relationships/hyperlink" Target="https://www.d20srd.org/srd/spells/summonMonsterVII.ht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20srd.org/srd/spells/inflictCriticalWounds.htm" TargetMode="External"/><Relationship Id="rId190" Type="http://schemas.openxmlformats.org/officeDocument/2006/relationships/hyperlink" Target="https://www.d20srd.org/srd/spells/obscuringMist.htm" TargetMode="External"/><Relationship Id="rId42" Type="http://schemas.openxmlformats.org/officeDocument/2006/relationships/hyperlink" Target="https://www.d20srd.org/srd/spells/harm.htm" TargetMode="External"/><Relationship Id="rId41" Type="http://schemas.openxmlformats.org/officeDocument/2006/relationships/hyperlink" Target="https://www.d20srd.org/srd/spells/inflictLightWoundsMass.htm" TargetMode="External"/><Relationship Id="rId44" Type="http://schemas.openxmlformats.org/officeDocument/2006/relationships/hyperlink" Target="https://www.d20srd.org/srd/spells/earthquake.htm" TargetMode="External"/><Relationship Id="rId194" Type="http://schemas.openxmlformats.org/officeDocument/2006/relationships/hyperlink" Target="https://www.d20srd.org/srd/spells/iceStorm.htm" TargetMode="External"/><Relationship Id="rId43" Type="http://schemas.openxmlformats.org/officeDocument/2006/relationships/hyperlink" Target="https://www.d20srd.org/srd/spells/disintegrate.htm" TargetMode="External"/><Relationship Id="rId193" Type="http://schemas.openxmlformats.org/officeDocument/2006/relationships/hyperlink" Target="https://www.d20srd.org/srd/spells/controlWater.htm" TargetMode="External"/><Relationship Id="rId46" Type="http://schemas.openxmlformats.org/officeDocument/2006/relationships/hyperlink" Target="https://www.d20srd.org/srd/spells/magicStone.htm" TargetMode="External"/><Relationship Id="rId192" Type="http://schemas.openxmlformats.org/officeDocument/2006/relationships/hyperlink" Target="https://www.d20srd.org/srd/spells/waterBreathing.htm" TargetMode="External"/><Relationship Id="rId45" Type="http://schemas.openxmlformats.org/officeDocument/2006/relationships/hyperlink" Target="https://www.d20srd.org/srd/spells/implosion.htm" TargetMode="External"/><Relationship Id="rId191" Type="http://schemas.openxmlformats.org/officeDocument/2006/relationships/hyperlink" Target="https://www.d20srd.org/srd/spells/fogCloud.htm" TargetMode="External"/><Relationship Id="rId48" Type="http://schemas.openxmlformats.org/officeDocument/2006/relationships/hyperlink" Target="https://www.d20srd.org/srd/spells/stoneShape.htm" TargetMode="External"/><Relationship Id="rId187" Type="http://schemas.openxmlformats.org/officeDocument/2006/relationships/hyperlink" Target="https://www.d20srd.org/srd/spells/powerWordBlind.htm" TargetMode="External"/><Relationship Id="rId47" Type="http://schemas.openxmlformats.org/officeDocument/2006/relationships/hyperlink" Target="https://www.d20srd.org/srd/spells/softenEarthAndStone.htm" TargetMode="External"/><Relationship Id="rId186" Type="http://schemas.openxmlformats.org/officeDocument/2006/relationships/hyperlink" Target="https://www.d20srd.org/srd/spells/bladeBarrier.htm" TargetMode="External"/><Relationship Id="rId185" Type="http://schemas.openxmlformats.org/officeDocument/2006/relationships/hyperlink" Target="https://www.d20srd.org/srd/spells/flameStrike.htm" TargetMode="External"/><Relationship Id="rId49" Type="http://schemas.openxmlformats.org/officeDocument/2006/relationships/hyperlink" Target="https://www.d20srd.org/srd/spells/spikeStones.htm" TargetMode="External"/><Relationship Id="rId184" Type="http://schemas.openxmlformats.org/officeDocument/2006/relationships/hyperlink" Target="https://www.d20srd.org/srd/spells/divinePower.htm" TargetMode="External"/><Relationship Id="rId189" Type="http://schemas.openxmlformats.org/officeDocument/2006/relationships/hyperlink" Target="https://www.d20srd.org/srd/spells/powerWordKill.htm" TargetMode="External"/><Relationship Id="rId188" Type="http://schemas.openxmlformats.org/officeDocument/2006/relationships/hyperlink" Target="https://www.d20srd.org/srd/spells/powerWordStun.htm" TargetMode="External"/><Relationship Id="rId31" Type="http://schemas.openxmlformats.org/officeDocument/2006/relationships/hyperlink" Target="https://www.d20srd.org/srd/spells/deathWard.htm" TargetMode="External"/><Relationship Id="rId30" Type="http://schemas.openxmlformats.org/officeDocument/2006/relationships/hyperlink" Target="https://www.d20srd.org/srd/spells/animateDead.htm" TargetMode="External"/><Relationship Id="rId33" Type="http://schemas.openxmlformats.org/officeDocument/2006/relationships/hyperlink" Target="https://www.d20srd.org/srd/spells/createUndead.htm" TargetMode="External"/><Relationship Id="rId183" Type="http://schemas.openxmlformats.org/officeDocument/2006/relationships/hyperlink" Target="https://www.d20srd.org/srd/spells/magicVestment.htm" TargetMode="External"/><Relationship Id="rId32" Type="http://schemas.openxmlformats.org/officeDocument/2006/relationships/hyperlink" Target="https://www.d20srd.org/srd/spells/slayLiving.htm" TargetMode="External"/><Relationship Id="rId182" Type="http://schemas.openxmlformats.org/officeDocument/2006/relationships/hyperlink" Target="https://www.d20srd.org/srd/spells/spiritualWeapon.htm" TargetMode="External"/><Relationship Id="rId35" Type="http://schemas.openxmlformats.org/officeDocument/2006/relationships/hyperlink" Target="https://www.d20srd.org/srd/spells/createGreaterUndead.htm" TargetMode="External"/><Relationship Id="rId181" Type="http://schemas.openxmlformats.org/officeDocument/2006/relationships/hyperlink" Target="https://www.d20srd.org/srd/spells/magicWeapon.htm" TargetMode="External"/><Relationship Id="rId34" Type="http://schemas.openxmlformats.org/officeDocument/2006/relationships/hyperlink" Target="https://www.d20srd.org/srd/spells/destruction.htm" TargetMode="External"/><Relationship Id="rId180" Type="http://schemas.openxmlformats.org/officeDocument/2006/relationships/hyperlink" Target="https://www.d20srd.org/srd/spells/timeStop.htm" TargetMode="External"/><Relationship Id="rId37" Type="http://schemas.openxmlformats.org/officeDocument/2006/relationships/hyperlink" Target="https://www.d20srd.org/srd/spells/inflictLightWounds.htm" TargetMode="External"/><Relationship Id="rId176" Type="http://schemas.openxmlformats.org/officeDocument/2006/relationships/hyperlink" Target="https://www.d20srd.org/srd/spells/falseVision.htm" TargetMode="External"/><Relationship Id="rId36" Type="http://schemas.openxmlformats.org/officeDocument/2006/relationships/hyperlink" Target="https://www.d20srd.org/srd/spells/wailOfTheBanshee.htm" TargetMode="External"/><Relationship Id="rId175" Type="http://schemas.openxmlformats.org/officeDocument/2006/relationships/hyperlink" Target="https://www.d20srd.org/srd/spells/confusion.htm" TargetMode="External"/><Relationship Id="rId39" Type="http://schemas.openxmlformats.org/officeDocument/2006/relationships/hyperlink" Target="https://www.d20srd.org/srd/spells/contagion.htm" TargetMode="External"/><Relationship Id="rId174" Type="http://schemas.openxmlformats.org/officeDocument/2006/relationships/hyperlink" Target="https://www.d20srd.org/srd/spells/nondetection.htm" TargetMode="External"/><Relationship Id="rId38" Type="http://schemas.openxmlformats.org/officeDocument/2006/relationships/hyperlink" Target="https://www.d20srd.org/srd/spells/shatter.htm" TargetMode="External"/><Relationship Id="rId173" Type="http://schemas.openxmlformats.org/officeDocument/2006/relationships/hyperlink" Target="https://www.d20srd.org/srd/spells/invisibility.htm" TargetMode="External"/><Relationship Id="rId179" Type="http://schemas.openxmlformats.org/officeDocument/2006/relationships/hyperlink" Target="https://www.d20srd.org/srd/spells/polymorphAnyObject.htm" TargetMode="External"/><Relationship Id="rId178" Type="http://schemas.openxmlformats.org/officeDocument/2006/relationships/hyperlink" Target="https://www.d20srd.org/srd/spells/screen.htm" TargetMode="External"/><Relationship Id="rId177" Type="http://schemas.openxmlformats.org/officeDocument/2006/relationships/hyperlink" Target="https://www.d20srd.org/srd/spells/mislead.htm" TargetMode="External"/><Relationship Id="rId20" Type="http://schemas.openxmlformats.org/officeDocument/2006/relationships/hyperlink" Target="https://www.d20srd.org/srd/spells/shatter.htm" TargetMode="External"/><Relationship Id="rId22" Type="http://schemas.openxmlformats.org/officeDocument/2006/relationships/hyperlink" Target="https://www.d20srd.org/srd/spells/chaosHammer.htm" TargetMode="External"/><Relationship Id="rId21" Type="http://schemas.openxmlformats.org/officeDocument/2006/relationships/hyperlink" Target="https://www.d20srd.org/srd/spells/magicCircleAgainstLaw.htm" TargetMode="External"/><Relationship Id="rId24" Type="http://schemas.openxmlformats.org/officeDocument/2006/relationships/hyperlink" Target="https://www.d20srd.org/srd/spells/animateObjects.htm" TargetMode="External"/><Relationship Id="rId23" Type="http://schemas.openxmlformats.org/officeDocument/2006/relationships/hyperlink" Target="https://www.d20srd.org/srd/spells/dispelLaw.htm" TargetMode="External"/><Relationship Id="rId26" Type="http://schemas.openxmlformats.org/officeDocument/2006/relationships/hyperlink" Target="https://www.d20srd.org/srd/spells/cloakOfChaos.htm" TargetMode="External"/><Relationship Id="rId25" Type="http://schemas.openxmlformats.org/officeDocument/2006/relationships/hyperlink" Target="https://www.d20srd.org/srd/spells/wordOfChaos.htm" TargetMode="External"/><Relationship Id="rId28" Type="http://schemas.openxmlformats.org/officeDocument/2006/relationships/hyperlink" Target="https://www.d20srd.org/srd/spells/causeFear.htm" TargetMode="External"/><Relationship Id="rId27" Type="http://schemas.openxmlformats.org/officeDocument/2006/relationships/hyperlink" Target="https://www.d20srd.org/srd/spells/summonMonsterIX.htm" TargetMode="External"/><Relationship Id="rId29" Type="http://schemas.openxmlformats.org/officeDocument/2006/relationships/hyperlink" Target="https://www.d20srd.org/srd/spells/deathKnell.htm" TargetMode="External"/><Relationship Id="rId11" Type="http://schemas.openxmlformats.org/officeDocument/2006/relationships/hyperlink" Target="https://www.d20srd.org/srd/spells/holdAnimal.htm" TargetMode="External"/><Relationship Id="rId10" Type="http://schemas.openxmlformats.org/officeDocument/2006/relationships/hyperlink" Target="https://www.d20srd.org/srd/spells/calmAnimals.htm" TargetMode="External"/><Relationship Id="rId13" Type="http://schemas.openxmlformats.org/officeDocument/2006/relationships/hyperlink" Target="https://www.d20srd.org/srd/spells/summonNaturesAllyIV.htm" TargetMode="External"/><Relationship Id="rId12" Type="http://schemas.openxmlformats.org/officeDocument/2006/relationships/hyperlink" Target="https://www.d20srd.org/srd/spells/dominateAnimal.htm" TargetMode="External"/><Relationship Id="rId15" Type="http://schemas.openxmlformats.org/officeDocument/2006/relationships/hyperlink" Target="https://www.d20srd.org/srd/spells/antilifeShell.htm" TargetMode="External"/><Relationship Id="rId198" Type="http://schemas.openxmlformats.org/officeDocument/2006/relationships/hyperlink" Target="https://www.d20srd.org/srd/spells/elementalSwarm.htm" TargetMode="External"/><Relationship Id="rId14" Type="http://schemas.openxmlformats.org/officeDocument/2006/relationships/hyperlink" Target="https://www.d20srd.org/srd/spells/communeWithNature.htm" TargetMode="External"/><Relationship Id="rId197" Type="http://schemas.openxmlformats.org/officeDocument/2006/relationships/hyperlink" Target="https://www.d20srd.org/srd/spells/horridWilting.htm" TargetMode="External"/><Relationship Id="rId17" Type="http://schemas.openxmlformats.org/officeDocument/2006/relationships/hyperlink" Target="https://www.d20srd.org/srd/spells/summonNaturesAllyVIII.htm" TargetMode="External"/><Relationship Id="rId196" Type="http://schemas.openxmlformats.org/officeDocument/2006/relationships/hyperlink" Target="https://www.d20srd.org/srd/spells/acidFog.htm" TargetMode="External"/><Relationship Id="rId16" Type="http://schemas.openxmlformats.org/officeDocument/2006/relationships/hyperlink" Target="https://www.d20srd.org/srd/spells/animalShapes.htm" TargetMode="External"/><Relationship Id="rId195" Type="http://schemas.openxmlformats.org/officeDocument/2006/relationships/hyperlink" Target="https://www.d20srd.org/srd/spells/coneOfCold.htm" TargetMode="External"/><Relationship Id="rId19" Type="http://schemas.openxmlformats.org/officeDocument/2006/relationships/hyperlink" Target="https://www.d20srd.org/srd/spells/protectionFromLaw.htm" TargetMode="External"/><Relationship Id="rId18" Type="http://schemas.openxmlformats.org/officeDocument/2006/relationships/hyperlink" Target="https://www.d20srd.org/srd/spells/shapechange.htm" TargetMode="External"/><Relationship Id="rId199" Type="http://schemas.openxmlformats.org/officeDocument/2006/relationships/drawing" Target="../drawings/drawing6.xml"/><Relationship Id="rId84" Type="http://schemas.openxmlformats.org/officeDocument/2006/relationships/hyperlink" Target="https://www.d20srd.org/srd/spells/cureSeriousWounds.htm" TargetMode="External"/><Relationship Id="rId83" Type="http://schemas.openxmlformats.org/officeDocument/2006/relationships/hyperlink" Target="https://www.d20srd.org/srd/spells/cureModerateWounds.htm" TargetMode="External"/><Relationship Id="rId86" Type="http://schemas.openxmlformats.org/officeDocument/2006/relationships/hyperlink" Target="https://www.d20srd.org/srd/spells/cureLightWoundsMass.htm" TargetMode="External"/><Relationship Id="rId85" Type="http://schemas.openxmlformats.org/officeDocument/2006/relationships/hyperlink" Target="https://www.d20srd.org/srd/spells/cureCriticalWounds.htm" TargetMode="External"/><Relationship Id="rId88" Type="http://schemas.openxmlformats.org/officeDocument/2006/relationships/hyperlink" Target="https://www.d20srd.org/srd/spells/regenerate.htm" TargetMode="External"/><Relationship Id="rId150" Type="http://schemas.openxmlformats.org/officeDocument/2006/relationships/hyperlink" Target="https://www.d20srd.org/srd/spells/stoneskin.htm" TargetMode="External"/><Relationship Id="rId87" Type="http://schemas.openxmlformats.org/officeDocument/2006/relationships/hyperlink" Target="https://www.d20srd.org/srd/spells/heal.htm" TargetMode="External"/><Relationship Id="rId89" Type="http://schemas.openxmlformats.org/officeDocument/2006/relationships/hyperlink" Target="https://www.d20srd.org/srd/spells/cureCriticalWoundsMass.htm" TargetMode="External"/><Relationship Id="rId80" Type="http://schemas.openxmlformats.org/officeDocument/2006/relationships/hyperlink" Target="https://www.d20srd.org/srd/spells/holyAura.htm" TargetMode="External"/><Relationship Id="rId82" Type="http://schemas.openxmlformats.org/officeDocument/2006/relationships/hyperlink" Target="https://www.d20srd.org/srd/spells/cureLightWounds.htm" TargetMode="External"/><Relationship Id="rId81" Type="http://schemas.openxmlformats.org/officeDocument/2006/relationships/hyperlink" Target="https://www.d20srd.org/srd/spells/summonMonsterIX.htm" TargetMode="External"/><Relationship Id="rId1" Type="http://schemas.openxmlformats.org/officeDocument/2006/relationships/hyperlink" Target="https://www.d20srd.org/srd/spells/obscuringMist.htm" TargetMode="External"/><Relationship Id="rId2" Type="http://schemas.openxmlformats.org/officeDocument/2006/relationships/hyperlink" Target="https://www.d20srd.org/srd/spells/windWall.htm" TargetMode="External"/><Relationship Id="rId3" Type="http://schemas.openxmlformats.org/officeDocument/2006/relationships/hyperlink" Target="https://www.d20srd.org/srd/spells/gaseousForm.htm" TargetMode="External"/><Relationship Id="rId149" Type="http://schemas.openxmlformats.org/officeDocument/2006/relationships/hyperlink" Target="https://www.d20srd.org/srd/spells/righteousMight.htm" TargetMode="External"/><Relationship Id="rId4" Type="http://schemas.openxmlformats.org/officeDocument/2006/relationships/hyperlink" Target="https://www.d20srd.org/srd/spells/airWalk.htm" TargetMode="External"/><Relationship Id="rId148" Type="http://schemas.openxmlformats.org/officeDocument/2006/relationships/hyperlink" Target="https://www.d20srd.org/srd/spells/spellImmunity.htm" TargetMode="External"/><Relationship Id="rId9" Type="http://schemas.openxmlformats.org/officeDocument/2006/relationships/hyperlink" Target="https://www.d20srd.org/srd/spells/elementalSwarm.htm" TargetMode="External"/><Relationship Id="rId143" Type="http://schemas.openxmlformats.org/officeDocument/2006/relationships/hyperlink" Target="https://www.d20srd.org/srd/spells/mindBlank.htm" TargetMode="External"/><Relationship Id="rId142" Type="http://schemas.openxmlformats.org/officeDocument/2006/relationships/hyperlink" Target="https://www.d20srd.org/srd/spells/repulsion.htm" TargetMode="External"/><Relationship Id="rId141" Type="http://schemas.openxmlformats.org/officeDocument/2006/relationships/hyperlink" Target="https://www.d20srd.org/srd/spells/antimagicField.htm" TargetMode="External"/><Relationship Id="rId140" Type="http://schemas.openxmlformats.org/officeDocument/2006/relationships/hyperlink" Target="https://www.d20srd.org/srd/spells/spellResistance.htm" TargetMode="External"/><Relationship Id="rId5" Type="http://schemas.openxmlformats.org/officeDocument/2006/relationships/hyperlink" Target="https://www.d20srd.org/srd/spells/controlWinds.htm" TargetMode="External"/><Relationship Id="rId147" Type="http://schemas.openxmlformats.org/officeDocument/2006/relationships/hyperlink" Target="https://www.d20srd.org/srd/spells/magicVestment.htm" TargetMode="External"/><Relationship Id="rId6" Type="http://schemas.openxmlformats.org/officeDocument/2006/relationships/hyperlink" Target="https://www.d20srd.org/srd/spells/chainLightning.htm" TargetMode="External"/><Relationship Id="rId146" Type="http://schemas.openxmlformats.org/officeDocument/2006/relationships/hyperlink" Target="https://www.d20srd.org/srd/spells/bullsStrength.htm" TargetMode="External"/><Relationship Id="rId7" Type="http://schemas.openxmlformats.org/officeDocument/2006/relationships/hyperlink" Target="https://www.d20srd.org/srd/spells/controlWeather.htm" TargetMode="External"/><Relationship Id="rId145" Type="http://schemas.openxmlformats.org/officeDocument/2006/relationships/hyperlink" Target="https://www.d20srd.org/srd/spells/enlargePerson.htm" TargetMode="External"/><Relationship Id="rId8" Type="http://schemas.openxmlformats.org/officeDocument/2006/relationships/hyperlink" Target="https://www.d20srd.org/srd/spells/whirlwind.htm" TargetMode="External"/><Relationship Id="rId144" Type="http://schemas.openxmlformats.org/officeDocument/2006/relationships/hyperlink" Target="https://www.d20srd.org/srd/spells/prismaticSphere.htm" TargetMode="External"/><Relationship Id="rId73" Type="http://schemas.openxmlformats.org/officeDocument/2006/relationships/hyperlink" Target="https://www.d20srd.org/srd/spells/protectionFromEvil.htm" TargetMode="External"/><Relationship Id="rId72" Type="http://schemas.openxmlformats.org/officeDocument/2006/relationships/hyperlink" Target="https://www.d20srd.org/srd/spells/elementalSwarm.htm" TargetMode="External"/><Relationship Id="rId75" Type="http://schemas.openxmlformats.org/officeDocument/2006/relationships/hyperlink" Target="https://www.d20srd.org/srd/spells/magicCircleAgainstEvil.htm" TargetMode="External"/><Relationship Id="rId74" Type="http://schemas.openxmlformats.org/officeDocument/2006/relationships/hyperlink" Target="https://www.d20srd.org/srd/spells/aid.htm" TargetMode="External"/><Relationship Id="rId77" Type="http://schemas.openxmlformats.org/officeDocument/2006/relationships/hyperlink" Target="https://www.d20srd.org/srd/spells/dispelEvil.htm" TargetMode="External"/><Relationship Id="rId76" Type="http://schemas.openxmlformats.org/officeDocument/2006/relationships/hyperlink" Target="https://www.d20srd.org/srd/spells/holySmite.htm" TargetMode="External"/><Relationship Id="rId79" Type="http://schemas.openxmlformats.org/officeDocument/2006/relationships/hyperlink" Target="https://www.d20srd.org/srd/spells/holyWord.htm" TargetMode="External"/><Relationship Id="rId78" Type="http://schemas.openxmlformats.org/officeDocument/2006/relationships/hyperlink" Target="https://www.d20srd.org/srd/spells/bladeBarrier.htm" TargetMode="External"/><Relationship Id="rId71" Type="http://schemas.openxmlformats.org/officeDocument/2006/relationships/hyperlink" Target="https://www.d20srd.org/srd/spells/incendiaryCloud.htm" TargetMode="External"/><Relationship Id="rId70" Type="http://schemas.openxmlformats.org/officeDocument/2006/relationships/hyperlink" Target="https://www.d20srd.org/srd/spells/fireStorm.htm" TargetMode="External"/><Relationship Id="rId139" Type="http://schemas.openxmlformats.org/officeDocument/2006/relationships/hyperlink" Target="https://www.d20srd.org/srd/spells/spellImmunity.htm" TargetMode="External"/><Relationship Id="rId138" Type="http://schemas.openxmlformats.org/officeDocument/2006/relationships/hyperlink" Target="https://www.d20srd.org/srd/spells/protectionFromEnergy.htm" TargetMode="External"/><Relationship Id="rId137" Type="http://schemas.openxmlformats.org/officeDocument/2006/relationships/hyperlink" Target="https://www.d20srd.org/srd/spells/shieldOther.htm" TargetMode="External"/><Relationship Id="rId132" Type="http://schemas.openxmlformats.org/officeDocument/2006/relationships/hyperlink" Target="https://www.d20srd.org/srd/spells/repelWood.htm" TargetMode="External"/><Relationship Id="rId131" Type="http://schemas.openxmlformats.org/officeDocument/2006/relationships/hyperlink" Target="https://www.d20srd.org/srd/spells/wallOfThorns.htm" TargetMode="External"/><Relationship Id="rId130" Type="http://schemas.openxmlformats.org/officeDocument/2006/relationships/hyperlink" Target="https://www.d20srd.org/srd/spells/commandPlants.htm" TargetMode="External"/><Relationship Id="rId136" Type="http://schemas.openxmlformats.org/officeDocument/2006/relationships/hyperlink" Target="https://www.d20srd.org/srd/spells/sanctuary.htm" TargetMode="External"/><Relationship Id="rId135" Type="http://schemas.openxmlformats.org/officeDocument/2006/relationships/hyperlink" Target="https://www.d20srd.org/srd/spells/shambler.htm" TargetMode="External"/><Relationship Id="rId134" Type="http://schemas.openxmlformats.org/officeDocument/2006/relationships/hyperlink" Target="https://www.d20srd.org/srd/spells/controlPlants.htm" TargetMode="External"/><Relationship Id="rId133" Type="http://schemas.openxmlformats.org/officeDocument/2006/relationships/hyperlink" Target="https://www.d20srd.org/srd/spells/animatePlants.htm" TargetMode="External"/><Relationship Id="rId62" Type="http://schemas.openxmlformats.org/officeDocument/2006/relationships/hyperlink" Target="https://www.d20srd.org/srd/spells/unholyAura.htm" TargetMode="External"/><Relationship Id="rId61" Type="http://schemas.openxmlformats.org/officeDocument/2006/relationships/hyperlink" Target="https://www.d20srd.org/srd/spells/blasphemy.htm" TargetMode="External"/><Relationship Id="rId64" Type="http://schemas.openxmlformats.org/officeDocument/2006/relationships/hyperlink" Target="https://www.d20srd.org/srd/spells/burningHands.htm" TargetMode="External"/><Relationship Id="rId63" Type="http://schemas.openxmlformats.org/officeDocument/2006/relationships/hyperlink" Target="https://www.d20srd.org/srd/spells/summonMonsterIX.htm" TargetMode="External"/><Relationship Id="rId66" Type="http://schemas.openxmlformats.org/officeDocument/2006/relationships/hyperlink" Target="https://www.d20srd.org/srd/spells/resistEnergy.htm" TargetMode="External"/><Relationship Id="rId172" Type="http://schemas.openxmlformats.org/officeDocument/2006/relationships/hyperlink" Target="https://www.d20srd.org/srd/spells/disguiseSelf.htm" TargetMode="External"/><Relationship Id="rId65" Type="http://schemas.openxmlformats.org/officeDocument/2006/relationships/hyperlink" Target="https://www.d20srd.org/srd/spells/produceFlame.htm" TargetMode="External"/><Relationship Id="rId171" Type="http://schemas.openxmlformats.org/officeDocument/2006/relationships/hyperlink" Target="https://www.d20srd.org/srd/spells/astralProjection.htm" TargetMode="External"/><Relationship Id="rId68" Type="http://schemas.openxmlformats.org/officeDocument/2006/relationships/hyperlink" Target="https://www.d20srd.org/srd/spells/fireShield.htm" TargetMode="External"/><Relationship Id="rId170" Type="http://schemas.openxmlformats.org/officeDocument/2006/relationships/hyperlink" Target="https://www.d20srd.org/srd/spells/phaseDoor.htm" TargetMode="External"/><Relationship Id="rId67" Type="http://schemas.openxmlformats.org/officeDocument/2006/relationships/hyperlink" Target="https://www.d20srd.org/srd/spells/wallOfFire.htm" TargetMode="External"/><Relationship Id="rId60" Type="http://schemas.openxmlformats.org/officeDocument/2006/relationships/hyperlink" Target="https://www.d20srd.org/srd/spells/createUndead.htm" TargetMode="External"/><Relationship Id="rId165" Type="http://schemas.openxmlformats.org/officeDocument/2006/relationships/hyperlink" Target="https://www.d20srd.org/srd/spells/fly.htm" TargetMode="External"/><Relationship Id="rId69" Type="http://schemas.openxmlformats.org/officeDocument/2006/relationships/hyperlink" Target="https://www.d20srd.org/srd/spells/fireSeeds.htm" TargetMode="External"/><Relationship Id="rId164" Type="http://schemas.openxmlformats.org/officeDocument/2006/relationships/hyperlink" Target="https://www.d20srd.org/srd/spells/locateObject.htm" TargetMode="External"/><Relationship Id="rId163" Type="http://schemas.openxmlformats.org/officeDocument/2006/relationships/hyperlink" Target="https://www.d20srd.org/srd/spells/longstrider.htm" TargetMode="External"/><Relationship Id="rId162" Type="http://schemas.openxmlformats.org/officeDocument/2006/relationships/hyperlink" Target="https://www.d20srd.org/srd/spells/prismaticSphere.htm" TargetMode="External"/><Relationship Id="rId169" Type="http://schemas.openxmlformats.org/officeDocument/2006/relationships/hyperlink" Target="https://www.d20srd.org/srd/spells/teleportGreater.htm" TargetMode="External"/><Relationship Id="rId168" Type="http://schemas.openxmlformats.org/officeDocument/2006/relationships/hyperlink" Target="https://www.d20srd.org/srd/spells/findThePath.htm" TargetMode="External"/><Relationship Id="rId167" Type="http://schemas.openxmlformats.org/officeDocument/2006/relationships/hyperlink" Target="https://docs.google.com/document/u/0/d/1sXxDfAeuZoLjG5PX_8tUc4yR6_Wf1Rl_fJ8eUMP8Kt8/edit" TargetMode="External"/><Relationship Id="rId166" Type="http://schemas.openxmlformats.org/officeDocument/2006/relationships/hyperlink" Target="https://www.d20srd.org/srd/spells/dimensionDoor.htm" TargetMode="External"/><Relationship Id="rId51" Type="http://schemas.openxmlformats.org/officeDocument/2006/relationships/hyperlink" Target="https://www.d20srd.org/srd/spells/stoneskin.htm" TargetMode="External"/><Relationship Id="rId50" Type="http://schemas.openxmlformats.org/officeDocument/2006/relationships/hyperlink" Target="https://www.d20srd.org/srd/spells/wallOfStone.htm" TargetMode="External"/><Relationship Id="rId53" Type="http://schemas.openxmlformats.org/officeDocument/2006/relationships/hyperlink" Target="https://www.d20srd.org/srd/spells/ironBody.htm" TargetMode="External"/><Relationship Id="rId52" Type="http://schemas.openxmlformats.org/officeDocument/2006/relationships/hyperlink" Target="https://www.d20srd.org/srd/spells/earthquake.htm" TargetMode="External"/><Relationship Id="rId55" Type="http://schemas.openxmlformats.org/officeDocument/2006/relationships/hyperlink" Target="https://www.d20srd.org/srd/spells/protectionFromGood.htm" TargetMode="External"/><Relationship Id="rId161" Type="http://schemas.openxmlformats.org/officeDocument/2006/relationships/hyperlink" Target="https://www.d20srd.org/srd/spells/sunburst.htm" TargetMode="External"/><Relationship Id="rId54" Type="http://schemas.openxmlformats.org/officeDocument/2006/relationships/hyperlink" Target="https://www.d20srd.org/srd/spells/elementalSwarm.htm" TargetMode="External"/><Relationship Id="rId160" Type="http://schemas.openxmlformats.org/officeDocument/2006/relationships/hyperlink" Target="https://www.d20srd.org/srd/spells/sunbeam.htm" TargetMode="External"/><Relationship Id="rId57" Type="http://schemas.openxmlformats.org/officeDocument/2006/relationships/hyperlink" Target="https://www.d20srd.org/srd/spells/magicCircleAgainstGood.htm" TargetMode="External"/><Relationship Id="rId56" Type="http://schemas.openxmlformats.org/officeDocument/2006/relationships/hyperlink" Target="https://www.d20srd.org/srd/spells/desecrate.htm" TargetMode="External"/><Relationship Id="rId159" Type="http://schemas.openxmlformats.org/officeDocument/2006/relationships/hyperlink" Target="https://www.d20srd.org/srd/spells/fireSeeds.htm" TargetMode="External"/><Relationship Id="rId59" Type="http://schemas.openxmlformats.org/officeDocument/2006/relationships/hyperlink" Target="https://www.d20srd.org/srd/spells/dispelGood.htm" TargetMode="External"/><Relationship Id="rId154" Type="http://schemas.openxmlformats.org/officeDocument/2006/relationships/hyperlink" Target="https://www.d20srd.org/srd/spells/endureElements.htm" TargetMode="External"/><Relationship Id="rId58" Type="http://schemas.openxmlformats.org/officeDocument/2006/relationships/hyperlink" Target="https://www.d20srd.org/srd/spells/unholyBlight.htm" TargetMode="External"/><Relationship Id="rId153" Type="http://schemas.openxmlformats.org/officeDocument/2006/relationships/hyperlink" Target="https://www.d20srd.org/srd/spells/crushingHand.htm" TargetMode="External"/><Relationship Id="rId152" Type="http://schemas.openxmlformats.org/officeDocument/2006/relationships/hyperlink" Target="https://www.d20srd.org/srd/spells/clenchedFist.htm" TargetMode="External"/><Relationship Id="rId151" Type="http://schemas.openxmlformats.org/officeDocument/2006/relationships/hyperlink" Target="https://www.d20srd.org/srd/spells/graspingHand.htm" TargetMode="External"/><Relationship Id="rId158" Type="http://schemas.openxmlformats.org/officeDocument/2006/relationships/hyperlink" Target="https://www.d20srd.org/srd/spells/flameStrike.htm" TargetMode="External"/><Relationship Id="rId157" Type="http://schemas.openxmlformats.org/officeDocument/2006/relationships/hyperlink" Target="https://www.d20srd.org/srd/spells/fireShield.htm" TargetMode="External"/><Relationship Id="rId156" Type="http://schemas.openxmlformats.org/officeDocument/2006/relationships/hyperlink" Target="https://www.d20srd.org/srd/spells/searingLight.htm" TargetMode="External"/><Relationship Id="rId155" Type="http://schemas.openxmlformats.org/officeDocument/2006/relationships/hyperlink" Target="https://www.d20srd.org/srd/spells/heatMetal.htm" TargetMode="External"/><Relationship Id="rId107" Type="http://schemas.openxmlformats.org/officeDocument/2006/relationships/hyperlink" Target="https://www.d20srd.org/srd/spells/shieldOfLaw.htm" TargetMode="External"/><Relationship Id="rId106" Type="http://schemas.openxmlformats.org/officeDocument/2006/relationships/hyperlink" Target="https://www.d20srd.org/srd/spells/dictum.htm" TargetMode="External"/><Relationship Id="rId105" Type="http://schemas.openxmlformats.org/officeDocument/2006/relationships/hyperlink" Target="https://www.d20srd.org/srd/spells/holdMonster.htm" TargetMode="External"/><Relationship Id="rId104" Type="http://schemas.openxmlformats.org/officeDocument/2006/relationships/hyperlink" Target="https://www.d20srd.org/srd/spells/dispelChaos.htm" TargetMode="External"/><Relationship Id="rId109" Type="http://schemas.openxmlformats.org/officeDocument/2006/relationships/hyperlink" Target="https://www.d20srd.org/srd/spells/entropicShield.htm" TargetMode="External"/><Relationship Id="rId108" Type="http://schemas.openxmlformats.org/officeDocument/2006/relationships/hyperlink" Target="https://www.d20srd.org/srd/spells/summonMonsterIX.htm" TargetMode="External"/><Relationship Id="rId103" Type="http://schemas.openxmlformats.org/officeDocument/2006/relationships/hyperlink" Target="https://www.d20srd.org/srd/spells/ordersWrath.htm" TargetMode="External"/><Relationship Id="rId102" Type="http://schemas.openxmlformats.org/officeDocument/2006/relationships/hyperlink" Target="https://www.d20srd.org/srd/spells/magicCircleAgainstChaos.htm" TargetMode="External"/><Relationship Id="rId101" Type="http://schemas.openxmlformats.org/officeDocument/2006/relationships/hyperlink" Target="https://www.d20srd.org/srd/spells/calmEmotions.htm" TargetMode="External"/><Relationship Id="rId100" Type="http://schemas.openxmlformats.org/officeDocument/2006/relationships/hyperlink" Target="https://www.d20srd.org/srd/spells/protectionFromChaos.htm" TargetMode="External"/><Relationship Id="rId129" Type="http://schemas.openxmlformats.org/officeDocument/2006/relationships/hyperlink" Target="https://www.d20srd.org/srd/spells/plantGrowth.htm" TargetMode="External"/><Relationship Id="rId128" Type="http://schemas.openxmlformats.org/officeDocument/2006/relationships/hyperlink" Target="https://www.d20srd.org/srd/spells/barkskin.htm" TargetMode="External"/><Relationship Id="rId127" Type="http://schemas.openxmlformats.org/officeDocument/2006/relationships/hyperlink" Target="https://www.d20srd.org/srd/spells/entangle.htm" TargetMode="External"/><Relationship Id="rId126" Type="http://schemas.openxmlformats.org/officeDocument/2006/relationships/hyperlink" Target="https://www.d20srd.org/srd/spells/magesDisjunction.htm" TargetMode="External"/><Relationship Id="rId121" Type="http://schemas.openxmlformats.org/officeDocument/2006/relationships/hyperlink" Target="https://www.d20srd.org/srd/spells/imbueWithSpellAbility.htm" TargetMode="External"/><Relationship Id="rId120" Type="http://schemas.openxmlformats.org/officeDocument/2006/relationships/hyperlink" Target="https://www.d20srd.org/srd/spells/dispelMagic.htm" TargetMode="External"/><Relationship Id="rId125" Type="http://schemas.openxmlformats.org/officeDocument/2006/relationships/hyperlink" Target="https://www.d20srd.org/srd/spells/protectionFromSpells.htm" TargetMode="External"/><Relationship Id="rId124" Type="http://schemas.openxmlformats.org/officeDocument/2006/relationships/hyperlink" Target="https://www.d20srd.org/srd/spells/spellTurning.htm" TargetMode="External"/><Relationship Id="rId123" Type="http://schemas.openxmlformats.org/officeDocument/2006/relationships/hyperlink" Target="https://www.d20srd.org/srd/spells/antimagicField.htm" TargetMode="External"/><Relationship Id="rId122" Type="http://schemas.openxmlformats.org/officeDocument/2006/relationships/hyperlink" Target="https://www.d20srd.org/srd/spells/spellResistance.htm" TargetMode="External"/><Relationship Id="rId95" Type="http://schemas.openxmlformats.org/officeDocument/2006/relationships/hyperlink" Target="https://www.d20srd.org/srd/spells/trueSeeing.htm" TargetMode="External"/><Relationship Id="rId94" Type="http://schemas.openxmlformats.org/officeDocument/2006/relationships/hyperlink" Target="https://www.d20srd.org/srd/spells/divination.htm" TargetMode="External"/><Relationship Id="rId97" Type="http://schemas.openxmlformats.org/officeDocument/2006/relationships/hyperlink" Target="https://www.d20srd.org/srd/spells/legendLore.htm" TargetMode="External"/><Relationship Id="rId96" Type="http://schemas.openxmlformats.org/officeDocument/2006/relationships/hyperlink" Target="https://www.d20srd.org/srd/spells/findThePath.htm" TargetMode="External"/><Relationship Id="rId99" Type="http://schemas.openxmlformats.org/officeDocument/2006/relationships/hyperlink" Target="https://www.d20srd.org/srd/spells/foresight.htm" TargetMode="External"/><Relationship Id="rId98" Type="http://schemas.openxmlformats.org/officeDocument/2006/relationships/hyperlink" Target="https://www.d20srd.org/srd/spells/discernLocation.htm" TargetMode="External"/><Relationship Id="rId91" Type="http://schemas.openxmlformats.org/officeDocument/2006/relationships/hyperlink" Target="https://www.d20srd.org/srd/spells/detectSecretDoors.htm" TargetMode="External"/><Relationship Id="rId90" Type="http://schemas.openxmlformats.org/officeDocument/2006/relationships/hyperlink" Target="https://www.d20srd.org/srd/spells/healMass.htm" TargetMode="External"/><Relationship Id="rId93" Type="http://schemas.openxmlformats.org/officeDocument/2006/relationships/hyperlink" Target="https://www.d20srd.org/srd/spells/clairaudienceClairvoyance.htm" TargetMode="External"/><Relationship Id="rId92" Type="http://schemas.openxmlformats.org/officeDocument/2006/relationships/hyperlink" Target="https://www.d20srd.org/srd/spells/detectThoughts.htm" TargetMode="External"/><Relationship Id="rId118" Type="http://schemas.openxmlformats.org/officeDocument/2006/relationships/hyperlink" Target="https://www.d20srd.org/srd/spells/magicAura.htm" TargetMode="External"/><Relationship Id="rId117" Type="http://schemas.openxmlformats.org/officeDocument/2006/relationships/hyperlink" Target="https://www.d20srd.org/srd/spells/miracle.htm" TargetMode="External"/><Relationship Id="rId116" Type="http://schemas.openxmlformats.org/officeDocument/2006/relationships/hyperlink" Target="https://www.d20srd.org/srd/spells/momentOfPrescience.htm" TargetMode="External"/><Relationship Id="rId115" Type="http://schemas.openxmlformats.org/officeDocument/2006/relationships/hyperlink" Target="https://www.d20srd.org/srd/spells/spellTurning.htm" TargetMode="External"/><Relationship Id="rId119" Type="http://schemas.openxmlformats.org/officeDocument/2006/relationships/hyperlink" Target="https://www.d20srd.org/srd/spells/identify.htm" TargetMode="External"/><Relationship Id="rId110" Type="http://schemas.openxmlformats.org/officeDocument/2006/relationships/hyperlink" Target="https://www.d20srd.org/srd/spells/aid.htm" TargetMode="External"/><Relationship Id="rId114" Type="http://schemas.openxmlformats.org/officeDocument/2006/relationships/hyperlink" Target="https://www.d20srd.org/srd/spells/mislead.htm" TargetMode="External"/><Relationship Id="rId113" Type="http://schemas.openxmlformats.org/officeDocument/2006/relationships/hyperlink" Target="https://www.d20srd.org/srd/spells/breakEnchantment.htm" TargetMode="External"/><Relationship Id="rId112" Type="http://schemas.openxmlformats.org/officeDocument/2006/relationships/hyperlink" Target="https://www.d20srd.org/srd/spells/freedomOfMovement.htm" TargetMode="External"/><Relationship Id="rId111" Type="http://schemas.openxmlformats.org/officeDocument/2006/relationships/hyperlink" Target="https://www.d20srd.org/srd/spells/protectionFromEnergy.ht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tr">
        <f>"Close: "&amp;25+(5*FLOOR(Level/2,1)) &amp;" ft"</f>
        <v>Close: 25 ft</v>
      </c>
    </row>
    <row r="4">
      <c r="B4" s="1" t="str">
        <f>"Medium: "&amp;100+(10*Level) &amp;" ft"</f>
        <v>Medium: 110 ft</v>
      </c>
    </row>
    <row r="5">
      <c r="B5" s="1" t="str">
        <f>"Long: "&amp; 400+40*Level &amp; " ft"</f>
        <v>Long: 440 ft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1.29"/>
    <col customWidth="1" min="2" max="2" width="27.29"/>
    <col customWidth="1" min="3" max="3" width="21.57"/>
    <col customWidth="1" min="4" max="4" width="18.14"/>
    <col customWidth="1" min="5" max="5" width="3.14"/>
    <col customWidth="1" min="6" max="6" width="10.43"/>
    <col customWidth="1" min="7" max="7" width="3.14"/>
    <col customWidth="1" min="8" max="8" width="11.57"/>
    <col customWidth="1" min="9" max="9" width="3.0"/>
    <col customWidth="1" min="10" max="10" width="8.43"/>
    <col customWidth="1" min="11" max="11" width="7.29"/>
    <col customWidth="1" min="12" max="12" width="6.57"/>
    <col customWidth="1" min="13" max="13" width="7.86"/>
    <col customWidth="1" min="14" max="15" width="14.43"/>
    <col customWidth="1" min="16" max="16" width="10.86"/>
    <col customWidth="1" min="17" max="17" width="8.29"/>
    <col customWidth="1" min="18" max="18" width="9.29"/>
    <col customWidth="1" min="19" max="19" width="7.14"/>
    <col customWidth="1" min="20" max="20" width="8.86"/>
    <col customWidth="1" min="21" max="21" width="9.29"/>
    <col customWidth="1" min="22" max="23" width="7.29"/>
    <col customWidth="1" min="24" max="24" width="4.86"/>
    <col customWidth="1" min="25" max="25" width="14.43"/>
    <col customWidth="1" min="26" max="26" width="10.57"/>
    <col customWidth="1" min="27" max="27" width="1.29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0</v>
      </c>
      <c r="C2" s="4"/>
      <c r="D2" s="5"/>
      <c r="E2" s="2"/>
      <c r="F2" s="6" t="s">
        <v>1</v>
      </c>
      <c r="G2" s="7"/>
      <c r="H2" s="8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9" t="s">
        <v>3</v>
      </c>
      <c r="C3" s="10"/>
      <c r="D3" s="5"/>
      <c r="E3" s="2"/>
      <c r="F3" s="11">
        <v>1.0</v>
      </c>
      <c r="G3" s="12"/>
      <c r="H3" s="13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4" t="s">
        <v>4</v>
      </c>
      <c r="C4" s="4"/>
      <c r="D4" s="5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5" t="s">
        <v>5</v>
      </c>
      <c r="C5" s="10"/>
      <c r="D5" s="5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4" t="s">
        <v>6</v>
      </c>
      <c r="C6" s="4"/>
      <c r="D6" s="5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5" t="s">
        <v>7</v>
      </c>
      <c r="C7" s="10"/>
      <c r="D7" s="5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4" t="s">
        <v>8</v>
      </c>
      <c r="C8" s="4"/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15" t="s">
        <v>9</v>
      </c>
      <c r="C9" s="10"/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4" t="s">
        <v>10</v>
      </c>
      <c r="C10" s="4"/>
      <c r="D10" s="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5" t="s">
        <v>11</v>
      </c>
      <c r="C11" s="10"/>
      <c r="D11" s="5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4" t="s">
        <v>12</v>
      </c>
      <c r="C12" s="4"/>
      <c r="D12" s="5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6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7" t="s">
        <v>14</v>
      </c>
      <c r="W14" s="4"/>
      <c r="X14" s="18"/>
      <c r="Y14" s="19" t="str">
        <f>SUM(Z16:Z21)&amp;"/"&amp;dget(base_spells,"0th",F2:F3)</f>
        <v>0/3</v>
      </c>
      <c r="Z14" s="6"/>
      <c r="AA14" s="20"/>
    </row>
    <row r="15">
      <c r="A15" s="2"/>
      <c r="B15" s="21" t="s">
        <v>15</v>
      </c>
      <c r="C15" s="21" t="s">
        <v>16</v>
      </c>
      <c r="D15" s="22" t="s">
        <v>17</v>
      </c>
      <c r="E15" s="23"/>
      <c r="F15" s="22" t="s">
        <v>18</v>
      </c>
      <c r="G15" s="23"/>
      <c r="H15" s="22" t="s">
        <v>19</v>
      </c>
      <c r="I15" s="23"/>
      <c r="J15" s="22" t="s">
        <v>20</v>
      </c>
      <c r="K15" s="23"/>
      <c r="L15" s="22" t="s">
        <v>21</v>
      </c>
      <c r="M15" s="23"/>
      <c r="N15" s="22" t="s">
        <v>22</v>
      </c>
      <c r="O15" s="23"/>
      <c r="P15" s="22" t="s">
        <v>23</v>
      </c>
      <c r="Q15" s="23"/>
      <c r="R15" s="22" t="s">
        <v>24</v>
      </c>
      <c r="S15" s="23"/>
      <c r="T15" s="22" t="s">
        <v>25</v>
      </c>
      <c r="U15" s="23"/>
      <c r="V15" s="22" t="s">
        <v>26</v>
      </c>
      <c r="W15" s="10"/>
      <c r="X15" s="10"/>
      <c r="Y15" s="23"/>
      <c r="Z15" s="21" t="s">
        <v>27</v>
      </c>
      <c r="AA15" s="24"/>
    </row>
    <row r="16">
      <c r="A16" s="2"/>
      <c r="B16" s="25"/>
      <c r="C16" s="25"/>
      <c r="D16" s="26" t="str">
        <f t="shared" ref="D16:D21" si="1">indirect("Dupe!D"&amp;ROW())</f>
        <v/>
      </c>
      <c r="E16" s="18"/>
      <c r="F16" s="27" t="str">
        <f t="shared" ref="F16:F21" si="2">indirect("Dupe!F"&amp;ROW())</f>
        <v/>
      </c>
      <c r="G16" s="18"/>
      <c r="H16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" s="18"/>
      <c r="J16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" s="18"/>
      <c r="L16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" s="18"/>
      <c r="N16" s="27" t="str">
        <f>IFERROR(__xludf.DUMMYFUNCTION("indirect(""Dupe!N""&amp;row())&amp;if(regexmatch(indirect(""C""&amp;row()),""Widen""),""
Widened
Any numeric measurements of the spell’s area increase by 100%"","""")"),"")</f>
        <v/>
      </c>
      <c r="O16" s="18"/>
      <c r="P16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" s="18"/>
      <c r="R16" s="27" t="str">
        <f t="shared" ref="R16:R21" si="3">indirect("Dupe!R"&amp;row())</f>
        <v/>
      </c>
      <c r="S16" s="18"/>
      <c r="T16" s="27" t="str">
        <f t="shared" ref="T16:T21" si="4">indirect("Dupe!T"&amp;row())</f>
        <v/>
      </c>
      <c r="U16" s="18"/>
      <c r="V16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" s="4"/>
      <c r="X16" s="4"/>
      <c r="Y16" s="18"/>
      <c r="Z16" s="30"/>
      <c r="AA16" s="24"/>
    </row>
    <row r="17">
      <c r="A17" s="2"/>
      <c r="B17" s="31"/>
      <c r="C17" s="31"/>
      <c r="D17" s="32" t="str">
        <f t="shared" si="1"/>
        <v/>
      </c>
      <c r="E17" s="23"/>
      <c r="F17" s="33" t="str">
        <f t="shared" si="2"/>
        <v/>
      </c>
      <c r="G17" s="23"/>
      <c r="H17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7" s="23"/>
      <c r="J17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7" s="23"/>
      <c r="L17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7" s="23"/>
      <c r="N17" s="33" t="str">
        <f>IFERROR(__xludf.DUMMYFUNCTION("indirect(""Dupe!N""&amp;row())&amp;if(regexmatch(indirect(""C""&amp;row()),""Widen""),""
Widened
Any numeric measurements of the spell’s area increase by 100%"","""")"),"")</f>
        <v/>
      </c>
      <c r="O17" s="23"/>
      <c r="P17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7" s="23"/>
      <c r="R17" s="33" t="str">
        <f t="shared" si="3"/>
        <v/>
      </c>
      <c r="S17" s="23"/>
      <c r="T17" s="33" t="str">
        <f t="shared" si="4"/>
        <v/>
      </c>
      <c r="U17" s="23"/>
      <c r="V17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7" s="10"/>
      <c r="X17" s="10"/>
      <c r="Y17" s="23"/>
      <c r="Z17" s="36"/>
      <c r="AA17" s="24"/>
    </row>
    <row r="18">
      <c r="A18" s="2"/>
      <c r="B18" s="37"/>
      <c r="C18" s="37"/>
      <c r="D18" s="26" t="str">
        <f t="shared" si="1"/>
        <v/>
      </c>
      <c r="E18" s="18"/>
      <c r="F18" s="27" t="str">
        <f t="shared" si="2"/>
        <v/>
      </c>
      <c r="G18" s="18"/>
      <c r="H18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8" s="18"/>
      <c r="J18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8" s="18"/>
      <c r="L18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8" s="18"/>
      <c r="N18" s="27" t="str">
        <f>IFERROR(__xludf.DUMMYFUNCTION("indirect(""Dupe!N""&amp;row())&amp;if(regexmatch(indirect(""C""&amp;row()),""Widen""),""
Widened
Any numeric measurements of the spell’s area increase by 100%"","""")"),"")</f>
        <v/>
      </c>
      <c r="O18" s="18"/>
      <c r="P18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8" s="18"/>
      <c r="R18" s="27" t="str">
        <f t="shared" si="3"/>
        <v/>
      </c>
      <c r="S18" s="18"/>
      <c r="T18" s="27" t="str">
        <f t="shared" si="4"/>
        <v/>
      </c>
      <c r="U18" s="18"/>
      <c r="V18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8" s="4"/>
      <c r="X18" s="4"/>
      <c r="Y18" s="18"/>
      <c r="Z18" s="38"/>
      <c r="AA18" s="39"/>
    </row>
    <row r="19">
      <c r="A19" s="2"/>
      <c r="B19" s="40"/>
      <c r="C19" s="40"/>
      <c r="D19" s="32" t="str">
        <f t="shared" si="1"/>
        <v/>
      </c>
      <c r="E19" s="23"/>
      <c r="F19" s="33" t="str">
        <f t="shared" si="2"/>
        <v/>
      </c>
      <c r="G19" s="23"/>
      <c r="H19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9" s="23"/>
      <c r="J19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9" s="23"/>
      <c r="L19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9" s="23"/>
      <c r="N19" s="33" t="str">
        <f>IFERROR(__xludf.DUMMYFUNCTION("indirect(""Dupe!N""&amp;row())&amp;if(regexmatch(indirect(""C""&amp;row()),""Widen""),""
Widened
Any numeric measurements of the spell’s area increase by 100%"","""")"),"")</f>
        <v/>
      </c>
      <c r="O19" s="23"/>
      <c r="P19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9" s="23"/>
      <c r="R19" s="33" t="str">
        <f t="shared" si="3"/>
        <v/>
      </c>
      <c r="S19" s="23"/>
      <c r="T19" s="33" t="str">
        <f t="shared" si="4"/>
        <v/>
      </c>
      <c r="U19" s="23"/>
      <c r="V19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9" s="10"/>
      <c r="X19" s="10"/>
      <c r="Y19" s="23"/>
      <c r="Z19" s="36"/>
      <c r="AA19" s="41"/>
    </row>
    <row r="20">
      <c r="A20" s="2"/>
      <c r="B20" s="37"/>
      <c r="C20" s="37"/>
      <c r="D20" s="26" t="str">
        <f t="shared" si="1"/>
        <v/>
      </c>
      <c r="E20" s="18"/>
      <c r="F20" s="27" t="str">
        <f t="shared" si="2"/>
        <v/>
      </c>
      <c r="G20" s="18"/>
      <c r="H20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0" s="18"/>
      <c r="J20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0" s="18"/>
      <c r="L20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0" s="18"/>
      <c r="N20" s="27" t="str">
        <f>IFERROR(__xludf.DUMMYFUNCTION("indirect(""Dupe!N""&amp;row())&amp;if(regexmatch(indirect(""C""&amp;row()),""Widen""),""
Widened
Any numeric measurements of the spell’s area increase by 100%"","""")"),"")</f>
        <v/>
      </c>
      <c r="O20" s="18"/>
      <c r="P20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0" s="18"/>
      <c r="R20" s="27" t="str">
        <f t="shared" si="3"/>
        <v/>
      </c>
      <c r="S20" s="18"/>
      <c r="T20" s="27" t="str">
        <f t="shared" si="4"/>
        <v/>
      </c>
      <c r="U20" s="18"/>
      <c r="V20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0" s="4"/>
      <c r="X20" s="4"/>
      <c r="Y20" s="18"/>
      <c r="Z20" s="38"/>
      <c r="AA20" s="41"/>
    </row>
    <row r="21">
      <c r="A21" s="2"/>
      <c r="B21" s="40"/>
      <c r="C21" s="40"/>
      <c r="D21" s="32" t="str">
        <f t="shared" si="1"/>
        <v/>
      </c>
      <c r="E21" s="23"/>
      <c r="F21" s="33" t="str">
        <f t="shared" si="2"/>
        <v/>
      </c>
      <c r="G21" s="23"/>
      <c r="H21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1" s="23"/>
      <c r="J21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1" s="23"/>
      <c r="L21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1" s="23"/>
      <c r="N21" s="33" t="str">
        <f>IFERROR(__xludf.DUMMYFUNCTION("indirect(""Dupe!N""&amp;row())&amp;if(regexmatch(indirect(""C""&amp;row()),""Widen""),""
Widened
Any numeric measurements of the spell’s area increase by 100%"","""")"),"")</f>
        <v/>
      </c>
      <c r="O21" s="23"/>
      <c r="P21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1" s="23"/>
      <c r="R21" s="33" t="str">
        <f t="shared" si="3"/>
        <v/>
      </c>
      <c r="S21" s="23"/>
      <c r="T21" s="33" t="str">
        <f t="shared" si="4"/>
        <v/>
      </c>
      <c r="U21" s="23"/>
      <c r="V21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1" s="10"/>
      <c r="X21" s="10"/>
      <c r="Y21" s="23"/>
      <c r="Z21" s="36"/>
      <c r="AA21" s="41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6" t="s">
        <v>28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7" t="s">
        <v>14</v>
      </c>
      <c r="W23" s="4"/>
      <c r="X23" s="18"/>
      <c r="Y23" s="19" t="str">
        <f>SUM(Z25:Z34)&amp;"/"&amp;if(dget(base_spells,"1st",F2:F3),dget(base_spells,"1st",F2:F3)+dget(bonus_spells,"1st",H2:H3),0)</f>
        <v>0/1</v>
      </c>
      <c r="Z23" s="42"/>
    </row>
    <row r="24">
      <c r="A24" s="2"/>
      <c r="B24" s="21" t="s">
        <v>15</v>
      </c>
      <c r="C24" s="21" t="s">
        <v>16</v>
      </c>
      <c r="D24" s="22" t="s">
        <v>17</v>
      </c>
      <c r="E24" s="23"/>
      <c r="F24" s="22" t="s">
        <v>18</v>
      </c>
      <c r="G24" s="23"/>
      <c r="H24" s="22" t="s">
        <v>19</v>
      </c>
      <c r="I24" s="23"/>
      <c r="J24" s="22" t="s">
        <v>20</v>
      </c>
      <c r="K24" s="23"/>
      <c r="L24" s="22" t="s">
        <v>21</v>
      </c>
      <c r="M24" s="23"/>
      <c r="N24" s="22" t="s">
        <v>22</v>
      </c>
      <c r="O24" s="23"/>
      <c r="P24" s="22" t="s">
        <v>23</v>
      </c>
      <c r="Q24" s="23"/>
      <c r="R24" s="22" t="s">
        <v>24</v>
      </c>
      <c r="S24" s="23"/>
      <c r="T24" s="22" t="s">
        <v>25</v>
      </c>
      <c r="U24" s="23"/>
      <c r="V24" s="22" t="s">
        <v>26</v>
      </c>
      <c r="W24" s="10"/>
      <c r="X24" s="10"/>
      <c r="Y24" s="23"/>
      <c r="Z24" s="21" t="s">
        <v>27</v>
      </c>
    </row>
    <row r="25">
      <c r="A25" s="2"/>
      <c r="B25" s="25"/>
      <c r="C25" s="25"/>
      <c r="D25" s="26" t="str">
        <f t="shared" ref="D25:D34" si="5">indirect("Dupe!D"&amp;ROW())</f>
        <v/>
      </c>
      <c r="E25" s="18"/>
      <c r="F25" s="27" t="str">
        <f t="shared" ref="F25:F34" si="6">indirect("Dupe!F"&amp;ROW())</f>
        <v/>
      </c>
      <c r="G25" s="18"/>
      <c r="H2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5" s="18"/>
      <c r="J2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5" s="18"/>
      <c r="L2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5" s="18"/>
      <c r="N25" s="27" t="str">
        <f>IFERROR(__xludf.DUMMYFUNCTION("indirect(""Dupe!N""&amp;row())&amp;if(regexmatch(indirect(""C""&amp;row()),""Widen""),""
Widened
Any numeric measurements of the spell’s area increase by 100%"","""")"),"")</f>
        <v/>
      </c>
      <c r="O25" s="18"/>
      <c r="P2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5" s="18"/>
      <c r="R25" s="27" t="str">
        <f t="shared" ref="R25:R34" si="7">indirect("Dupe!R"&amp;row())</f>
        <v/>
      </c>
      <c r="S25" s="18"/>
      <c r="T25" s="27" t="str">
        <f t="shared" ref="T25:T34" si="8">indirect("Dupe!T"&amp;row())</f>
        <v/>
      </c>
      <c r="U25" s="18"/>
      <c r="V2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5" s="4"/>
      <c r="X25" s="4"/>
      <c r="Y25" s="18"/>
      <c r="Z25" s="30"/>
    </row>
    <row r="26">
      <c r="A26" s="2"/>
      <c r="B26" s="43"/>
      <c r="C26" s="31"/>
      <c r="D26" s="32" t="str">
        <f t="shared" si="5"/>
        <v/>
      </c>
      <c r="E26" s="23"/>
      <c r="F26" s="33" t="str">
        <f t="shared" si="6"/>
        <v/>
      </c>
      <c r="G26" s="23"/>
      <c r="H2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6" s="23"/>
      <c r="J2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6" s="23"/>
      <c r="L2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6" s="23"/>
      <c r="N26" s="33" t="str">
        <f>IFERROR(__xludf.DUMMYFUNCTION("indirect(""Dupe!N""&amp;row())&amp;if(regexmatch(indirect(""C""&amp;row()),""Widen""),""
Widened
Any numeric measurements of the spell’s area increase by 100%"","""")"),"")</f>
        <v/>
      </c>
      <c r="O26" s="23"/>
      <c r="P2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6" s="23"/>
      <c r="R26" s="33" t="str">
        <f t="shared" si="7"/>
        <v/>
      </c>
      <c r="S26" s="23"/>
      <c r="T26" s="33" t="str">
        <f t="shared" si="8"/>
        <v/>
      </c>
      <c r="U26" s="23"/>
      <c r="V2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6" s="10"/>
      <c r="X26" s="10"/>
      <c r="Y26" s="23"/>
      <c r="Z26" s="36"/>
    </row>
    <row r="27">
      <c r="A27" s="2"/>
      <c r="B27" s="25"/>
      <c r="C27" s="37"/>
      <c r="D27" s="26" t="str">
        <f t="shared" si="5"/>
        <v/>
      </c>
      <c r="E27" s="18"/>
      <c r="F27" s="27" t="str">
        <f t="shared" si="6"/>
        <v/>
      </c>
      <c r="G27" s="18"/>
      <c r="H2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7" s="18"/>
      <c r="J2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7" s="18"/>
      <c r="L2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7" s="18"/>
      <c r="N27" s="27" t="str">
        <f>IFERROR(__xludf.DUMMYFUNCTION("indirect(""Dupe!N""&amp;row())&amp;if(regexmatch(indirect(""C""&amp;row()),""Widen""),""
Widened
Any numeric measurements of the spell’s area increase by 100%"","""")"),"")</f>
        <v/>
      </c>
      <c r="O27" s="18"/>
      <c r="P2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7" s="18"/>
      <c r="R27" s="27" t="str">
        <f t="shared" si="7"/>
        <v/>
      </c>
      <c r="S27" s="18"/>
      <c r="T27" s="27" t="str">
        <f t="shared" si="8"/>
        <v/>
      </c>
      <c r="U27" s="18"/>
      <c r="V2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7" s="4"/>
      <c r="X27" s="4"/>
      <c r="Y27" s="18"/>
      <c r="Z27" s="38"/>
    </row>
    <row r="28">
      <c r="A28" s="2"/>
      <c r="B28" s="43"/>
      <c r="C28" s="40"/>
      <c r="D28" s="32" t="str">
        <f t="shared" si="5"/>
        <v/>
      </c>
      <c r="E28" s="23"/>
      <c r="F28" s="33" t="str">
        <f t="shared" si="6"/>
        <v/>
      </c>
      <c r="G28" s="23"/>
      <c r="H2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8" s="23"/>
      <c r="J2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8" s="23"/>
      <c r="L2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8" s="23"/>
      <c r="N28" s="33" t="str">
        <f>IFERROR(__xludf.DUMMYFUNCTION("indirect(""Dupe!N""&amp;row())&amp;if(regexmatch(indirect(""C""&amp;row()),""Widen""),""
Widened
Any numeric measurements of the spell’s area increase by 100%"","""")"),"")</f>
        <v/>
      </c>
      <c r="O28" s="23"/>
      <c r="P2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8" s="23"/>
      <c r="R28" s="33" t="str">
        <f t="shared" si="7"/>
        <v/>
      </c>
      <c r="S28" s="23"/>
      <c r="T28" s="33" t="str">
        <f t="shared" si="8"/>
        <v/>
      </c>
      <c r="U28" s="23"/>
      <c r="V2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8" s="10"/>
      <c r="X28" s="10"/>
      <c r="Y28" s="23"/>
      <c r="Z28" s="36"/>
    </row>
    <row r="29">
      <c r="A29" s="2"/>
      <c r="B29" s="25"/>
      <c r="C29" s="37"/>
      <c r="D29" s="26" t="str">
        <f t="shared" si="5"/>
        <v/>
      </c>
      <c r="E29" s="18"/>
      <c r="F29" s="27" t="str">
        <f t="shared" si="6"/>
        <v/>
      </c>
      <c r="G29" s="18"/>
      <c r="H2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29" s="18"/>
      <c r="J2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29" s="18"/>
      <c r="L2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29" s="18"/>
      <c r="N29" s="27" t="str">
        <f>IFERROR(__xludf.DUMMYFUNCTION("indirect(""Dupe!N""&amp;row())&amp;if(regexmatch(indirect(""C""&amp;row()),""Widen""),""
Widened
Any numeric measurements of the spell’s area increase by 100%"","""")"),"")</f>
        <v/>
      </c>
      <c r="O29" s="18"/>
      <c r="P2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29" s="18"/>
      <c r="R29" s="27" t="str">
        <f t="shared" si="7"/>
        <v/>
      </c>
      <c r="S29" s="18"/>
      <c r="T29" s="27" t="str">
        <f t="shared" si="8"/>
        <v/>
      </c>
      <c r="U29" s="18"/>
      <c r="V2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29" s="4"/>
      <c r="X29" s="4"/>
      <c r="Y29" s="18"/>
      <c r="Z29" s="38"/>
    </row>
    <row r="30">
      <c r="A30" s="2"/>
      <c r="B30" s="43"/>
      <c r="C30" s="43"/>
      <c r="D30" s="32" t="str">
        <f t="shared" si="5"/>
        <v/>
      </c>
      <c r="E30" s="23"/>
      <c r="F30" s="33" t="str">
        <f t="shared" si="6"/>
        <v/>
      </c>
      <c r="G30" s="23"/>
      <c r="H3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0" s="23"/>
      <c r="J3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0" s="23"/>
      <c r="L3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0" s="23"/>
      <c r="N30" s="33" t="str">
        <f>IFERROR(__xludf.DUMMYFUNCTION("indirect(""Dupe!N""&amp;row())&amp;if(regexmatch(indirect(""C""&amp;row()),""Widen""),""
Widened
Any numeric measurements of the spell’s area increase by 100%"","""")"),"")</f>
        <v/>
      </c>
      <c r="O30" s="23"/>
      <c r="P3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0" s="23"/>
      <c r="R30" s="33" t="str">
        <f t="shared" si="7"/>
        <v/>
      </c>
      <c r="S30" s="23"/>
      <c r="T30" s="33" t="str">
        <f t="shared" si="8"/>
        <v/>
      </c>
      <c r="U30" s="23"/>
      <c r="V3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0" s="10"/>
      <c r="X30" s="10"/>
      <c r="Y30" s="23"/>
      <c r="Z30" s="36"/>
    </row>
    <row r="31">
      <c r="A31" s="2"/>
      <c r="B31" s="25"/>
      <c r="C31" s="44"/>
      <c r="D31" s="26" t="str">
        <f t="shared" si="5"/>
        <v/>
      </c>
      <c r="E31" s="18"/>
      <c r="F31" s="27" t="str">
        <f t="shared" si="6"/>
        <v/>
      </c>
      <c r="G31" s="18"/>
      <c r="H3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1" s="18"/>
      <c r="J3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1" s="18"/>
      <c r="L3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1" s="18"/>
      <c r="N31" s="27" t="str">
        <f>IFERROR(__xludf.DUMMYFUNCTION("indirect(""Dupe!N""&amp;row())&amp;if(regexmatch(indirect(""C""&amp;row()),""Widen""),""
Widened
Any numeric measurements of the spell’s area increase by 100%"","""")"),"")</f>
        <v/>
      </c>
      <c r="O31" s="18"/>
      <c r="P3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1" s="18"/>
      <c r="R31" s="27" t="str">
        <f t="shared" si="7"/>
        <v/>
      </c>
      <c r="S31" s="18"/>
      <c r="T31" s="27" t="str">
        <f t="shared" si="8"/>
        <v/>
      </c>
      <c r="U31" s="18"/>
      <c r="V3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1" s="4"/>
      <c r="X31" s="4"/>
      <c r="Y31" s="18"/>
      <c r="Z31" s="38"/>
    </row>
    <row r="32">
      <c r="A32" s="2"/>
      <c r="B32" s="43"/>
      <c r="C32" s="40"/>
      <c r="D32" s="32" t="str">
        <f t="shared" si="5"/>
        <v/>
      </c>
      <c r="E32" s="23"/>
      <c r="F32" s="33" t="str">
        <f t="shared" si="6"/>
        <v/>
      </c>
      <c r="G32" s="23"/>
      <c r="H3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2" s="23"/>
      <c r="J3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2" s="23"/>
      <c r="L3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2" s="23"/>
      <c r="N32" s="33" t="str">
        <f>IFERROR(__xludf.DUMMYFUNCTION("indirect(""Dupe!N""&amp;row())&amp;if(regexmatch(indirect(""C""&amp;row()),""Widen""),""
Widened
Any numeric measurements of the spell’s area increase by 100%"","""")"),"")</f>
        <v/>
      </c>
      <c r="O32" s="23"/>
      <c r="P3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2" s="23"/>
      <c r="R32" s="33" t="str">
        <f t="shared" si="7"/>
        <v/>
      </c>
      <c r="S32" s="23"/>
      <c r="T32" s="33" t="str">
        <f t="shared" si="8"/>
        <v/>
      </c>
      <c r="U32" s="23"/>
      <c r="V3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2" s="10"/>
      <c r="X32" s="10"/>
      <c r="Y32" s="23"/>
      <c r="Z32" s="36"/>
    </row>
    <row r="33">
      <c r="A33" s="2"/>
      <c r="B33" s="25"/>
      <c r="C33" s="37"/>
      <c r="D33" s="26" t="str">
        <f t="shared" si="5"/>
        <v/>
      </c>
      <c r="E33" s="18"/>
      <c r="F33" s="27" t="str">
        <f t="shared" si="6"/>
        <v/>
      </c>
      <c r="G33" s="18"/>
      <c r="H3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3" s="18"/>
      <c r="J3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3" s="18"/>
      <c r="L3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3" s="18"/>
      <c r="N33" s="27" t="str">
        <f>IFERROR(__xludf.DUMMYFUNCTION("indirect(""Dupe!N""&amp;row())&amp;if(regexmatch(indirect(""C""&amp;row()),""Widen""),""
Widened
Any numeric measurements of the spell’s area increase by 100%"","""")"),"")</f>
        <v/>
      </c>
      <c r="O33" s="18"/>
      <c r="P3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3" s="18"/>
      <c r="R33" s="27" t="str">
        <f t="shared" si="7"/>
        <v/>
      </c>
      <c r="S33" s="18"/>
      <c r="T33" s="27" t="str">
        <f t="shared" si="8"/>
        <v/>
      </c>
      <c r="U33" s="18"/>
      <c r="V3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3" s="4"/>
      <c r="X33" s="4"/>
      <c r="Y33" s="18"/>
      <c r="Z33" s="38"/>
    </row>
    <row r="34">
      <c r="A34" s="2"/>
      <c r="B34" s="43"/>
      <c r="C34" s="40"/>
      <c r="D34" s="32" t="str">
        <f t="shared" si="5"/>
        <v/>
      </c>
      <c r="E34" s="23"/>
      <c r="F34" s="33" t="str">
        <f t="shared" si="6"/>
        <v/>
      </c>
      <c r="G34" s="23"/>
      <c r="H3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4" s="23"/>
      <c r="J3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4" s="23"/>
      <c r="L3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4" s="23"/>
      <c r="N34" s="33" t="str">
        <f>IFERROR(__xludf.DUMMYFUNCTION("indirect(""Dupe!N""&amp;row())&amp;if(regexmatch(indirect(""C""&amp;row()),""Widen""),""
Widened
Any numeric measurements of the spell’s area increase by 100%"","""")"),"")</f>
        <v/>
      </c>
      <c r="O34" s="23"/>
      <c r="P3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4" s="23"/>
      <c r="R34" s="33" t="str">
        <f t="shared" si="7"/>
        <v/>
      </c>
      <c r="S34" s="23"/>
      <c r="T34" s="33" t="str">
        <f t="shared" si="8"/>
        <v/>
      </c>
      <c r="U34" s="23"/>
      <c r="V3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4" s="10"/>
      <c r="X34" s="10"/>
      <c r="Y34" s="23"/>
      <c r="Z34" s="36"/>
    </row>
    <row r="35">
      <c r="A35" s="2"/>
      <c r="B35" s="16" t="s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7" t="s">
        <v>14</v>
      </c>
      <c r="W35" s="4"/>
      <c r="X35" s="18"/>
      <c r="Y35" s="19" t="str">
        <f>SUM(Z37)&amp;"/"&amp;if(dget(base_spells,"1st",F2:F3),1,0)</f>
        <v>0/1</v>
      </c>
      <c r="Z35" s="45"/>
    </row>
    <row r="36">
      <c r="A36" s="2"/>
      <c r="B36" s="21" t="s">
        <v>15</v>
      </c>
      <c r="C36" s="21" t="s">
        <v>16</v>
      </c>
      <c r="D36" s="22" t="s">
        <v>17</v>
      </c>
      <c r="E36" s="23"/>
      <c r="F36" s="22" t="s">
        <v>18</v>
      </c>
      <c r="G36" s="23"/>
      <c r="H36" s="22" t="s">
        <v>19</v>
      </c>
      <c r="I36" s="23"/>
      <c r="J36" s="22" t="s">
        <v>20</v>
      </c>
      <c r="K36" s="23"/>
      <c r="L36" s="22" t="s">
        <v>21</v>
      </c>
      <c r="M36" s="23"/>
      <c r="N36" s="22" t="s">
        <v>22</v>
      </c>
      <c r="O36" s="23"/>
      <c r="P36" s="22" t="s">
        <v>23</v>
      </c>
      <c r="Q36" s="23"/>
      <c r="R36" s="22" t="s">
        <v>24</v>
      </c>
      <c r="S36" s="23"/>
      <c r="T36" s="22" t="s">
        <v>25</v>
      </c>
      <c r="U36" s="23"/>
      <c r="V36" s="22" t="s">
        <v>26</v>
      </c>
      <c r="W36" s="10"/>
      <c r="X36" s="10"/>
      <c r="Y36" s="23"/>
      <c r="Z36" s="21" t="s">
        <v>27</v>
      </c>
    </row>
    <row r="37">
      <c r="A37" s="2"/>
      <c r="B37" s="25"/>
      <c r="C37" s="25"/>
      <c r="D37" s="26" t="str">
        <f>indirect("Dupe!D"&amp;ROW())</f>
        <v/>
      </c>
      <c r="E37" s="18"/>
      <c r="F37" s="27" t="str">
        <f>indirect("Dupe!F"&amp;ROW())</f>
        <v/>
      </c>
      <c r="G37" s="18"/>
      <c r="H3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37" s="18"/>
      <c r="J3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37" s="18"/>
      <c r="L3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37" s="18"/>
      <c r="N37" s="27" t="str">
        <f>IFERROR(__xludf.DUMMYFUNCTION("indirect(""Dupe!N""&amp;row())&amp;if(regexmatch(indirect(""C""&amp;row()),""Widen""),""
Widened
Any numeric measurements of the spell’s area increase by 100%"","""")"),"")</f>
        <v/>
      </c>
      <c r="O37" s="18"/>
      <c r="P3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37" s="18"/>
      <c r="R37" s="27" t="str">
        <f>indirect("Dupe!R"&amp;row())</f>
        <v/>
      </c>
      <c r="S37" s="18"/>
      <c r="T37" s="27" t="str">
        <f>indirect("Dupe!T"&amp;row())</f>
        <v/>
      </c>
      <c r="U37" s="18"/>
      <c r="V3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37" s="4"/>
      <c r="X37" s="4"/>
      <c r="Y37" s="18"/>
      <c r="Z37" s="30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6" t="s">
        <v>30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7" t="s">
        <v>14</v>
      </c>
      <c r="W39" s="4"/>
      <c r="X39" s="18"/>
      <c r="Y39" s="19" t="str">
        <f>SUM(Z41:Z50)&amp;"/"&amp;if(dget(base_spells,"2nd",F2:F3),dget(base_spells,"2nd",F2:F3)+dget(bonus_spells,"2nd",H2:H3),0)</f>
        <v>0/0</v>
      </c>
      <c r="Z39" s="42"/>
    </row>
    <row r="40">
      <c r="A40" s="2"/>
      <c r="B40" s="21" t="s">
        <v>15</v>
      </c>
      <c r="C40" s="21" t="s">
        <v>16</v>
      </c>
      <c r="D40" s="22" t="s">
        <v>17</v>
      </c>
      <c r="E40" s="23"/>
      <c r="F40" s="22" t="s">
        <v>18</v>
      </c>
      <c r="G40" s="23"/>
      <c r="H40" s="22" t="s">
        <v>19</v>
      </c>
      <c r="I40" s="23"/>
      <c r="J40" s="22" t="s">
        <v>20</v>
      </c>
      <c r="K40" s="23"/>
      <c r="L40" s="22" t="s">
        <v>21</v>
      </c>
      <c r="M40" s="23"/>
      <c r="N40" s="22" t="s">
        <v>22</v>
      </c>
      <c r="O40" s="23"/>
      <c r="P40" s="22" t="s">
        <v>23</v>
      </c>
      <c r="Q40" s="23"/>
      <c r="R40" s="22" t="s">
        <v>24</v>
      </c>
      <c r="S40" s="23"/>
      <c r="T40" s="22" t="s">
        <v>25</v>
      </c>
      <c r="U40" s="23"/>
      <c r="V40" s="22" t="s">
        <v>26</v>
      </c>
      <c r="W40" s="10"/>
      <c r="X40" s="10"/>
      <c r="Y40" s="23"/>
      <c r="Z40" s="21" t="s">
        <v>27</v>
      </c>
    </row>
    <row r="41">
      <c r="A41" s="2"/>
      <c r="B41" s="25"/>
      <c r="C41" s="25"/>
      <c r="D41" s="26" t="str">
        <f t="shared" ref="D41:D50" si="9">indirect("Dupe!D"&amp;ROW())</f>
        <v/>
      </c>
      <c r="E41" s="18"/>
      <c r="F41" s="27" t="str">
        <f t="shared" ref="F41:F50" si="10">indirect("Dupe!F"&amp;ROW())</f>
        <v/>
      </c>
      <c r="G41" s="18"/>
      <c r="H4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1" s="18"/>
      <c r="J4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1" s="18"/>
      <c r="L4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1" s="18"/>
      <c r="N41" s="27" t="str">
        <f>IFERROR(__xludf.DUMMYFUNCTION("indirect(""Dupe!N""&amp;row())&amp;if(regexmatch(indirect(""C""&amp;row()),""Widen""),""
Widened
Any numeric measurements of the spell’s area increase by 100%"","""")"),"")</f>
        <v/>
      </c>
      <c r="O41" s="18"/>
      <c r="P4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1" s="18"/>
      <c r="R41" s="27" t="str">
        <f t="shared" ref="R41:R50" si="11">indirect("Dupe!R"&amp;row())</f>
        <v/>
      </c>
      <c r="S41" s="18"/>
      <c r="T41" s="27" t="str">
        <f t="shared" ref="T41:T50" si="12">indirect("Dupe!T"&amp;row())</f>
        <v/>
      </c>
      <c r="U41" s="18"/>
      <c r="V4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1" s="4"/>
      <c r="X41" s="4"/>
      <c r="Y41" s="18"/>
      <c r="Z41" s="38"/>
    </row>
    <row r="42">
      <c r="A42" s="2"/>
      <c r="B42" s="43"/>
      <c r="C42" s="31"/>
      <c r="D42" s="32" t="str">
        <f t="shared" si="9"/>
        <v/>
      </c>
      <c r="E42" s="23"/>
      <c r="F42" s="33" t="str">
        <f t="shared" si="10"/>
        <v/>
      </c>
      <c r="G42" s="23"/>
      <c r="H4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2" s="23"/>
      <c r="J4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2" s="23"/>
      <c r="L4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2" s="23"/>
      <c r="N42" s="33" t="str">
        <f>IFERROR(__xludf.DUMMYFUNCTION("indirect(""Dupe!N""&amp;row())&amp;if(regexmatch(indirect(""C""&amp;row()),""Widen""),""
Widened
Any numeric measurements of the spell’s area increase by 100%"","""")"),"")</f>
        <v/>
      </c>
      <c r="O42" s="23"/>
      <c r="P4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2" s="23"/>
      <c r="R42" s="33" t="str">
        <f t="shared" si="11"/>
        <v/>
      </c>
      <c r="S42" s="23"/>
      <c r="T42" s="33" t="str">
        <f t="shared" si="12"/>
        <v/>
      </c>
      <c r="U42" s="23"/>
      <c r="V4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2" s="10"/>
      <c r="X42" s="10"/>
      <c r="Y42" s="23"/>
      <c r="Z42" s="36"/>
    </row>
    <row r="43">
      <c r="A43" s="2"/>
      <c r="B43" s="25"/>
      <c r="C43" s="37"/>
      <c r="D43" s="26" t="str">
        <f t="shared" si="9"/>
        <v/>
      </c>
      <c r="E43" s="18"/>
      <c r="F43" s="27" t="str">
        <f t="shared" si="10"/>
        <v/>
      </c>
      <c r="G43" s="18"/>
      <c r="H4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3" s="18"/>
      <c r="J4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3" s="18"/>
      <c r="L4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3" s="18"/>
      <c r="N43" s="27" t="str">
        <f>IFERROR(__xludf.DUMMYFUNCTION("indirect(""Dupe!N""&amp;row())&amp;if(regexmatch(indirect(""C""&amp;row()),""Widen""),""
Widened
Any numeric measurements of the spell’s area increase by 100%"","""")"),"")</f>
        <v/>
      </c>
      <c r="O43" s="18"/>
      <c r="P4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3" s="18"/>
      <c r="R43" s="27" t="str">
        <f t="shared" si="11"/>
        <v/>
      </c>
      <c r="S43" s="18"/>
      <c r="T43" s="27" t="str">
        <f t="shared" si="12"/>
        <v/>
      </c>
      <c r="U43" s="18"/>
      <c r="V4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3" s="4"/>
      <c r="X43" s="4"/>
      <c r="Y43" s="18"/>
      <c r="Z43" s="38"/>
    </row>
    <row r="44">
      <c r="A44" s="2"/>
      <c r="B44" s="43"/>
      <c r="C44" s="40"/>
      <c r="D44" s="32" t="str">
        <f t="shared" si="9"/>
        <v/>
      </c>
      <c r="E44" s="23"/>
      <c r="F44" s="33" t="str">
        <f t="shared" si="10"/>
        <v/>
      </c>
      <c r="G44" s="23"/>
      <c r="H4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4" s="23"/>
      <c r="J4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4" s="23"/>
      <c r="L4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4" s="23"/>
      <c r="N44" s="33" t="str">
        <f>IFERROR(__xludf.DUMMYFUNCTION("indirect(""Dupe!N""&amp;row())&amp;if(regexmatch(indirect(""C""&amp;row()),""Widen""),""
Widened
Any numeric measurements of the spell’s area increase by 100%"","""")"),"")</f>
        <v/>
      </c>
      <c r="O44" s="23"/>
      <c r="P4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4" s="23"/>
      <c r="R44" s="33" t="str">
        <f t="shared" si="11"/>
        <v/>
      </c>
      <c r="S44" s="23"/>
      <c r="T44" s="33" t="str">
        <f t="shared" si="12"/>
        <v/>
      </c>
      <c r="U44" s="23"/>
      <c r="V4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4" s="10"/>
      <c r="X44" s="10"/>
      <c r="Y44" s="23"/>
      <c r="Z44" s="36"/>
    </row>
    <row r="45">
      <c r="A45" s="2"/>
      <c r="B45" s="25"/>
      <c r="C45" s="37"/>
      <c r="D45" s="26" t="str">
        <f t="shared" si="9"/>
        <v/>
      </c>
      <c r="E45" s="18"/>
      <c r="F45" s="27" t="str">
        <f t="shared" si="10"/>
        <v/>
      </c>
      <c r="G45" s="18"/>
      <c r="H4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5" s="18"/>
      <c r="J4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5" s="18"/>
      <c r="L4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5" s="18"/>
      <c r="N45" s="27" t="str">
        <f>IFERROR(__xludf.DUMMYFUNCTION("indirect(""Dupe!N""&amp;row())&amp;if(regexmatch(indirect(""C""&amp;row()),""Widen""),""
Widened
Any numeric measurements of the spell’s area increase by 100%"","""")"),"")</f>
        <v/>
      </c>
      <c r="O45" s="18"/>
      <c r="P4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5" s="18"/>
      <c r="R45" s="27" t="str">
        <f t="shared" si="11"/>
        <v/>
      </c>
      <c r="S45" s="18"/>
      <c r="T45" s="27" t="str">
        <f t="shared" si="12"/>
        <v/>
      </c>
      <c r="U45" s="18"/>
      <c r="V4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5" s="4"/>
      <c r="X45" s="4"/>
      <c r="Y45" s="18"/>
      <c r="Z45" s="38"/>
    </row>
    <row r="46">
      <c r="A46" s="2"/>
      <c r="B46" s="43"/>
      <c r="C46" s="43"/>
      <c r="D46" s="32" t="str">
        <f t="shared" si="9"/>
        <v/>
      </c>
      <c r="E46" s="23"/>
      <c r="F46" s="33" t="str">
        <f t="shared" si="10"/>
        <v/>
      </c>
      <c r="G46" s="23"/>
      <c r="H4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6" s="23"/>
      <c r="J4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6" s="23"/>
      <c r="L4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6" s="23"/>
      <c r="N46" s="33" t="str">
        <f>IFERROR(__xludf.DUMMYFUNCTION("indirect(""Dupe!N""&amp;row())&amp;if(regexmatch(indirect(""C""&amp;row()),""Widen""),""
Widened
Any numeric measurements of the spell’s area increase by 100%"","""")"),"")</f>
        <v/>
      </c>
      <c r="O46" s="23"/>
      <c r="P4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6" s="23"/>
      <c r="R46" s="33" t="str">
        <f t="shared" si="11"/>
        <v/>
      </c>
      <c r="S46" s="23"/>
      <c r="T46" s="33" t="str">
        <f t="shared" si="12"/>
        <v/>
      </c>
      <c r="U46" s="23"/>
      <c r="V4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6" s="10"/>
      <c r="X46" s="10"/>
      <c r="Y46" s="23"/>
      <c r="Z46" s="36"/>
    </row>
    <row r="47">
      <c r="A47" s="2"/>
      <c r="B47" s="25"/>
      <c r="C47" s="44"/>
      <c r="D47" s="26" t="str">
        <f t="shared" si="9"/>
        <v/>
      </c>
      <c r="E47" s="18"/>
      <c r="F47" s="27" t="str">
        <f t="shared" si="10"/>
        <v/>
      </c>
      <c r="G47" s="18"/>
      <c r="H4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7" s="18"/>
      <c r="J4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7" s="18"/>
      <c r="L4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7" s="18"/>
      <c r="N47" s="27" t="str">
        <f>IFERROR(__xludf.DUMMYFUNCTION("indirect(""Dupe!N""&amp;row())&amp;if(regexmatch(indirect(""C""&amp;row()),""Widen""),""
Widened
Any numeric measurements of the spell’s area increase by 100%"","""")"),"")</f>
        <v/>
      </c>
      <c r="O47" s="18"/>
      <c r="P4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7" s="18"/>
      <c r="R47" s="27" t="str">
        <f t="shared" si="11"/>
        <v/>
      </c>
      <c r="S47" s="18"/>
      <c r="T47" s="27" t="str">
        <f t="shared" si="12"/>
        <v/>
      </c>
      <c r="U47" s="18"/>
      <c r="V4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7" s="4"/>
      <c r="X47" s="4"/>
      <c r="Y47" s="18"/>
      <c r="Z47" s="38"/>
    </row>
    <row r="48">
      <c r="A48" s="2"/>
      <c r="B48" s="43"/>
      <c r="C48" s="40"/>
      <c r="D48" s="32" t="str">
        <f t="shared" si="9"/>
        <v/>
      </c>
      <c r="E48" s="23"/>
      <c r="F48" s="33" t="str">
        <f t="shared" si="10"/>
        <v/>
      </c>
      <c r="G48" s="23"/>
      <c r="H4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8" s="23"/>
      <c r="J4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8" s="23"/>
      <c r="L4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8" s="23"/>
      <c r="N48" s="33" t="str">
        <f>IFERROR(__xludf.DUMMYFUNCTION("indirect(""Dupe!N""&amp;row())&amp;if(regexmatch(indirect(""C""&amp;row()),""Widen""),""
Widened
Any numeric measurements of the spell’s area increase by 100%"","""")"),"")</f>
        <v/>
      </c>
      <c r="O48" s="23"/>
      <c r="P4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8" s="23"/>
      <c r="R48" s="33" t="str">
        <f t="shared" si="11"/>
        <v/>
      </c>
      <c r="S48" s="23"/>
      <c r="T48" s="33" t="str">
        <f t="shared" si="12"/>
        <v/>
      </c>
      <c r="U48" s="23"/>
      <c r="V4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8" s="10"/>
      <c r="X48" s="10"/>
      <c r="Y48" s="23"/>
      <c r="Z48" s="36"/>
    </row>
    <row r="49">
      <c r="A49" s="2"/>
      <c r="B49" s="25"/>
      <c r="C49" s="37"/>
      <c r="D49" s="26" t="str">
        <f t="shared" si="9"/>
        <v/>
      </c>
      <c r="E49" s="18"/>
      <c r="F49" s="27" t="str">
        <f t="shared" si="10"/>
        <v/>
      </c>
      <c r="G49" s="18"/>
      <c r="H4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49" s="18"/>
      <c r="J4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49" s="18"/>
      <c r="L4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49" s="18"/>
      <c r="N49" s="27" t="str">
        <f>IFERROR(__xludf.DUMMYFUNCTION("indirect(""Dupe!N""&amp;row())&amp;if(regexmatch(indirect(""C""&amp;row()),""Widen""),""
Widened
Any numeric measurements of the spell’s area increase by 100%"","""")"),"")</f>
        <v/>
      </c>
      <c r="O49" s="18"/>
      <c r="P4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49" s="18"/>
      <c r="R49" s="27" t="str">
        <f t="shared" si="11"/>
        <v/>
      </c>
      <c r="S49" s="18"/>
      <c r="T49" s="27" t="str">
        <f t="shared" si="12"/>
        <v/>
      </c>
      <c r="U49" s="18"/>
      <c r="V4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49" s="4"/>
      <c r="X49" s="4"/>
      <c r="Y49" s="18"/>
      <c r="Z49" s="38"/>
    </row>
    <row r="50">
      <c r="A50" s="2"/>
      <c r="B50" s="43"/>
      <c r="C50" s="40"/>
      <c r="D50" s="32" t="str">
        <f t="shared" si="9"/>
        <v/>
      </c>
      <c r="E50" s="23"/>
      <c r="F50" s="33" t="str">
        <f t="shared" si="10"/>
        <v/>
      </c>
      <c r="G50" s="23"/>
      <c r="H5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0" s="23"/>
      <c r="J5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0" s="23"/>
      <c r="L5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0" s="23"/>
      <c r="N50" s="33" t="str">
        <f>IFERROR(__xludf.DUMMYFUNCTION("indirect(""Dupe!N""&amp;row())&amp;if(regexmatch(indirect(""C""&amp;row()),""Widen""),""
Widened
Any numeric measurements of the spell’s area increase by 100%"","""")"),"")</f>
        <v/>
      </c>
      <c r="O50" s="23"/>
      <c r="P5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0" s="23"/>
      <c r="R50" s="33" t="str">
        <f t="shared" si="11"/>
        <v/>
      </c>
      <c r="S50" s="23"/>
      <c r="T50" s="33" t="str">
        <f t="shared" si="12"/>
        <v/>
      </c>
      <c r="U50" s="23"/>
      <c r="V5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0" s="10"/>
      <c r="X50" s="10"/>
      <c r="Y50" s="23"/>
      <c r="Z50" s="36"/>
    </row>
    <row r="51">
      <c r="A51" s="2"/>
      <c r="B51" s="16" t="s">
        <v>31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17" t="s">
        <v>14</v>
      </c>
      <c r="W51" s="4"/>
      <c r="X51" s="18"/>
      <c r="Y51" s="19" t="str">
        <f>SUM(Z53)&amp;"/"&amp;if(dget(base_spells,"2nd",F2:F3),1,0)</f>
        <v>0/0</v>
      </c>
      <c r="Z51" s="42"/>
    </row>
    <row r="52">
      <c r="A52" s="2"/>
      <c r="B52" s="21" t="s">
        <v>15</v>
      </c>
      <c r="C52" s="21" t="s">
        <v>16</v>
      </c>
      <c r="D52" s="22" t="s">
        <v>17</v>
      </c>
      <c r="E52" s="23"/>
      <c r="F52" s="22" t="s">
        <v>18</v>
      </c>
      <c r="G52" s="23"/>
      <c r="H52" s="22" t="s">
        <v>19</v>
      </c>
      <c r="I52" s="23"/>
      <c r="J52" s="22" t="s">
        <v>20</v>
      </c>
      <c r="K52" s="23"/>
      <c r="L52" s="22" t="s">
        <v>21</v>
      </c>
      <c r="M52" s="23"/>
      <c r="N52" s="22" t="s">
        <v>22</v>
      </c>
      <c r="O52" s="23"/>
      <c r="P52" s="22" t="s">
        <v>23</v>
      </c>
      <c r="Q52" s="23"/>
      <c r="R52" s="22" t="s">
        <v>24</v>
      </c>
      <c r="S52" s="23"/>
      <c r="T52" s="22" t="s">
        <v>25</v>
      </c>
      <c r="U52" s="23"/>
      <c r="V52" s="22" t="s">
        <v>26</v>
      </c>
      <c r="W52" s="10"/>
      <c r="X52" s="10"/>
      <c r="Y52" s="23"/>
      <c r="Z52" s="21" t="s">
        <v>27</v>
      </c>
    </row>
    <row r="53">
      <c r="A53" s="2"/>
      <c r="B53" s="25"/>
      <c r="C53" s="25"/>
      <c r="D53" s="26" t="str">
        <f>indirect("Dupe!D"&amp;ROW())</f>
        <v/>
      </c>
      <c r="E53" s="18"/>
      <c r="F53" s="27" t="str">
        <f>indirect("Dupe!F"&amp;ROW())</f>
        <v/>
      </c>
      <c r="G53" s="18"/>
      <c r="H5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3" s="18"/>
      <c r="J5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3" s="18"/>
      <c r="L5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3" s="18"/>
      <c r="N53" s="27" t="str">
        <f>IFERROR(__xludf.DUMMYFUNCTION("indirect(""Dupe!N""&amp;row())&amp;if(regexmatch(indirect(""C""&amp;row()),""Widen""),""
Widened
Any numeric measurements of the spell’s area increase by 100%"","""")"),"")</f>
        <v/>
      </c>
      <c r="O53" s="18"/>
      <c r="P5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3" s="18"/>
      <c r="R53" s="27" t="str">
        <f>indirect("Dupe!R"&amp;row())</f>
        <v/>
      </c>
      <c r="S53" s="18"/>
      <c r="T53" s="27" t="str">
        <f>indirect("Dupe!T"&amp;row())</f>
        <v/>
      </c>
      <c r="U53" s="18"/>
      <c r="V5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3" s="4"/>
      <c r="X53" s="4"/>
      <c r="Y53" s="18"/>
      <c r="Z53" s="38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16" t="s">
        <v>32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17" t="s">
        <v>14</v>
      </c>
      <c r="W55" s="4"/>
      <c r="X55" s="18"/>
      <c r="Y55" s="19" t="str">
        <f>SUM(Z57:Z66)&amp;"/"&amp;if(dget(base_spells,"3rd",F2:F3),dget(base_spells,"3rd",F2:F3)+dget(bonus_spells,"3rd",H2:H3),0)</f>
        <v>0/0</v>
      </c>
      <c r="Z55" s="42"/>
    </row>
    <row r="56">
      <c r="A56" s="2"/>
      <c r="B56" s="21" t="s">
        <v>15</v>
      </c>
      <c r="C56" s="21" t="s">
        <v>16</v>
      </c>
      <c r="D56" s="22" t="s">
        <v>17</v>
      </c>
      <c r="E56" s="23"/>
      <c r="F56" s="22" t="s">
        <v>18</v>
      </c>
      <c r="G56" s="23"/>
      <c r="H56" s="22" t="s">
        <v>19</v>
      </c>
      <c r="I56" s="23"/>
      <c r="J56" s="22" t="s">
        <v>20</v>
      </c>
      <c r="K56" s="23"/>
      <c r="L56" s="22" t="s">
        <v>21</v>
      </c>
      <c r="M56" s="23"/>
      <c r="N56" s="22" t="s">
        <v>22</v>
      </c>
      <c r="O56" s="23"/>
      <c r="P56" s="22" t="s">
        <v>23</v>
      </c>
      <c r="Q56" s="23"/>
      <c r="R56" s="22" t="s">
        <v>24</v>
      </c>
      <c r="S56" s="23"/>
      <c r="T56" s="22" t="s">
        <v>25</v>
      </c>
      <c r="U56" s="23"/>
      <c r="V56" s="22" t="s">
        <v>26</v>
      </c>
      <c r="W56" s="10"/>
      <c r="X56" s="10"/>
      <c r="Y56" s="23"/>
      <c r="Z56" s="21" t="s">
        <v>27</v>
      </c>
    </row>
    <row r="57">
      <c r="A57" s="2"/>
      <c r="B57" s="25"/>
      <c r="C57" s="25"/>
      <c r="D57" s="26" t="str">
        <f t="shared" ref="D57:D66" si="13">indirect("Dupe!D"&amp;ROW())</f>
        <v/>
      </c>
      <c r="E57" s="18"/>
      <c r="F57" s="27" t="str">
        <f t="shared" ref="F57:F66" si="14">indirect("Dupe!F"&amp;ROW())</f>
        <v/>
      </c>
      <c r="G57" s="18"/>
      <c r="H5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7" s="18"/>
      <c r="J5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7" s="18"/>
      <c r="L5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7" s="18"/>
      <c r="N57" s="27" t="str">
        <f>IFERROR(__xludf.DUMMYFUNCTION("indirect(""Dupe!N""&amp;row())&amp;if(regexmatch(indirect(""C""&amp;row()),""Widen""),""
Widened
Any numeric measurements of the spell’s area increase by 100%"","""")"),"")</f>
        <v/>
      </c>
      <c r="O57" s="18"/>
      <c r="P5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7" s="18"/>
      <c r="R57" s="27" t="str">
        <f t="shared" ref="R57:R66" si="15">indirect("Dupe!R"&amp;row())</f>
        <v/>
      </c>
      <c r="S57" s="18"/>
      <c r="T57" s="27" t="str">
        <f t="shared" ref="T57:T66" si="16">indirect("Dupe!T"&amp;row())</f>
        <v/>
      </c>
      <c r="U57" s="18"/>
      <c r="V5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7" s="4"/>
      <c r="X57" s="4"/>
      <c r="Y57" s="18"/>
      <c r="Z57" s="38"/>
    </row>
    <row r="58">
      <c r="A58" s="2"/>
      <c r="B58" s="43"/>
      <c r="C58" s="31"/>
      <c r="D58" s="32" t="str">
        <f t="shared" si="13"/>
        <v/>
      </c>
      <c r="E58" s="23"/>
      <c r="F58" s="33" t="str">
        <f t="shared" si="14"/>
        <v/>
      </c>
      <c r="G58" s="23"/>
      <c r="H5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8" s="23"/>
      <c r="J5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8" s="23"/>
      <c r="L5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8" s="23"/>
      <c r="N58" s="33" t="str">
        <f>IFERROR(__xludf.DUMMYFUNCTION("indirect(""Dupe!N""&amp;row())&amp;if(regexmatch(indirect(""C""&amp;row()),""Widen""),""
Widened
Any numeric measurements of the spell’s area increase by 100%"","""")"),"")</f>
        <v/>
      </c>
      <c r="O58" s="23"/>
      <c r="P5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8" s="23"/>
      <c r="R58" s="33" t="str">
        <f t="shared" si="15"/>
        <v/>
      </c>
      <c r="S58" s="23"/>
      <c r="T58" s="33" t="str">
        <f t="shared" si="16"/>
        <v/>
      </c>
      <c r="U58" s="23"/>
      <c r="V5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8" s="10"/>
      <c r="X58" s="10"/>
      <c r="Y58" s="23"/>
      <c r="Z58" s="36"/>
    </row>
    <row r="59">
      <c r="A59" s="2"/>
      <c r="B59" s="25"/>
      <c r="C59" s="37"/>
      <c r="D59" s="26" t="str">
        <f t="shared" si="13"/>
        <v/>
      </c>
      <c r="E59" s="18"/>
      <c r="F59" s="27" t="str">
        <f t="shared" si="14"/>
        <v/>
      </c>
      <c r="G59" s="18"/>
      <c r="H5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59" s="18"/>
      <c r="J5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59" s="18"/>
      <c r="L5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59" s="18"/>
      <c r="N59" s="27" t="str">
        <f>IFERROR(__xludf.DUMMYFUNCTION("indirect(""Dupe!N""&amp;row())&amp;if(regexmatch(indirect(""C""&amp;row()),""Widen""),""
Widened
Any numeric measurements of the spell’s area increase by 100%"","""")"),"")</f>
        <v/>
      </c>
      <c r="O59" s="18"/>
      <c r="P5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59" s="18"/>
      <c r="R59" s="27" t="str">
        <f t="shared" si="15"/>
        <v/>
      </c>
      <c r="S59" s="18"/>
      <c r="T59" s="27" t="str">
        <f t="shared" si="16"/>
        <v/>
      </c>
      <c r="U59" s="18"/>
      <c r="V5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59" s="4"/>
      <c r="X59" s="4"/>
      <c r="Y59" s="18"/>
      <c r="Z59" s="38"/>
    </row>
    <row r="60">
      <c r="A60" s="2"/>
      <c r="B60" s="43"/>
      <c r="C60" s="40"/>
      <c r="D60" s="32" t="str">
        <f t="shared" si="13"/>
        <v/>
      </c>
      <c r="E60" s="23"/>
      <c r="F60" s="33" t="str">
        <f t="shared" si="14"/>
        <v/>
      </c>
      <c r="G60" s="23"/>
      <c r="H6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0" s="23"/>
      <c r="J6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0" s="23"/>
      <c r="L6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0" s="23"/>
      <c r="N60" s="33" t="str">
        <f>IFERROR(__xludf.DUMMYFUNCTION("indirect(""Dupe!N""&amp;row())&amp;if(regexmatch(indirect(""C""&amp;row()),""Widen""),""
Widened
Any numeric measurements of the spell’s area increase by 100%"","""")"),"")</f>
        <v/>
      </c>
      <c r="O60" s="23"/>
      <c r="P6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0" s="23"/>
      <c r="R60" s="33" t="str">
        <f t="shared" si="15"/>
        <v/>
      </c>
      <c r="S60" s="23"/>
      <c r="T60" s="33" t="str">
        <f t="shared" si="16"/>
        <v/>
      </c>
      <c r="U60" s="23"/>
      <c r="V6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0" s="10"/>
      <c r="X60" s="10"/>
      <c r="Y60" s="23"/>
      <c r="Z60" s="36"/>
    </row>
    <row r="61">
      <c r="A61" s="2"/>
      <c r="B61" s="25"/>
      <c r="C61" s="37"/>
      <c r="D61" s="26" t="str">
        <f t="shared" si="13"/>
        <v/>
      </c>
      <c r="E61" s="18"/>
      <c r="F61" s="27" t="str">
        <f t="shared" si="14"/>
        <v/>
      </c>
      <c r="G61" s="18"/>
      <c r="H6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1" s="18"/>
      <c r="J6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1" s="18"/>
      <c r="L6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1" s="18"/>
      <c r="N61" s="27" t="str">
        <f>IFERROR(__xludf.DUMMYFUNCTION("indirect(""Dupe!N""&amp;row())&amp;if(regexmatch(indirect(""C""&amp;row()),""Widen""),""
Widened
Any numeric measurements of the spell’s area increase by 100%"","""")"),"")</f>
        <v/>
      </c>
      <c r="O61" s="18"/>
      <c r="P6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1" s="18"/>
      <c r="R61" s="27" t="str">
        <f t="shared" si="15"/>
        <v/>
      </c>
      <c r="S61" s="18"/>
      <c r="T61" s="27" t="str">
        <f t="shared" si="16"/>
        <v/>
      </c>
      <c r="U61" s="18"/>
      <c r="V6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1" s="4"/>
      <c r="X61" s="4"/>
      <c r="Y61" s="18"/>
      <c r="Z61" s="38"/>
    </row>
    <row r="62">
      <c r="A62" s="2"/>
      <c r="B62" s="43"/>
      <c r="C62" s="43"/>
      <c r="D62" s="32" t="str">
        <f t="shared" si="13"/>
        <v/>
      </c>
      <c r="E62" s="23"/>
      <c r="F62" s="33" t="str">
        <f t="shared" si="14"/>
        <v/>
      </c>
      <c r="G62" s="23"/>
      <c r="H6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2" s="23"/>
      <c r="J6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2" s="23"/>
      <c r="L6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2" s="23"/>
      <c r="N62" s="33" t="str">
        <f>IFERROR(__xludf.DUMMYFUNCTION("indirect(""Dupe!N""&amp;row())&amp;if(regexmatch(indirect(""C""&amp;row()),""Widen""),""
Widened
Any numeric measurements of the spell’s area increase by 100%"","""")"),"")</f>
        <v/>
      </c>
      <c r="O62" s="23"/>
      <c r="P6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2" s="23"/>
      <c r="R62" s="33" t="str">
        <f t="shared" si="15"/>
        <v/>
      </c>
      <c r="S62" s="23"/>
      <c r="T62" s="33" t="str">
        <f t="shared" si="16"/>
        <v/>
      </c>
      <c r="U62" s="23"/>
      <c r="V6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2" s="10"/>
      <c r="X62" s="10"/>
      <c r="Y62" s="23"/>
      <c r="Z62" s="36"/>
    </row>
    <row r="63">
      <c r="A63" s="2"/>
      <c r="B63" s="25"/>
      <c r="C63" s="44"/>
      <c r="D63" s="26" t="str">
        <f t="shared" si="13"/>
        <v/>
      </c>
      <c r="E63" s="18"/>
      <c r="F63" s="27" t="str">
        <f t="shared" si="14"/>
        <v/>
      </c>
      <c r="G63" s="18"/>
      <c r="H6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3" s="18"/>
      <c r="J6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3" s="18"/>
      <c r="L6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3" s="18"/>
      <c r="N63" s="27" t="str">
        <f>IFERROR(__xludf.DUMMYFUNCTION("indirect(""Dupe!N""&amp;row())&amp;if(regexmatch(indirect(""C""&amp;row()),""Widen""),""
Widened
Any numeric measurements of the spell’s area increase by 100%"","""")"),"")</f>
        <v/>
      </c>
      <c r="O63" s="18"/>
      <c r="P6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3" s="18"/>
      <c r="R63" s="27" t="str">
        <f t="shared" si="15"/>
        <v/>
      </c>
      <c r="S63" s="18"/>
      <c r="T63" s="27" t="str">
        <f t="shared" si="16"/>
        <v/>
      </c>
      <c r="U63" s="18"/>
      <c r="V6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3" s="4"/>
      <c r="X63" s="4"/>
      <c r="Y63" s="18"/>
      <c r="Z63" s="38"/>
    </row>
    <row r="64">
      <c r="A64" s="2"/>
      <c r="B64" s="43"/>
      <c r="C64" s="40"/>
      <c r="D64" s="32" t="str">
        <f t="shared" si="13"/>
        <v/>
      </c>
      <c r="E64" s="23"/>
      <c r="F64" s="33" t="str">
        <f t="shared" si="14"/>
        <v/>
      </c>
      <c r="G64" s="23"/>
      <c r="H6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4" s="23"/>
      <c r="J6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4" s="23"/>
      <c r="L6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4" s="23"/>
      <c r="N64" s="33" t="str">
        <f>IFERROR(__xludf.DUMMYFUNCTION("indirect(""Dupe!N""&amp;row())&amp;if(regexmatch(indirect(""C""&amp;row()),""Widen""),""
Widened
Any numeric measurements of the spell’s area increase by 100%"","""")"),"")</f>
        <v/>
      </c>
      <c r="O64" s="23"/>
      <c r="P6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4" s="23"/>
      <c r="R64" s="33" t="str">
        <f t="shared" si="15"/>
        <v/>
      </c>
      <c r="S64" s="23"/>
      <c r="T64" s="33" t="str">
        <f t="shared" si="16"/>
        <v/>
      </c>
      <c r="U64" s="23"/>
      <c r="V6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4" s="10"/>
      <c r="X64" s="10"/>
      <c r="Y64" s="23"/>
      <c r="Z64" s="36"/>
    </row>
    <row r="65">
      <c r="A65" s="2"/>
      <c r="B65" s="25"/>
      <c r="C65" s="37"/>
      <c r="D65" s="26" t="str">
        <f t="shared" si="13"/>
        <v/>
      </c>
      <c r="E65" s="18"/>
      <c r="F65" s="27" t="str">
        <f t="shared" si="14"/>
        <v/>
      </c>
      <c r="G65" s="18"/>
      <c r="H6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5" s="18"/>
      <c r="J6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5" s="18"/>
      <c r="L6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5" s="18"/>
      <c r="N65" s="27" t="str">
        <f>IFERROR(__xludf.DUMMYFUNCTION("indirect(""Dupe!N""&amp;row())&amp;if(regexmatch(indirect(""C""&amp;row()),""Widen""),""
Widened
Any numeric measurements of the spell’s area increase by 100%"","""")"),"")</f>
        <v/>
      </c>
      <c r="O65" s="18"/>
      <c r="P6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5" s="18"/>
      <c r="R65" s="27" t="str">
        <f t="shared" si="15"/>
        <v/>
      </c>
      <c r="S65" s="18"/>
      <c r="T65" s="27" t="str">
        <f t="shared" si="16"/>
        <v/>
      </c>
      <c r="U65" s="18"/>
      <c r="V6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5" s="4"/>
      <c r="X65" s="4"/>
      <c r="Y65" s="18"/>
      <c r="Z65" s="38"/>
    </row>
    <row r="66">
      <c r="A66" s="2"/>
      <c r="B66" s="43"/>
      <c r="C66" s="40"/>
      <c r="D66" s="32" t="str">
        <f t="shared" si="13"/>
        <v/>
      </c>
      <c r="E66" s="23"/>
      <c r="F66" s="33" t="str">
        <f t="shared" si="14"/>
        <v/>
      </c>
      <c r="G66" s="23"/>
      <c r="H6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6" s="23"/>
      <c r="J6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6" s="23"/>
      <c r="L6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6" s="23"/>
      <c r="N66" s="33" t="str">
        <f>IFERROR(__xludf.DUMMYFUNCTION("indirect(""Dupe!N""&amp;row())&amp;if(regexmatch(indirect(""C""&amp;row()),""Widen""),""
Widened
Any numeric measurements of the spell’s area increase by 100%"","""")"),"")</f>
        <v/>
      </c>
      <c r="O66" s="23"/>
      <c r="P6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6" s="23"/>
      <c r="R66" s="33" t="str">
        <f t="shared" si="15"/>
        <v/>
      </c>
      <c r="S66" s="23"/>
      <c r="T66" s="33" t="str">
        <f t="shared" si="16"/>
        <v/>
      </c>
      <c r="U66" s="23"/>
      <c r="V6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6" s="10"/>
      <c r="X66" s="10"/>
      <c r="Y66" s="23"/>
      <c r="Z66" s="36"/>
    </row>
    <row r="67">
      <c r="A67" s="2"/>
      <c r="B67" s="16" t="s">
        <v>33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17" t="s">
        <v>14</v>
      </c>
      <c r="W67" s="4"/>
      <c r="X67" s="18"/>
      <c r="Y67" s="19" t="str">
        <f>SUM(Z69)&amp;"/"&amp;if(dget(base_spells,"3rd",F2:F3),1,0)</f>
        <v>0/0</v>
      </c>
      <c r="Z67" s="42"/>
    </row>
    <row r="68">
      <c r="A68" s="2"/>
      <c r="B68" s="21" t="s">
        <v>15</v>
      </c>
      <c r="C68" s="21" t="s">
        <v>16</v>
      </c>
      <c r="D68" s="22" t="s">
        <v>17</v>
      </c>
      <c r="E68" s="23"/>
      <c r="F68" s="22" t="s">
        <v>18</v>
      </c>
      <c r="G68" s="23"/>
      <c r="H68" s="22" t="s">
        <v>19</v>
      </c>
      <c r="I68" s="23"/>
      <c r="J68" s="22" t="s">
        <v>20</v>
      </c>
      <c r="K68" s="23"/>
      <c r="L68" s="22" t="s">
        <v>21</v>
      </c>
      <c r="M68" s="23"/>
      <c r="N68" s="22" t="s">
        <v>22</v>
      </c>
      <c r="O68" s="23"/>
      <c r="P68" s="22" t="s">
        <v>23</v>
      </c>
      <c r="Q68" s="23"/>
      <c r="R68" s="22" t="s">
        <v>24</v>
      </c>
      <c r="S68" s="23"/>
      <c r="T68" s="22" t="s">
        <v>25</v>
      </c>
      <c r="U68" s="23"/>
      <c r="V68" s="22" t="s">
        <v>26</v>
      </c>
      <c r="W68" s="10"/>
      <c r="X68" s="10"/>
      <c r="Y68" s="23"/>
      <c r="Z68" s="21" t="s">
        <v>27</v>
      </c>
    </row>
    <row r="69">
      <c r="A69" s="2"/>
      <c r="B69" s="25"/>
      <c r="C69" s="25"/>
      <c r="D69" s="26" t="str">
        <f>indirect("Dupe!D"&amp;ROW())</f>
        <v/>
      </c>
      <c r="E69" s="18"/>
      <c r="F69" s="27" t="str">
        <f>indirect("Dupe!F"&amp;ROW())</f>
        <v/>
      </c>
      <c r="G69" s="18"/>
      <c r="H6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69" s="18"/>
      <c r="J6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69" s="18"/>
      <c r="L6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69" s="18"/>
      <c r="N69" s="27" t="str">
        <f>IFERROR(__xludf.DUMMYFUNCTION("indirect(""Dupe!N""&amp;row())&amp;if(regexmatch(indirect(""C""&amp;row()),""Widen""),""
Widened
Any numeric measurements of the spell’s area increase by 100%"","""")"),"")</f>
        <v/>
      </c>
      <c r="O69" s="18"/>
      <c r="P6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69" s="18"/>
      <c r="R69" s="27" t="str">
        <f>indirect("Dupe!R"&amp;row())</f>
        <v/>
      </c>
      <c r="S69" s="18"/>
      <c r="T69" s="27" t="str">
        <f>indirect("Dupe!T"&amp;row())</f>
        <v/>
      </c>
      <c r="U69" s="18"/>
      <c r="V6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69" s="4"/>
      <c r="X69" s="4"/>
      <c r="Y69" s="18"/>
      <c r="Z69" s="38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16" t="s">
        <v>34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17" t="s">
        <v>14</v>
      </c>
      <c r="W71" s="4"/>
      <c r="X71" s="18"/>
      <c r="Y71" s="19" t="str">
        <f>SUM(Z73:Z82)&amp;"/"&amp;if(dget(base_spells,"4th",F2:F3),dget(base_spells,"4th",F2:F3)+dget(bonus_spells,"4th",H2:H3),0)</f>
        <v>0/0</v>
      </c>
      <c r="Z71" s="42"/>
    </row>
    <row r="72">
      <c r="A72" s="2"/>
      <c r="B72" s="21" t="s">
        <v>15</v>
      </c>
      <c r="C72" s="21" t="s">
        <v>16</v>
      </c>
      <c r="D72" s="22" t="s">
        <v>17</v>
      </c>
      <c r="E72" s="23"/>
      <c r="F72" s="22" t="s">
        <v>18</v>
      </c>
      <c r="G72" s="23"/>
      <c r="H72" s="22" t="s">
        <v>19</v>
      </c>
      <c r="I72" s="23"/>
      <c r="J72" s="22" t="s">
        <v>20</v>
      </c>
      <c r="K72" s="23"/>
      <c r="L72" s="22" t="s">
        <v>21</v>
      </c>
      <c r="M72" s="23"/>
      <c r="N72" s="22" t="s">
        <v>22</v>
      </c>
      <c r="O72" s="23"/>
      <c r="P72" s="22" t="s">
        <v>23</v>
      </c>
      <c r="Q72" s="23"/>
      <c r="R72" s="22" t="s">
        <v>24</v>
      </c>
      <c r="S72" s="23"/>
      <c r="T72" s="22" t="s">
        <v>25</v>
      </c>
      <c r="U72" s="23"/>
      <c r="V72" s="22" t="s">
        <v>26</v>
      </c>
      <c r="W72" s="10"/>
      <c r="X72" s="10"/>
      <c r="Y72" s="23"/>
      <c r="Z72" s="21" t="s">
        <v>27</v>
      </c>
    </row>
    <row r="73">
      <c r="A73" s="2"/>
      <c r="B73" s="25"/>
      <c r="C73" s="25"/>
      <c r="D73" s="26" t="str">
        <f t="shared" ref="D73:D82" si="17">indirect("Dupe!D"&amp;ROW())</f>
        <v/>
      </c>
      <c r="E73" s="18"/>
      <c r="F73" s="27" t="str">
        <f t="shared" ref="F73:F82" si="18">indirect("Dupe!F"&amp;ROW())</f>
        <v/>
      </c>
      <c r="G73" s="18"/>
      <c r="H7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3" s="18"/>
      <c r="J7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3" s="18"/>
      <c r="L7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3" s="18"/>
      <c r="N73" s="27" t="str">
        <f>IFERROR(__xludf.DUMMYFUNCTION("indirect(""Dupe!N""&amp;row())&amp;if(regexmatch(indirect(""C""&amp;row()),""Widen""),""
Widened
Any numeric measurements of the spell’s area increase by 100%"","""")"),"")</f>
        <v/>
      </c>
      <c r="O73" s="18"/>
      <c r="P7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3" s="18"/>
      <c r="R73" s="27" t="str">
        <f t="shared" ref="R73:R82" si="19">indirect("Dupe!R"&amp;row())</f>
        <v/>
      </c>
      <c r="S73" s="18"/>
      <c r="T73" s="27" t="str">
        <f t="shared" ref="T73:T82" si="20">indirect("Dupe!T"&amp;row())</f>
        <v/>
      </c>
      <c r="U73" s="18"/>
      <c r="V7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3" s="4"/>
      <c r="X73" s="4"/>
      <c r="Y73" s="18"/>
      <c r="Z73" s="38"/>
    </row>
    <row r="74">
      <c r="A74" s="2"/>
      <c r="B74" s="43"/>
      <c r="C74" s="31"/>
      <c r="D74" s="32" t="str">
        <f t="shared" si="17"/>
        <v/>
      </c>
      <c r="E74" s="23"/>
      <c r="F74" s="33" t="str">
        <f t="shared" si="18"/>
        <v/>
      </c>
      <c r="G74" s="23"/>
      <c r="H7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4" s="23"/>
      <c r="J7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4" s="23"/>
      <c r="L7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4" s="23"/>
      <c r="N74" s="33" t="str">
        <f>IFERROR(__xludf.DUMMYFUNCTION("indirect(""Dupe!N""&amp;row())&amp;if(regexmatch(indirect(""C""&amp;row()),""Widen""),""
Widened
Any numeric measurements of the spell’s area increase by 100%"","""")"),"")</f>
        <v/>
      </c>
      <c r="O74" s="23"/>
      <c r="P7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4" s="23"/>
      <c r="R74" s="33" t="str">
        <f t="shared" si="19"/>
        <v/>
      </c>
      <c r="S74" s="23"/>
      <c r="T74" s="33" t="str">
        <f t="shared" si="20"/>
        <v/>
      </c>
      <c r="U74" s="23"/>
      <c r="V7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4" s="10"/>
      <c r="X74" s="10"/>
      <c r="Y74" s="23"/>
      <c r="Z74" s="36"/>
    </row>
    <row r="75">
      <c r="A75" s="2"/>
      <c r="B75" s="25"/>
      <c r="C75" s="37"/>
      <c r="D75" s="26" t="str">
        <f t="shared" si="17"/>
        <v/>
      </c>
      <c r="E75" s="18"/>
      <c r="F75" s="27" t="str">
        <f t="shared" si="18"/>
        <v/>
      </c>
      <c r="G75" s="18"/>
      <c r="H7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5" s="18"/>
      <c r="J7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5" s="18"/>
      <c r="L7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5" s="18"/>
      <c r="N75" s="27" t="str">
        <f>IFERROR(__xludf.DUMMYFUNCTION("indirect(""Dupe!N""&amp;row())&amp;if(regexmatch(indirect(""C""&amp;row()),""Widen""),""
Widened
Any numeric measurements of the spell’s area increase by 100%"","""")"),"")</f>
        <v/>
      </c>
      <c r="O75" s="18"/>
      <c r="P7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5" s="18"/>
      <c r="R75" s="27" t="str">
        <f t="shared" si="19"/>
        <v/>
      </c>
      <c r="S75" s="18"/>
      <c r="T75" s="27" t="str">
        <f t="shared" si="20"/>
        <v/>
      </c>
      <c r="U75" s="18"/>
      <c r="V7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5" s="4"/>
      <c r="X75" s="4"/>
      <c r="Y75" s="18"/>
      <c r="Z75" s="38"/>
    </row>
    <row r="76">
      <c r="A76" s="2"/>
      <c r="B76" s="43"/>
      <c r="C76" s="40"/>
      <c r="D76" s="32" t="str">
        <f t="shared" si="17"/>
        <v/>
      </c>
      <c r="E76" s="23"/>
      <c r="F76" s="33" t="str">
        <f t="shared" si="18"/>
        <v/>
      </c>
      <c r="G76" s="23"/>
      <c r="H7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6" s="23"/>
      <c r="J7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6" s="23"/>
      <c r="L7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6" s="23"/>
      <c r="N76" s="33" t="str">
        <f>IFERROR(__xludf.DUMMYFUNCTION("indirect(""Dupe!N""&amp;row())&amp;if(regexmatch(indirect(""C""&amp;row()),""Widen""),""
Widened
Any numeric measurements of the spell’s area increase by 100%"","""")"),"")</f>
        <v/>
      </c>
      <c r="O76" s="23"/>
      <c r="P7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6" s="23"/>
      <c r="R76" s="33" t="str">
        <f t="shared" si="19"/>
        <v/>
      </c>
      <c r="S76" s="23"/>
      <c r="T76" s="33" t="str">
        <f t="shared" si="20"/>
        <v/>
      </c>
      <c r="U76" s="23"/>
      <c r="V7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6" s="10"/>
      <c r="X76" s="10"/>
      <c r="Y76" s="23"/>
      <c r="Z76" s="36"/>
    </row>
    <row r="77">
      <c r="A77" s="2"/>
      <c r="B77" s="25"/>
      <c r="C77" s="37"/>
      <c r="D77" s="26" t="str">
        <f t="shared" si="17"/>
        <v/>
      </c>
      <c r="E77" s="18"/>
      <c r="F77" s="27" t="str">
        <f t="shared" si="18"/>
        <v/>
      </c>
      <c r="G77" s="18"/>
      <c r="H7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7" s="18"/>
      <c r="J7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7" s="18"/>
      <c r="L7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7" s="18"/>
      <c r="N77" s="27" t="str">
        <f>IFERROR(__xludf.DUMMYFUNCTION("indirect(""Dupe!N""&amp;row())&amp;if(regexmatch(indirect(""C""&amp;row()),""Widen""),""
Widened
Any numeric measurements of the spell’s area increase by 100%"","""")"),"")</f>
        <v/>
      </c>
      <c r="O77" s="18"/>
      <c r="P7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7" s="18"/>
      <c r="R77" s="27" t="str">
        <f t="shared" si="19"/>
        <v/>
      </c>
      <c r="S77" s="18"/>
      <c r="T77" s="27" t="str">
        <f t="shared" si="20"/>
        <v/>
      </c>
      <c r="U77" s="18"/>
      <c r="V7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7" s="4"/>
      <c r="X77" s="4"/>
      <c r="Y77" s="18"/>
      <c r="Z77" s="38"/>
    </row>
    <row r="78">
      <c r="A78" s="2"/>
      <c r="B78" s="43"/>
      <c r="C78" s="43"/>
      <c r="D78" s="32" t="str">
        <f t="shared" si="17"/>
        <v/>
      </c>
      <c r="E78" s="23"/>
      <c r="F78" s="33" t="str">
        <f t="shared" si="18"/>
        <v/>
      </c>
      <c r="G78" s="23"/>
      <c r="H7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8" s="23"/>
      <c r="J7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8" s="23"/>
      <c r="L7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8" s="23"/>
      <c r="N78" s="33" t="str">
        <f>IFERROR(__xludf.DUMMYFUNCTION("indirect(""Dupe!N""&amp;row())&amp;if(regexmatch(indirect(""C""&amp;row()),""Widen""),""
Widened
Any numeric measurements of the spell’s area increase by 100%"","""")"),"")</f>
        <v/>
      </c>
      <c r="O78" s="23"/>
      <c r="P7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8" s="23"/>
      <c r="R78" s="33" t="str">
        <f t="shared" si="19"/>
        <v/>
      </c>
      <c r="S78" s="23"/>
      <c r="T78" s="33" t="str">
        <f t="shared" si="20"/>
        <v/>
      </c>
      <c r="U78" s="23"/>
      <c r="V7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8" s="10"/>
      <c r="X78" s="10"/>
      <c r="Y78" s="23"/>
      <c r="Z78" s="36"/>
    </row>
    <row r="79">
      <c r="A79" s="2"/>
      <c r="B79" s="25"/>
      <c r="C79" s="44"/>
      <c r="D79" s="26" t="str">
        <f t="shared" si="17"/>
        <v/>
      </c>
      <c r="E79" s="18"/>
      <c r="F79" s="27" t="str">
        <f t="shared" si="18"/>
        <v/>
      </c>
      <c r="G79" s="18"/>
      <c r="H7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79" s="18"/>
      <c r="J7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79" s="18"/>
      <c r="L7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79" s="18"/>
      <c r="N79" s="27" t="str">
        <f>IFERROR(__xludf.DUMMYFUNCTION("indirect(""Dupe!N""&amp;row())&amp;if(regexmatch(indirect(""C""&amp;row()),""Widen""),""
Widened
Any numeric measurements of the spell’s area increase by 100%"","""")"),"")</f>
        <v/>
      </c>
      <c r="O79" s="18"/>
      <c r="P7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79" s="18"/>
      <c r="R79" s="27" t="str">
        <f t="shared" si="19"/>
        <v/>
      </c>
      <c r="S79" s="18"/>
      <c r="T79" s="27" t="str">
        <f t="shared" si="20"/>
        <v/>
      </c>
      <c r="U79" s="18"/>
      <c r="V7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79" s="4"/>
      <c r="X79" s="4"/>
      <c r="Y79" s="18"/>
      <c r="Z79" s="38"/>
    </row>
    <row r="80">
      <c r="A80" s="2"/>
      <c r="B80" s="43"/>
      <c r="C80" s="40"/>
      <c r="D80" s="32" t="str">
        <f t="shared" si="17"/>
        <v/>
      </c>
      <c r="E80" s="23"/>
      <c r="F80" s="33" t="str">
        <f t="shared" si="18"/>
        <v/>
      </c>
      <c r="G80" s="23"/>
      <c r="H8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0" s="23"/>
      <c r="J8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0" s="23"/>
      <c r="L8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0" s="23"/>
      <c r="N80" s="33" t="str">
        <f>IFERROR(__xludf.DUMMYFUNCTION("indirect(""Dupe!N""&amp;row())&amp;if(regexmatch(indirect(""C""&amp;row()),""Widen""),""
Widened
Any numeric measurements of the spell’s area increase by 100%"","""")"),"")</f>
        <v/>
      </c>
      <c r="O80" s="23"/>
      <c r="P8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0" s="23"/>
      <c r="R80" s="33" t="str">
        <f t="shared" si="19"/>
        <v/>
      </c>
      <c r="S80" s="23"/>
      <c r="T80" s="33" t="str">
        <f t="shared" si="20"/>
        <v/>
      </c>
      <c r="U80" s="23"/>
      <c r="V8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0" s="10"/>
      <c r="X80" s="10"/>
      <c r="Y80" s="23"/>
      <c r="Z80" s="36"/>
    </row>
    <row r="81">
      <c r="A81" s="2"/>
      <c r="B81" s="25"/>
      <c r="C81" s="37"/>
      <c r="D81" s="26" t="str">
        <f t="shared" si="17"/>
        <v/>
      </c>
      <c r="E81" s="18"/>
      <c r="F81" s="27" t="str">
        <f t="shared" si="18"/>
        <v/>
      </c>
      <c r="G81" s="18"/>
      <c r="H8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1" s="18"/>
      <c r="J8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1" s="18"/>
      <c r="L8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1" s="18"/>
      <c r="N81" s="27" t="str">
        <f>IFERROR(__xludf.DUMMYFUNCTION("indirect(""Dupe!N""&amp;row())&amp;if(regexmatch(indirect(""C""&amp;row()),""Widen""),""
Widened
Any numeric measurements of the spell’s area increase by 100%"","""")"),"")</f>
        <v/>
      </c>
      <c r="O81" s="18"/>
      <c r="P8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1" s="18"/>
      <c r="R81" s="27" t="str">
        <f t="shared" si="19"/>
        <v/>
      </c>
      <c r="S81" s="18"/>
      <c r="T81" s="27" t="str">
        <f t="shared" si="20"/>
        <v/>
      </c>
      <c r="U81" s="18"/>
      <c r="V8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1" s="4"/>
      <c r="X81" s="4"/>
      <c r="Y81" s="18"/>
      <c r="Z81" s="38"/>
    </row>
    <row r="82">
      <c r="A82" s="2"/>
      <c r="B82" s="43"/>
      <c r="C82" s="40"/>
      <c r="D82" s="32" t="str">
        <f t="shared" si="17"/>
        <v/>
      </c>
      <c r="E82" s="23"/>
      <c r="F82" s="33" t="str">
        <f t="shared" si="18"/>
        <v/>
      </c>
      <c r="G82" s="23"/>
      <c r="H8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2" s="23"/>
      <c r="J8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2" s="23"/>
      <c r="L8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2" s="23"/>
      <c r="N82" s="33" t="str">
        <f>IFERROR(__xludf.DUMMYFUNCTION("indirect(""Dupe!N""&amp;row())&amp;if(regexmatch(indirect(""C""&amp;row()),""Widen""),""
Widened
Any numeric measurements of the spell’s area increase by 100%"","""")"),"")</f>
        <v/>
      </c>
      <c r="O82" s="23"/>
      <c r="P8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2" s="23"/>
      <c r="R82" s="33" t="str">
        <f t="shared" si="19"/>
        <v/>
      </c>
      <c r="S82" s="23"/>
      <c r="T82" s="33" t="str">
        <f t="shared" si="20"/>
        <v/>
      </c>
      <c r="U82" s="23"/>
      <c r="V8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2" s="10"/>
      <c r="X82" s="10"/>
      <c r="Y82" s="23"/>
      <c r="Z82" s="36"/>
    </row>
    <row r="83">
      <c r="A83" s="2"/>
      <c r="B83" s="16" t="s">
        <v>35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7" t="s">
        <v>14</v>
      </c>
      <c r="W83" s="4"/>
      <c r="X83" s="18"/>
      <c r="Y83" s="19" t="str">
        <f>SUM(Z85)&amp;"/"&amp;if(dget(base_spells,"4th",F2:F3),1,0)</f>
        <v>0/0</v>
      </c>
      <c r="Z83" s="6"/>
    </row>
    <row r="84">
      <c r="A84" s="2"/>
      <c r="B84" s="21" t="s">
        <v>15</v>
      </c>
      <c r="C84" s="21" t="s">
        <v>16</v>
      </c>
      <c r="D84" s="22" t="s">
        <v>17</v>
      </c>
      <c r="E84" s="23"/>
      <c r="F84" s="22" t="s">
        <v>18</v>
      </c>
      <c r="G84" s="23"/>
      <c r="H84" s="22" t="s">
        <v>19</v>
      </c>
      <c r="I84" s="23"/>
      <c r="J84" s="22" t="s">
        <v>20</v>
      </c>
      <c r="K84" s="23"/>
      <c r="L84" s="22" t="s">
        <v>21</v>
      </c>
      <c r="M84" s="23"/>
      <c r="N84" s="22" t="s">
        <v>22</v>
      </c>
      <c r="O84" s="23"/>
      <c r="P84" s="22" t="s">
        <v>23</v>
      </c>
      <c r="Q84" s="23"/>
      <c r="R84" s="22" t="s">
        <v>24</v>
      </c>
      <c r="S84" s="23"/>
      <c r="T84" s="22" t="s">
        <v>25</v>
      </c>
      <c r="U84" s="23"/>
      <c r="V84" s="22" t="s">
        <v>26</v>
      </c>
      <c r="W84" s="10"/>
      <c r="X84" s="10"/>
      <c r="Y84" s="23"/>
      <c r="Z84" s="21" t="s">
        <v>27</v>
      </c>
    </row>
    <row r="85">
      <c r="A85" s="2"/>
      <c r="B85" s="25"/>
      <c r="C85" s="25"/>
      <c r="D85" s="26" t="str">
        <f>indirect("Dupe!D"&amp;ROW())</f>
        <v/>
      </c>
      <c r="E85" s="18"/>
      <c r="F85" s="27" t="str">
        <f>indirect("Dupe!F"&amp;ROW())</f>
        <v/>
      </c>
      <c r="G85" s="18"/>
      <c r="H8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5" s="18"/>
      <c r="J8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5" s="18"/>
      <c r="L8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5" s="18"/>
      <c r="N85" s="27" t="str">
        <f>IFERROR(__xludf.DUMMYFUNCTION("indirect(""Dupe!N""&amp;row())&amp;if(regexmatch(indirect(""C""&amp;row()),""Widen""),""
Widened
Any numeric measurements of the spell’s area increase by 100%"","""")"),"")</f>
        <v/>
      </c>
      <c r="O85" s="18"/>
      <c r="P8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5" s="18"/>
      <c r="R85" s="27" t="str">
        <f>indirect("Dupe!R"&amp;row())</f>
        <v/>
      </c>
      <c r="S85" s="18"/>
      <c r="T85" s="27" t="str">
        <f>indirect("Dupe!T"&amp;row())</f>
        <v/>
      </c>
      <c r="U85" s="18"/>
      <c r="V8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5" s="4"/>
      <c r="X85" s="4"/>
      <c r="Y85" s="18"/>
      <c r="Z85" s="38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16" t="s">
        <v>36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17" t="s">
        <v>14</v>
      </c>
      <c r="W87" s="4"/>
      <c r="X87" s="18"/>
      <c r="Y87" s="19" t="str">
        <f>SUM(Z89:Z98)&amp;"/"&amp;if(dget(base_spells,"5th",F2:F3),dget(base_spells,"5th",F2:F3)+dget(bonus_spells,"5th",H2:H3),0)</f>
        <v>0/0</v>
      </c>
      <c r="Z87" s="6"/>
    </row>
    <row r="88">
      <c r="A88" s="2"/>
      <c r="B88" s="21" t="s">
        <v>15</v>
      </c>
      <c r="C88" s="21" t="s">
        <v>16</v>
      </c>
      <c r="D88" s="22" t="s">
        <v>17</v>
      </c>
      <c r="E88" s="23"/>
      <c r="F88" s="22" t="s">
        <v>18</v>
      </c>
      <c r="G88" s="23"/>
      <c r="H88" s="22" t="s">
        <v>19</v>
      </c>
      <c r="I88" s="23"/>
      <c r="J88" s="22" t="s">
        <v>20</v>
      </c>
      <c r="K88" s="23"/>
      <c r="L88" s="22" t="s">
        <v>21</v>
      </c>
      <c r="M88" s="23"/>
      <c r="N88" s="22" t="s">
        <v>22</v>
      </c>
      <c r="O88" s="23"/>
      <c r="P88" s="22" t="s">
        <v>23</v>
      </c>
      <c r="Q88" s="23"/>
      <c r="R88" s="22" t="s">
        <v>24</v>
      </c>
      <c r="S88" s="23"/>
      <c r="T88" s="22" t="s">
        <v>25</v>
      </c>
      <c r="U88" s="23"/>
      <c r="V88" s="22" t="s">
        <v>26</v>
      </c>
      <c r="W88" s="10"/>
      <c r="X88" s="10"/>
      <c r="Y88" s="23"/>
      <c r="Z88" s="21"/>
    </row>
    <row r="89">
      <c r="A89" s="2"/>
      <c r="B89" s="25"/>
      <c r="C89" s="25"/>
      <c r="D89" s="26" t="str">
        <f t="shared" ref="D89:D98" si="21">indirect("Dupe!D"&amp;ROW())</f>
        <v/>
      </c>
      <c r="E89" s="18"/>
      <c r="F89" s="27" t="str">
        <f t="shared" ref="F89:F98" si="22">indirect("Dupe!F"&amp;ROW())</f>
        <v/>
      </c>
      <c r="G89" s="18"/>
      <c r="H8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89" s="18"/>
      <c r="J8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89" s="18"/>
      <c r="L8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89" s="18"/>
      <c r="N89" s="27" t="str">
        <f>IFERROR(__xludf.DUMMYFUNCTION("indirect(""Dupe!N""&amp;row())&amp;if(regexmatch(indirect(""C""&amp;row()),""Widen""),""
Widened
Any numeric measurements of the spell’s area increase by 100%"","""")"),"")</f>
        <v/>
      </c>
      <c r="O89" s="18"/>
      <c r="P8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89" s="18"/>
      <c r="R89" s="27" t="str">
        <f t="shared" ref="R89:R98" si="23">indirect("Dupe!R"&amp;row())</f>
        <v/>
      </c>
      <c r="S89" s="18"/>
      <c r="T89" s="27" t="str">
        <f t="shared" ref="T89:T98" si="24">indirect("Dupe!T"&amp;row())</f>
        <v/>
      </c>
      <c r="U89" s="18"/>
      <c r="V8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89" s="4"/>
      <c r="X89" s="4"/>
      <c r="Y89" s="18"/>
      <c r="Z89" s="38"/>
    </row>
    <row r="90">
      <c r="A90" s="2"/>
      <c r="B90" s="43"/>
      <c r="C90" s="31"/>
      <c r="D90" s="32" t="str">
        <f t="shared" si="21"/>
        <v/>
      </c>
      <c r="E90" s="23"/>
      <c r="F90" s="33" t="str">
        <f t="shared" si="22"/>
        <v/>
      </c>
      <c r="G90" s="23"/>
      <c r="H9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0" s="23"/>
      <c r="J9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0" s="23"/>
      <c r="L9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0" s="23"/>
      <c r="N90" s="33" t="str">
        <f>IFERROR(__xludf.DUMMYFUNCTION("indirect(""Dupe!N""&amp;row())&amp;if(regexmatch(indirect(""C""&amp;row()),""Widen""),""
Widened
Any numeric measurements of the spell’s area increase by 100%"","""")"),"")</f>
        <v/>
      </c>
      <c r="O90" s="23"/>
      <c r="P9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0" s="23"/>
      <c r="R90" s="33" t="str">
        <f t="shared" si="23"/>
        <v/>
      </c>
      <c r="S90" s="23"/>
      <c r="T90" s="33" t="str">
        <f t="shared" si="24"/>
        <v/>
      </c>
      <c r="U90" s="23"/>
      <c r="V9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0" s="10"/>
      <c r="X90" s="10"/>
      <c r="Y90" s="23"/>
      <c r="Z90" s="36"/>
    </row>
    <row r="91">
      <c r="A91" s="2"/>
      <c r="B91" s="25"/>
      <c r="C91" s="37"/>
      <c r="D91" s="26" t="str">
        <f t="shared" si="21"/>
        <v/>
      </c>
      <c r="E91" s="18"/>
      <c r="F91" s="27" t="str">
        <f t="shared" si="22"/>
        <v/>
      </c>
      <c r="G91" s="18"/>
      <c r="H9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1" s="18"/>
      <c r="J9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1" s="18"/>
      <c r="L9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1" s="18"/>
      <c r="N91" s="27" t="str">
        <f>IFERROR(__xludf.DUMMYFUNCTION("indirect(""Dupe!N""&amp;row())&amp;if(regexmatch(indirect(""C""&amp;row()),""Widen""),""
Widened
Any numeric measurements of the spell’s area increase by 100%"","""")"),"")</f>
        <v/>
      </c>
      <c r="O91" s="18"/>
      <c r="P9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1" s="18"/>
      <c r="R91" s="27" t="str">
        <f t="shared" si="23"/>
        <v/>
      </c>
      <c r="S91" s="18"/>
      <c r="T91" s="27" t="str">
        <f t="shared" si="24"/>
        <v/>
      </c>
      <c r="U91" s="18"/>
      <c r="V9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1" s="4"/>
      <c r="X91" s="4"/>
      <c r="Y91" s="18"/>
      <c r="Z91" s="38"/>
    </row>
    <row r="92">
      <c r="A92" s="2"/>
      <c r="B92" s="43"/>
      <c r="C92" s="40"/>
      <c r="D92" s="32" t="str">
        <f t="shared" si="21"/>
        <v/>
      </c>
      <c r="E92" s="23"/>
      <c r="F92" s="33" t="str">
        <f t="shared" si="22"/>
        <v/>
      </c>
      <c r="G92" s="23"/>
      <c r="H9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2" s="23"/>
      <c r="J9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2" s="23"/>
      <c r="L9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2" s="23"/>
      <c r="N92" s="33" t="str">
        <f>IFERROR(__xludf.DUMMYFUNCTION("indirect(""Dupe!N""&amp;row())&amp;if(regexmatch(indirect(""C""&amp;row()),""Widen""),""
Widened
Any numeric measurements of the spell’s area increase by 100%"","""")"),"")</f>
        <v/>
      </c>
      <c r="O92" s="23"/>
      <c r="P9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2" s="23"/>
      <c r="R92" s="33" t="str">
        <f t="shared" si="23"/>
        <v/>
      </c>
      <c r="S92" s="23"/>
      <c r="T92" s="33" t="str">
        <f t="shared" si="24"/>
        <v/>
      </c>
      <c r="U92" s="23"/>
      <c r="V9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2" s="10"/>
      <c r="X92" s="10"/>
      <c r="Y92" s="23"/>
      <c r="Z92" s="36"/>
    </row>
    <row r="93">
      <c r="A93" s="2"/>
      <c r="B93" s="25"/>
      <c r="C93" s="37"/>
      <c r="D93" s="26" t="str">
        <f t="shared" si="21"/>
        <v/>
      </c>
      <c r="E93" s="18"/>
      <c r="F93" s="27" t="str">
        <f t="shared" si="22"/>
        <v/>
      </c>
      <c r="G93" s="18"/>
      <c r="H9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3" s="18"/>
      <c r="J9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3" s="18"/>
      <c r="L9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3" s="18"/>
      <c r="N93" s="27" t="str">
        <f>IFERROR(__xludf.DUMMYFUNCTION("indirect(""Dupe!N""&amp;row())&amp;if(regexmatch(indirect(""C""&amp;row()),""Widen""),""
Widened
Any numeric measurements of the spell’s area increase by 100%"","""")"),"")</f>
        <v/>
      </c>
      <c r="O93" s="18"/>
      <c r="P9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3" s="18"/>
      <c r="R93" s="27" t="str">
        <f t="shared" si="23"/>
        <v/>
      </c>
      <c r="S93" s="18"/>
      <c r="T93" s="27" t="str">
        <f t="shared" si="24"/>
        <v/>
      </c>
      <c r="U93" s="18"/>
      <c r="V9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3" s="4"/>
      <c r="X93" s="4"/>
      <c r="Y93" s="18"/>
      <c r="Z93" s="38"/>
    </row>
    <row r="94">
      <c r="A94" s="2"/>
      <c r="B94" s="43"/>
      <c r="C94" s="43"/>
      <c r="D94" s="32" t="str">
        <f t="shared" si="21"/>
        <v/>
      </c>
      <c r="E94" s="23"/>
      <c r="F94" s="33" t="str">
        <f t="shared" si="22"/>
        <v/>
      </c>
      <c r="G94" s="23"/>
      <c r="H9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4" s="23"/>
      <c r="J9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4" s="23"/>
      <c r="L9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4" s="23"/>
      <c r="N94" s="33" t="str">
        <f>IFERROR(__xludf.DUMMYFUNCTION("indirect(""Dupe!N""&amp;row())&amp;if(regexmatch(indirect(""C""&amp;row()),""Widen""),""
Widened
Any numeric measurements of the spell’s area increase by 100%"","""")"),"")</f>
        <v/>
      </c>
      <c r="O94" s="23"/>
      <c r="P9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4" s="23"/>
      <c r="R94" s="33" t="str">
        <f t="shared" si="23"/>
        <v/>
      </c>
      <c r="S94" s="23"/>
      <c r="T94" s="33" t="str">
        <f t="shared" si="24"/>
        <v/>
      </c>
      <c r="U94" s="23"/>
      <c r="V9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4" s="10"/>
      <c r="X94" s="10"/>
      <c r="Y94" s="23"/>
      <c r="Z94" s="36"/>
    </row>
    <row r="95">
      <c r="A95" s="2"/>
      <c r="B95" s="25"/>
      <c r="C95" s="44"/>
      <c r="D95" s="26" t="str">
        <f t="shared" si="21"/>
        <v/>
      </c>
      <c r="E95" s="18"/>
      <c r="F95" s="27" t="str">
        <f t="shared" si="22"/>
        <v/>
      </c>
      <c r="G95" s="18"/>
      <c r="H9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5" s="18"/>
      <c r="J9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5" s="18"/>
      <c r="L9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5" s="18"/>
      <c r="N95" s="27" t="str">
        <f>IFERROR(__xludf.DUMMYFUNCTION("indirect(""Dupe!N""&amp;row())&amp;if(regexmatch(indirect(""C""&amp;row()),""Widen""),""
Widened
Any numeric measurements of the spell’s area increase by 100%"","""")"),"")</f>
        <v/>
      </c>
      <c r="O95" s="18"/>
      <c r="P9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5" s="18"/>
      <c r="R95" s="27" t="str">
        <f t="shared" si="23"/>
        <v/>
      </c>
      <c r="S95" s="18"/>
      <c r="T95" s="27" t="str">
        <f t="shared" si="24"/>
        <v/>
      </c>
      <c r="U95" s="18"/>
      <c r="V9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5" s="4"/>
      <c r="X95" s="4"/>
      <c r="Y95" s="18"/>
      <c r="Z95" s="38"/>
    </row>
    <row r="96">
      <c r="A96" s="2"/>
      <c r="B96" s="43"/>
      <c r="C96" s="40"/>
      <c r="D96" s="32" t="str">
        <f t="shared" si="21"/>
        <v/>
      </c>
      <c r="E96" s="23"/>
      <c r="F96" s="33" t="str">
        <f t="shared" si="22"/>
        <v/>
      </c>
      <c r="G96" s="23"/>
      <c r="H9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6" s="23"/>
      <c r="J9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6" s="23"/>
      <c r="L9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6" s="23"/>
      <c r="N96" s="33" t="str">
        <f>IFERROR(__xludf.DUMMYFUNCTION("indirect(""Dupe!N""&amp;row())&amp;if(regexmatch(indirect(""C""&amp;row()),""Widen""),""
Widened
Any numeric measurements of the spell’s area increase by 100%"","""")"),"")</f>
        <v/>
      </c>
      <c r="O96" s="23"/>
      <c r="P9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6" s="23"/>
      <c r="R96" s="33" t="str">
        <f t="shared" si="23"/>
        <v/>
      </c>
      <c r="S96" s="23"/>
      <c r="T96" s="33" t="str">
        <f t="shared" si="24"/>
        <v/>
      </c>
      <c r="U96" s="23"/>
      <c r="V9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6" s="10"/>
      <c r="X96" s="10"/>
      <c r="Y96" s="23"/>
      <c r="Z96" s="36"/>
    </row>
    <row r="97">
      <c r="A97" s="2"/>
      <c r="B97" s="25"/>
      <c r="C97" s="37"/>
      <c r="D97" s="26" t="str">
        <f t="shared" si="21"/>
        <v/>
      </c>
      <c r="E97" s="18"/>
      <c r="F97" s="27" t="str">
        <f t="shared" si="22"/>
        <v/>
      </c>
      <c r="G97" s="18"/>
      <c r="H9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7" s="18"/>
      <c r="J9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7" s="18"/>
      <c r="L9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7" s="18"/>
      <c r="N97" s="27" t="str">
        <f>IFERROR(__xludf.DUMMYFUNCTION("indirect(""Dupe!N""&amp;row())&amp;if(regexmatch(indirect(""C""&amp;row()),""Widen""),""
Widened
Any numeric measurements of the spell’s area increase by 100%"","""")"),"")</f>
        <v/>
      </c>
      <c r="O97" s="18"/>
      <c r="P9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7" s="18"/>
      <c r="R97" s="27" t="str">
        <f t="shared" si="23"/>
        <v/>
      </c>
      <c r="S97" s="18"/>
      <c r="T97" s="27" t="str">
        <f t="shared" si="24"/>
        <v/>
      </c>
      <c r="U97" s="18"/>
      <c r="V9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7" s="4"/>
      <c r="X97" s="4"/>
      <c r="Y97" s="18"/>
      <c r="Z97" s="38"/>
    </row>
    <row r="98">
      <c r="A98" s="2"/>
      <c r="B98" s="43"/>
      <c r="C98" s="40"/>
      <c r="D98" s="32" t="str">
        <f t="shared" si="21"/>
        <v/>
      </c>
      <c r="E98" s="23"/>
      <c r="F98" s="33" t="str">
        <f t="shared" si="22"/>
        <v/>
      </c>
      <c r="G98" s="23"/>
      <c r="H9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98" s="23"/>
      <c r="J9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98" s="23"/>
      <c r="L9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98" s="23"/>
      <c r="N98" s="33" t="str">
        <f>IFERROR(__xludf.DUMMYFUNCTION("indirect(""Dupe!N""&amp;row())&amp;if(regexmatch(indirect(""C""&amp;row()),""Widen""),""
Widened
Any numeric measurements of the spell’s area increase by 100%"","""")"),"")</f>
        <v/>
      </c>
      <c r="O98" s="23"/>
      <c r="P9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98" s="23"/>
      <c r="R98" s="33" t="str">
        <f t="shared" si="23"/>
        <v/>
      </c>
      <c r="S98" s="23"/>
      <c r="T98" s="33" t="str">
        <f t="shared" si="24"/>
        <v/>
      </c>
      <c r="U98" s="23"/>
      <c r="V9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98" s="10"/>
      <c r="X98" s="10"/>
      <c r="Y98" s="23"/>
      <c r="Z98" s="36"/>
    </row>
    <row r="99">
      <c r="A99" s="2"/>
      <c r="B99" s="16" t="s">
        <v>37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17" t="s">
        <v>14</v>
      </c>
      <c r="W99" s="4"/>
      <c r="X99" s="18"/>
      <c r="Y99" s="19" t="str">
        <f>SUM(Z101)&amp;"/"&amp;if(dget(base_spells,"5th",F2:F3),1,0)</f>
        <v>0/0</v>
      </c>
      <c r="Z99" s="6"/>
    </row>
    <row r="100">
      <c r="A100" s="2"/>
      <c r="B100" s="21" t="s">
        <v>15</v>
      </c>
      <c r="C100" s="21" t="s">
        <v>16</v>
      </c>
      <c r="D100" s="22" t="s">
        <v>17</v>
      </c>
      <c r="E100" s="23"/>
      <c r="F100" s="22" t="s">
        <v>18</v>
      </c>
      <c r="G100" s="23"/>
      <c r="H100" s="22" t="s">
        <v>19</v>
      </c>
      <c r="I100" s="23"/>
      <c r="J100" s="22" t="s">
        <v>20</v>
      </c>
      <c r="K100" s="23"/>
      <c r="L100" s="22" t="s">
        <v>21</v>
      </c>
      <c r="M100" s="23"/>
      <c r="N100" s="22" t="s">
        <v>22</v>
      </c>
      <c r="O100" s="23"/>
      <c r="P100" s="22" t="s">
        <v>23</v>
      </c>
      <c r="Q100" s="23"/>
      <c r="R100" s="22" t="s">
        <v>24</v>
      </c>
      <c r="S100" s="23"/>
      <c r="T100" s="22" t="s">
        <v>25</v>
      </c>
      <c r="U100" s="23"/>
      <c r="V100" s="22" t="s">
        <v>26</v>
      </c>
      <c r="W100" s="10"/>
      <c r="X100" s="10"/>
      <c r="Y100" s="23"/>
      <c r="Z100" s="21" t="s">
        <v>27</v>
      </c>
    </row>
    <row r="101">
      <c r="A101" s="2"/>
      <c r="B101" s="25"/>
      <c r="C101" s="25"/>
      <c r="D101" s="26" t="str">
        <f>indirect("Dupe!D"&amp;ROW())</f>
        <v/>
      </c>
      <c r="E101" s="18"/>
      <c r="F101" s="27" t="str">
        <f>indirect("Dupe!F"&amp;ROW())</f>
        <v/>
      </c>
      <c r="G101" s="18"/>
      <c r="H10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1" s="18"/>
      <c r="J10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1" s="18"/>
      <c r="L10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1" s="18"/>
      <c r="N101" s="27" t="str">
        <f>IFERROR(__xludf.DUMMYFUNCTION("indirect(""Dupe!N""&amp;row())&amp;if(regexmatch(indirect(""C""&amp;row()),""Widen""),""
Widened
Any numeric measurements of the spell’s area increase by 100%"","""")"),"")</f>
        <v/>
      </c>
      <c r="O101" s="18"/>
      <c r="P10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1" s="18"/>
      <c r="R101" s="27" t="str">
        <f>indirect("Dupe!R"&amp;row())</f>
        <v/>
      </c>
      <c r="S101" s="18"/>
      <c r="T101" s="27" t="str">
        <f>indirect("Dupe!T"&amp;row())</f>
        <v/>
      </c>
      <c r="U101" s="18"/>
      <c r="V10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1" s="4"/>
      <c r="X101" s="4"/>
      <c r="Y101" s="18"/>
      <c r="Z101" s="38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16" t="s">
        <v>38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17" t="s">
        <v>14</v>
      </c>
      <c r="W103" s="4"/>
      <c r="X103" s="18"/>
      <c r="Y103" s="19" t="str">
        <f>SUM(Z105:Z114)&amp;"/"&amp;if(dget(base_spells,"6th",F2:F3),dget(base_spells,"6th",F2:F3)+dget(bonus_spells,"6th",H2:H3),0)</f>
        <v>0/0</v>
      </c>
      <c r="Z103" s="42"/>
    </row>
    <row r="104">
      <c r="A104" s="2"/>
      <c r="B104" s="21" t="s">
        <v>15</v>
      </c>
      <c r="C104" s="21" t="s">
        <v>16</v>
      </c>
      <c r="D104" s="22" t="s">
        <v>17</v>
      </c>
      <c r="E104" s="23"/>
      <c r="F104" s="22" t="s">
        <v>18</v>
      </c>
      <c r="G104" s="23"/>
      <c r="H104" s="22" t="s">
        <v>19</v>
      </c>
      <c r="I104" s="23"/>
      <c r="J104" s="22" t="s">
        <v>20</v>
      </c>
      <c r="K104" s="23"/>
      <c r="L104" s="22" t="s">
        <v>21</v>
      </c>
      <c r="M104" s="23"/>
      <c r="N104" s="22" t="s">
        <v>22</v>
      </c>
      <c r="O104" s="23"/>
      <c r="P104" s="22" t="s">
        <v>23</v>
      </c>
      <c r="Q104" s="23"/>
      <c r="R104" s="22" t="s">
        <v>24</v>
      </c>
      <c r="S104" s="23"/>
      <c r="T104" s="22" t="s">
        <v>25</v>
      </c>
      <c r="U104" s="23"/>
      <c r="V104" s="22" t="s">
        <v>26</v>
      </c>
      <c r="W104" s="10"/>
      <c r="X104" s="10"/>
      <c r="Y104" s="23"/>
      <c r="Z104" s="21" t="s">
        <v>27</v>
      </c>
    </row>
    <row r="105">
      <c r="A105" s="2"/>
      <c r="B105" s="25"/>
      <c r="C105" s="25"/>
      <c r="D105" s="26" t="str">
        <f t="shared" ref="D105:D114" si="25">indirect("Dupe!D"&amp;ROW())</f>
        <v/>
      </c>
      <c r="E105" s="18"/>
      <c r="F105" s="27" t="str">
        <f t="shared" ref="F105:F114" si="26">indirect("Dupe!F"&amp;ROW())</f>
        <v/>
      </c>
      <c r="G105" s="18"/>
      <c r="H10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5" s="18"/>
      <c r="J10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5" s="18"/>
      <c r="L10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5" s="18"/>
      <c r="N105" s="27" t="str">
        <f>IFERROR(__xludf.DUMMYFUNCTION("indirect(""Dupe!N""&amp;row())&amp;if(regexmatch(indirect(""C""&amp;row()),""Widen""),""
Widened
Any numeric measurements of the spell’s area increase by 100%"","""")"),"")</f>
        <v/>
      </c>
      <c r="O105" s="18"/>
      <c r="P10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5" s="18"/>
      <c r="R105" s="27" t="str">
        <f t="shared" ref="R105:R114" si="27">indirect("Dupe!R"&amp;row())</f>
        <v/>
      </c>
      <c r="S105" s="18"/>
      <c r="T105" s="27" t="str">
        <f t="shared" ref="T105:T114" si="28">indirect("Dupe!T"&amp;row())</f>
        <v/>
      </c>
      <c r="U105" s="18"/>
      <c r="V10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5" s="4"/>
      <c r="X105" s="4"/>
      <c r="Y105" s="18"/>
      <c r="Z105" s="38"/>
    </row>
    <row r="106">
      <c r="A106" s="2"/>
      <c r="B106" s="43"/>
      <c r="C106" s="31"/>
      <c r="D106" s="32" t="str">
        <f t="shared" si="25"/>
        <v/>
      </c>
      <c r="E106" s="23"/>
      <c r="F106" s="33" t="str">
        <f t="shared" si="26"/>
        <v/>
      </c>
      <c r="G106" s="23"/>
      <c r="H10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6" s="23"/>
      <c r="J10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6" s="23"/>
      <c r="L10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6" s="23"/>
      <c r="N106" s="33" t="str">
        <f>IFERROR(__xludf.DUMMYFUNCTION("indirect(""Dupe!N""&amp;row())&amp;if(regexmatch(indirect(""C""&amp;row()),""Widen""),""
Widened
Any numeric measurements of the spell’s area increase by 100%"","""")"),"")</f>
        <v/>
      </c>
      <c r="O106" s="23"/>
      <c r="P10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6" s="23"/>
      <c r="R106" s="33" t="str">
        <f t="shared" si="27"/>
        <v/>
      </c>
      <c r="S106" s="23"/>
      <c r="T106" s="33" t="str">
        <f t="shared" si="28"/>
        <v/>
      </c>
      <c r="U106" s="23"/>
      <c r="V10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6" s="10"/>
      <c r="X106" s="10"/>
      <c r="Y106" s="23"/>
      <c r="Z106" s="36"/>
    </row>
    <row r="107">
      <c r="A107" s="2"/>
      <c r="B107" s="25"/>
      <c r="C107" s="37"/>
      <c r="D107" s="26" t="str">
        <f t="shared" si="25"/>
        <v/>
      </c>
      <c r="E107" s="18"/>
      <c r="F107" s="27" t="str">
        <f t="shared" si="26"/>
        <v/>
      </c>
      <c r="G107" s="18"/>
      <c r="H10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7" s="18"/>
      <c r="J10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7" s="18"/>
      <c r="L10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7" s="18"/>
      <c r="N107" s="27" t="str">
        <f>IFERROR(__xludf.DUMMYFUNCTION("indirect(""Dupe!N""&amp;row())&amp;if(regexmatch(indirect(""C""&amp;row()),""Widen""),""
Widened
Any numeric measurements of the spell’s area increase by 100%"","""")"),"")</f>
        <v/>
      </c>
      <c r="O107" s="18"/>
      <c r="P10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7" s="18"/>
      <c r="R107" s="27" t="str">
        <f t="shared" si="27"/>
        <v/>
      </c>
      <c r="S107" s="18"/>
      <c r="T107" s="27" t="str">
        <f t="shared" si="28"/>
        <v/>
      </c>
      <c r="U107" s="18"/>
      <c r="V10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7" s="4"/>
      <c r="X107" s="4"/>
      <c r="Y107" s="18"/>
      <c r="Z107" s="38"/>
    </row>
    <row r="108">
      <c r="A108" s="2"/>
      <c r="B108" s="43"/>
      <c r="C108" s="40"/>
      <c r="D108" s="32" t="str">
        <f t="shared" si="25"/>
        <v/>
      </c>
      <c r="E108" s="23"/>
      <c r="F108" s="33" t="str">
        <f t="shared" si="26"/>
        <v/>
      </c>
      <c r="G108" s="23"/>
      <c r="H10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8" s="23"/>
      <c r="J10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8" s="23"/>
      <c r="L10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8" s="23"/>
      <c r="N108" s="33" t="str">
        <f>IFERROR(__xludf.DUMMYFUNCTION("indirect(""Dupe!N""&amp;row())&amp;if(regexmatch(indirect(""C""&amp;row()),""Widen""),""
Widened
Any numeric measurements of the spell’s area increase by 100%"","""")"),"")</f>
        <v/>
      </c>
      <c r="O108" s="23"/>
      <c r="P10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8" s="23"/>
      <c r="R108" s="33" t="str">
        <f t="shared" si="27"/>
        <v/>
      </c>
      <c r="S108" s="23"/>
      <c r="T108" s="33" t="str">
        <f t="shared" si="28"/>
        <v/>
      </c>
      <c r="U108" s="23"/>
      <c r="V10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8" s="10"/>
      <c r="X108" s="10"/>
      <c r="Y108" s="23"/>
      <c r="Z108" s="36"/>
    </row>
    <row r="109">
      <c r="A109" s="2"/>
      <c r="B109" s="25"/>
      <c r="C109" s="37"/>
      <c r="D109" s="26" t="str">
        <f t="shared" si="25"/>
        <v/>
      </c>
      <c r="E109" s="18"/>
      <c r="F109" s="27" t="str">
        <f t="shared" si="26"/>
        <v/>
      </c>
      <c r="G109" s="18"/>
      <c r="H10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09" s="18"/>
      <c r="J10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09" s="18"/>
      <c r="L10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09" s="18"/>
      <c r="N109" s="27" t="str">
        <f>IFERROR(__xludf.DUMMYFUNCTION("indirect(""Dupe!N""&amp;row())&amp;if(regexmatch(indirect(""C""&amp;row()),""Widen""),""
Widened
Any numeric measurements of the spell’s area increase by 100%"","""")"),"")</f>
        <v/>
      </c>
      <c r="O109" s="18"/>
      <c r="P10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09" s="18"/>
      <c r="R109" s="27" t="str">
        <f t="shared" si="27"/>
        <v/>
      </c>
      <c r="S109" s="18"/>
      <c r="T109" s="27" t="str">
        <f t="shared" si="28"/>
        <v/>
      </c>
      <c r="U109" s="18"/>
      <c r="V10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09" s="4"/>
      <c r="X109" s="4"/>
      <c r="Y109" s="18"/>
      <c r="Z109" s="38"/>
    </row>
    <row r="110">
      <c r="A110" s="2"/>
      <c r="B110" s="43"/>
      <c r="C110" s="43"/>
      <c r="D110" s="32" t="str">
        <f t="shared" si="25"/>
        <v/>
      </c>
      <c r="E110" s="23"/>
      <c r="F110" s="33" t="str">
        <f t="shared" si="26"/>
        <v/>
      </c>
      <c r="G110" s="23"/>
      <c r="H11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0" s="23"/>
      <c r="J11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0" s="23"/>
      <c r="L11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0" s="23"/>
      <c r="N110" s="33" t="str">
        <f>IFERROR(__xludf.DUMMYFUNCTION("indirect(""Dupe!N""&amp;row())&amp;if(regexmatch(indirect(""C""&amp;row()),""Widen""),""
Widened
Any numeric measurements of the spell’s area increase by 100%"","""")"),"")</f>
        <v/>
      </c>
      <c r="O110" s="23"/>
      <c r="P11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0" s="23"/>
      <c r="R110" s="33" t="str">
        <f t="shared" si="27"/>
        <v/>
      </c>
      <c r="S110" s="23"/>
      <c r="T110" s="33" t="str">
        <f t="shared" si="28"/>
        <v/>
      </c>
      <c r="U110" s="23"/>
      <c r="V11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0" s="10"/>
      <c r="X110" s="10"/>
      <c r="Y110" s="23"/>
      <c r="Z110" s="36"/>
    </row>
    <row r="111">
      <c r="A111" s="2"/>
      <c r="B111" s="25"/>
      <c r="C111" s="44"/>
      <c r="D111" s="26" t="str">
        <f t="shared" si="25"/>
        <v/>
      </c>
      <c r="E111" s="18"/>
      <c r="F111" s="27" t="str">
        <f t="shared" si="26"/>
        <v/>
      </c>
      <c r="G111" s="18"/>
      <c r="H11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1" s="18"/>
      <c r="J11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1" s="18"/>
      <c r="L11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1" s="18"/>
      <c r="N111" s="27" t="str">
        <f>IFERROR(__xludf.DUMMYFUNCTION("indirect(""Dupe!N""&amp;row())&amp;if(regexmatch(indirect(""C""&amp;row()),""Widen""),""
Widened
Any numeric measurements of the spell’s area increase by 100%"","""")"),"")</f>
        <v/>
      </c>
      <c r="O111" s="18"/>
      <c r="P11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1" s="18"/>
      <c r="R111" s="27" t="str">
        <f t="shared" si="27"/>
        <v/>
      </c>
      <c r="S111" s="18"/>
      <c r="T111" s="27" t="str">
        <f t="shared" si="28"/>
        <v/>
      </c>
      <c r="U111" s="18"/>
      <c r="V11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1" s="4"/>
      <c r="X111" s="4"/>
      <c r="Y111" s="18"/>
      <c r="Z111" s="38"/>
    </row>
    <row r="112">
      <c r="A112" s="2"/>
      <c r="B112" s="43"/>
      <c r="C112" s="40"/>
      <c r="D112" s="32" t="str">
        <f t="shared" si="25"/>
        <v/>
      </c>
      <c r="E112" s="23"/>
      <c r="F112" s="33" t="str">
        <f t="shared" si="26"/>
        <v/>
      </c>
      <c r="G112" s="23"/>
      <c r="H11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2" s="23"/>
      <c r="J11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2" s="23"/>
      <c r="L11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2" s="23"/>
      <c r="N112" s="33" t="str">
        <f>IFERROR(__xludf.DUMMYFUNCTION("indirect(""Dupe!N""&amp;row())&amp;if(regexmatch(indirect(""C""&amp;row()),""Widen""),""
Widened
Any numeric measurements of the spell’s area increase by 100%"","""")"),"")</f>
        <v/>
      </c>
      <c r="O112" s="23"/>
      <c r="P11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2" s="23"/>
      <c r="R112" s="33" t="str">
        <f t="shared" si="27"/>
        <v/>
      </c>
      <c r="S112" s="23"/>
      <c r="T112" s="33" t="str">
        <f t="shared" si="28"/>
        <v/>
      </c>
      <c r="U112" s="23"/>
      <c r="V11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2" s="10"/>
      <c r="X112" s="10"/>
      <c r="Y112" s="23"/>
      <c r="Z112" s="36"/>
    </row>
    <row r="113">
      <c r="A113" s="2"/>
      <c r="B113" s="25"/>
      <c r="C113" s="37"/>
      <c r="D113" s="26" t="str">
        <f t="shared" si="25"/>
        <v/>
      </c>
      <c r="E113" s="18"/>
      <c r="F113" s="27" t="str">
        <f t="shared" si="26"/>
        <v/>
      </c>
      <c r="G113" s="18"/>
      <c r="H11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3" s="18"/>
      <c r="J11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3" s="18"/>
      <c r="L11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3" s="18"/>
      <c r="N113" s="27" t="str">
        <f>IFERROR(__xludf.DUMMYFUNCTION("indirect(""Dupe!N""&amp;row())&amp;if(regexmatch(indirect(""C""&amp;row()),""Widen""),""
Widened
Any numeric measurements of the spell’s area increase by 100%"","""")"),"")</f>
        <v/>
      </c>
      <c r="O113" s="18"/>
      <c r="P11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3" s="18"/>
      <c r="R113" s="27" t="str">
        <f t="shared" si="27"/>
        <v/>
      </c>
      <c r="S113" s="18"/>
      <c r="T113" s="27" t="str">
        <f t="shared" si="28"/>
        <v/>
      </c>
      <c r="U113" s="18"/>
      <c r="V11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3" s="4"/>
      <c r="X113" s="4"/>
      <c r="Y113" s="18"/>
      <c r="Z113" s="38"/>
    </row>
    <row r="114">
      <c r="A114" s="2"/>
      <c r="B114" s="43"/>
      <c r="C114" s="40"/>
      <c r="D114" s="32" t="str">
        <f t="shared" si="25"/>
        <v/>
      </c>
      <c r="E114" s="23"/>
      <c r="F114" s="33" t="str">
        <f t="shared" si="26"/>
        <v/>
      </c>
      <c r="G114" s="23"/>
      <c r="H11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4" s="23"/>
      <c r="J11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4" s="23"/>
      <c r="L11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4" s="23"/>
      <c r="N114" s="33" t="str">
        <f>IFERROR(__xludf.DUMMYFUNCTION("indirect(""Dupe!N""&amp;row())&amp;if(regexmatch(indirect(""C""&amp;row()),""Widen""),""
Widened
Any numeric measurements of the spell’s area increase by 100%"","""")"),"")</f>
        <v/>
      </c>
      <c r="O114" s="23"/>
      <c r="P11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4" s="23"/>
      <c r="R114" s="33" t="str">
        <f t="shared" si="27"/>
        <v/>
      </c>
      <c r="S114" s="23"/>
      <c r="T114" s="33" t="str">
        <f t="shared" si="28"/>
        <v/>
      </c>
      <c r="U114" s="23"/>
      <c r="V11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4" s="10"/>
      <c r="X114" s="10"/>
      <c r="Y114" s="23"/>
      <c r="Z114" s="36"/>
    </row>
    <row r="115">
      <c r="A115" s="2"/>
      <c r="B115" s="16" t="s">
        <v>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17" t="s">
        <v>14</v>
      </c>
      <c r="W115" s="4"/>
      <c r="X115" s="18"/>
      <c r="Y115" s="19" t="str">
        <f>SUM(Z117)&amp;"/"&amp;if(dget(base_spells,"6th",F2:F3),1,0)</f>
        <v>0/0</v>
      </c>
      <c r="Z115" s="42"/>
    </row>
    <row r="116">
      <c r="A116" s="2"/>
      <c r="B116" s="21" t="s">
        <v>15</v>
      </c>
      <c r="C116" s="21" t="s">
        <v>16</v>
      </c>
      <c r="D116" s="22" t="s">
        <v>17</v>
      </c>
      <c r="E116" s="23"/>
      <c r="F116" s="22" t="s">
        <v>18</v>
      </c>
      <c r="G116" s="23"/>
      <c r="H116" s="22" t="s">
        <v>19</v>
      </c>
      <c r="I116" s="23"/>
      <c r="J116" s="22" t="s">
        <v>20</v>
      </c>
      <c r="K116" s="23"/>
      <c r="L116" s="22" t="s">
        <v>21</v>
      </c>
      <c r="M116" s="23"/>
      <c r="N116" s="22" t="s">
        <v>22</v>
      </c>
      <c r="O116" s="23"/>
      <c r="P116" s="22" t="s">
        <v>23</v>
      </c>
      <c r="Q116" s="23"/>
      <c r="R116" s="22" t="s">
        <v>24</v>
      </c>
      <c r="S116" s="23"/>
      <c r="T116" s="22" t="s">
        <v>25</v>
      </c>
      <c r="U116" s="23"/>
      <c r="V116" s="22" t="s">
        <v>26</v>
      </c>
      <c r="W116" s="10"/>
      <c r="X116" s="10"/>
      <c r="Y116" s="23"/>
      <c r="Z116" s="21" t="s">
        <v>27</v>
      </c>
    </row>
    <row r="117">
      <c r="A117" s="2"/>
      <c r="B117" s="25"/>
      <c r="C117" s="25"/>
      <c r="D117" s="26" t="str">
        <f>indirect("Dupe!D"&amp;ROW())</f>
        <v/>
      </c>
      <c r="E117" s="18"/>
      <c r="F117" s="27" t="str">
        <f>indirect("Dupe!F"&amp;ROW())</f>
        <v/>
      </c>
      <c r="G117" s="18"/>
      <c r="H11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17" s="18"/>
      <c r="J11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17" s="18"/>
      <c r="L11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17" s="18"/>
      <c r="N117" s="27" t="str">
        <f>IFERROR(__xludf.DUMMYFUNCTION("indirect(""Dupe!N""&amp;row())&amp;if(regexmatch(indirect(""C""&amp;row()),""Widen""),""
Widened
Any numeric measurements of the spell’s area increase by 100%"","""")"),"")</f>
        <v/>
      </c>
      <c r="O117" s="18"/>
      <c r="P11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17" s="18"/>
      <c r="R117" s="27" t="str">
        <f>indirect("Dupe!R"&amp;row())</f>
        <v/>
      </c>
      <c r="S117" s="18"/>
      <c r="T117" s="27" t="str">
        <f>indirect("Dupe!T"&amp;row())</f>
        <v/>
      </c>
      <c r="U117" s="18"/>
      <c r="V11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17" s="4"/>
      <c r="X117" s="4"/>
      <c r="Y117" s="18"/>
      <c r="Z117" s="38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16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17" t="s">
        <v>14</v>
      </c>
      <c r="W119" s="4"/>
      <c r="X119" s="18"/>
      <c r="Y119" s="19" t="str">
        <f>SUM(Z121:Z130)&amp;"/"&amp;if(dget(base_spells,"7th",F2:F3),dget(base_spells,"7th",F2:F3)+dget(bonus_spells,"7th",H2:H3),0)</f>
        <v>0/0</v>
      </c>
      <c r="Z119" s="42"/>
    </row>
    <row r="120">
      <c r="A120" s="2"/>
      <c r="B120" s="21" t="s">
        <v>15</v>
      </c>
      <c r="C120" s="21" t="s">
        <v>16</v>
      </c>
      <c r="D120" s="22" t="s">
        <v>17</v>
      </c>
      <c r="E120" s="23"/>
      <c r="F120" s="22" t="s">
        <v>18</v>
      </c>
      <c r="G120" s="23"/>
      <c r="H120" s="22" t="s">
        <v>19</v>
      </c>
      <c r="I120" s="23"/>
      <c r="J120" s="22" t="s">
        <v>20</v>
      </c>
      <c r="K120" s="23"/>
      <c r="L120" s="22" t="s">
        <v>21</v>
      </c>
      <c r="M120" s="23"/>
      <c r="N120" s="22" t="s">
        <v>22</v>
      </c>
      <c r="O120" s="23"/>
      <c r="P120" s="22" t="s">
        <v>23</v>
      </c>
      <c r="Q120" s="23"/>
      <c r="R120" s="22" t="s">
        <v>24</v>
      </c>
      <c r="S120" s="23"/>
      <c r="T120" s="22" t="s">
        <v>25</v>
      </c>
      <c r="U120" s="23"/>
      <c r="V120" s="22" t="s">
        <v>26</v>
      </c>
      <c r="W120" s="10"/>
      <c r="X120" s="10"/>
      <c r="Y120" s="23"/>
      <c r="Z120" s="21" t="s">
        <v>27</v>
      </c>
    </row>
    <row r="121">
      <c r="A121" s="2"/>
      <c r="B121" s="25"/>
      <c r="C121" s="25"/>
      <c r="D121" s="26" t="str">
        <f t="shared" ref="D121:D130" si="29">indirect("Dupe!D"&amp;ROW())</f>
        <v/>
      </c>
      <c r="E121" s="18"/>
      <c r="F121" s="27" t="str">
        <f t="shared" ref="F121:F130" si="30">indirect("Dupe!F"&amp;ROW())</f>
        <v/>
      </c>
      <c r="G121" s="18"/>
      <c r="H12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1" s="18"/>
      <c r="J12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1" s="18"/>
      <c r="L12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1" s="18"/>
      <c r="N121" s="27" t="str">
        <f>IFERROR(__xludf.DUMMYFUNCTION("indirect(""Dupe!N""&amp;row())&amp;if(regexmatch(indirect(""C""&amp;row()),""Widen""),""
Widened
Any numeric measurements of the spell’s area increase by 100%"","""")"),"")</f>
        <v/>
      </c>
      <c r="O121" s="18"/>
      <c r="P12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1" s="18"/>
      <c r="R121" s="27" t="str">
        <f t="shared" ref="R121:R130" si="31">indirect("Dupe!R"&amp;row())</f>
        <v/>
      </c>
      <c r="S121" s="18"/>
      <c r="T121" s="27" t="str">
        <f t="shared" ref="T121:T130" si="32">indirect("Dupe!T"&amp;row())</f>
        <v/>
      </c>
      <c r="U121" s="18"/>
      <c r="V12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1" s="4"/>
      <c r="X121" s="4"/>
      <c r="Y121" s="18"/>
      <c r="Z121" s="30"/>
    </row>
    <row r="122">
      <c r="A122" s="2"/>
      <c r="B122" s="43"/>
      <c r="C122" s="31"/>
      <c r="D122" s="32" t="str">
        <f t="shared" si="29"/>
        <v/>
      </c>
      <c r="E122" s="23"/>
      <c r="F122" s="33" t="str">
        <f t="shared" si="30"/>
        <v/>
      </c>
      <c r="G122" s="23"/>
      <c r="H12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2" s="23"/>
      <c r="J12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2" s="23"/>
      <c r="L12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2" s="23"/>
      <c r="N122" s="33" t="str">
        <f>IFERROR(__xludf.DUMMYFUNCTION("indirect(""Dupe!N""&amp;row())&amp;if(regexmatch(indirect(""C""&amp;row()),""Widen""),""
Widened
Any numeric measurements of the spell’s area increase by 100%"","""")"),"")</f>
        <v/>
      </c>
      <c r="O122" s="23"/>
      <c r="P12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2" s="23"/>
      <c r="R122" s="33" t="str">
        <f t="shared" si="31"/>
        <v/>
      </c>
      <c r="S122" s="23"/>
      <c r="T122" s="33" t="str">
        <f t="shared" si="32"/>
        <v/>
      </c>
      <c r="U122" s="23"/>
      <c r="V12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2" s="10"/>
      <c r="X122" s="10"/>
      <c r="Y122" s="23"/>
      <c r="Z122" s="36"/>
    </row>
    <row r="123">
      <c r="A123" s="2"/>
      <c r="B123" s="25"/>
      <c r="C123" s="37"/>
      <c r="D123" s="26" t="str">
        <f t="shared" si="29"/>
        <v/>
      </c>
      <c r="E123" s="18"/>
      <c r="F123" s="27" t="str">
        <f t="shared" si="30"/>
        <v/>
      </c>
      <c r="G123" s="18"/>
      <c r="H12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3" s="18"/>
      <c r="J12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3" s="18"/>
      <c r="L12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3" s="18"/>
      <c r="N123" s="27" t="str">
        <f>IFERROR(__xludf.DUMMYFUNCTION("indirect(""Dupe!N""&amp;row())&amp;if(regexmatch(indirect(""C""&amp;row()),""Widen""),""
Widened
Any numeric measurements of the spell’s area increase by 100%"","""")"),"")</f>
        <v/>
      </c>
      <c r="O123" s="18"/>
      <c r="P12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3" s="18"/>
      <c r="R123" s="27" t="str">
        <f t="shared" si="31"/>
        <v/>
      </c>
      <c r="S123" s="18"/>
      <c r="T123" s="27" t="str">
        <f t="shared" si="32"/>
        <v/>
      </c>
      <c r="U123" s="18"/>
      <c r="V12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3" s="4"/>
      <c r="X123" s="4"/>
      <c r="Y123" s="18"/>
      <c r="Z123" s="38"/>
    </row>
    <row r="124">
      <c r="A124" s="2"/>
      <c r="B124" s="43"/>
      <c r="C124" s="40"/>
      <c r="D124" s="32" t="str">
        <f t="shared" si="29"/>
        <v/>
      </c>
      <c r="E124" s="23"/>
      <c r="F124" s="33" t="str">
        <f t="shared" si="30"/>
        <v/>
      </c>
      <c r="G124" s="23"/>
      <c r="H12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4" s="23"/>
      <c r="J12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4" s="23"/>
      <c r="L12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4" s="23"/>
      <c r="N124" s="33" t="str">
        <f>IFERROR(__xludf.DUMMYFUNCTION("indirect(""Dupe!N""&amp;row())&amp;if(regexmatch(indirect(""C""&amp;row()),""Widen""),""
Widened
Any numeric measurements of the spell’s area increase by 100%"","""")"),"")</f>
        <v/>
      </c>
      <c r="O124" s="23"/>
      <c r="P12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4" s="23"/>
      <c r="R124" s="33" t="str">
        <f t="shared" si="31"/>
        <v/>
      </c>
      <c r="S124" s="23"/>
      <c r="T124" s="33" t="str">
        <f t="shared" si="32"/>
        <v/>
      </c>
      <c r="U124" s="23"/>
      <c r="V12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4" s="10"/>
      <c r="X124" s="10"/>
      <c r="Y124" s="23"/>
      <c r="Z124" s="36"/>
    </row>
    <row r="125">
      <c r="A125" s="2"/>
      <c r="B125" s="25"/>
      <c r="C125" s="37"/>
      <c r="D125" s="26" t="str">
        <f t="shared" si="29"/>
        <v/>
      </c>
      <c r="E125" s="18"/>
      <c r="F125" s="27" t="str">
        <f t="shared" si="30"/>
        <v/>
      </c>
      <c r="G125" s="18"/>
      <c r="H12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5" s="18"/>
      <c r="J12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5" s="18"/>
      <c r="L12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5" s="18"/>
      <c r="N125" s="27" t="str">
        <f>IFERROR(__xludf.DUMMYFUNCTION("indirect(""Dupe!N""&amp;row())&amp;if(regexmatch(indirect(""C""&amp;row()),""Widen""),""
Widened
Any numeric measurements of the spell’s area increase by 100%"","""")"),"")</f>
        <v/>
      </c>
      <c r="O125" s="18"/>
      <c r="P12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5" s="18"/>
      <c r="R125" s="27" t="str">
        <f t="shared" si="31"/>
        <v/>
      </c>
      <c r="S125" s="18"/>
      <c r="T125" s="27" t="str">
        <f t="shared" si="32"/>
        <v/>
      </c>
      <c r="U125" s="18"/>
      <c r="V12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5" s="4"/>
      <c r="X125" s="4"/>
      <c r="Y125" s="18"/>
      <c r="Z125" s="38"/>
    </row>
    <row r="126">
      <c r="A126" s="2"/>
      <c r="B126" s="43"/>
      <c r="C126" s="43"/>
      <c r="D126" s="32" t="str">
        <f t="shared" si="29"/>
        <v/>
      </c>
      <c r="E126" s="23"/>
      <c r="F126" s="33" t="str">
        <f t="shared" si="30"/>
        <v/>
      </c>
      <c r="G126" s="23"/>
      <c r="H12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6" s="23"/>
      <c r="J12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6" s="23"/>
      <c r="L12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6" s="23"/>
      <c r="N126" s="33" t="str">
        <f>IFERROR(__xludf.DUMMYFUNCTION("indirect(""Dupe!N""&amp;row())&amp;if(regexmatch(indirect(""C""&amp;row()),""Widen""),""
Widened
Any numeric measurements of the spell’s area increase by 100%"","""")"),"")</f>
        <v/>
      </c>
      <c r="O126" s="23"/>
      <c r="P12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6" s="23"/>
      <c r="R126" s="33" t="str">
        <f t="shared" si="31"/>
        <v/>
      </c>
      <c r="S126" s="23"/>
      <c r="T126" s="33" t="str">
        <f t="shared" si="32"/>
        <v/>
      </c>
      <c r="U126" s="23"/>
      <c r="V12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6" s="10"/>
      <c r="X126" s="10"/>
      <c r="Y126" s="23"/>
      <c r="Z126" s="36"/>
    </row>
    <row r="127">
      <c r="A127" s="2"/>
      <c r="B127" s="25"/>
      <c r="C127" s="44"/>
      <c r="D127" s="26" t="str">
        <f t="shared" si="29"/>
        <v/>
      </c>
      <c r="E127" s="18"/>
      <c r="F127" s="27" t="str">
        <f t="shared" si="30"/>
        <v/>
      </c>
      <c r="G127" s="18"/>
      <c r="H12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7" s="18"/>
      <c r="J12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7" s="18"/>
      <c r="L12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7" s="18"/>
      <c r="N127" s="27" t="str">
        <f>IFERROR(__xludf.DUMMYFUNCTION("indirect(""Dupe!N""&amp;row())&amp;if(regexmatch(indirect(""C""&amp;row()),""Widen""),""
Widened
Any numeric measurements of the spell’s area increase by 100%"","""")"),"")</f>
        <v/>
      </c>
      <c r="O127" s="18"/>
      <c r="P12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7" s="18"/>
      <c r="R127" s="27" t="str">
        <f t="shared" si="31"/>
        <v/>
      </c>
      <c r="S127" s="18"/>
      <c r="T127" s="27" t="str">
        <f t="shared" si="32"/>
        <v/>
      </c>
      <c r="U127" s="18"/>
      <c r="V12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7" s="4"/>
      <c r="X127" s="4"/>
      <c r="Y127" s="18"/>
      <c r="Z127" s="38"/>
    </row>
    <row r="128">
      <c r="A128" s="2"/>
      <c r="B128" s="43"/>
      <c r="C128" s="40"/>
      <c r="D128" s="32" t="str">
        <f t="shared" si="29"/>
        <v/>
      </c>
      <c r="E128" s="23"/>
      <c r="F128" s="33" t="str">
        <f t="shared" si="30"/>
        <v/>
      </c>
      <c r="G128" s="23"/>
      <c r="H12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8" s="23"/>
      <c r="J12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8" s="23"/>
      <c r="L12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8" s="23"/>
      <c r="N128" s="33" t="str">
        <f>IFERROR(__xludf.DUMMYFUNCTION("indirect(""Dupe!N""&amp;row())&amp;if(regexmatch(indirect(""C""&amp;row()),""Widen""),""
Widened
Any numeric measurements of the spell’s area increase by 100%"","""")"),"")</f>
        <v/>
      </c>
      <c r="O128" s="23"/>
      <c r="P12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8" s="23"/>
      <c r="R128" s="33" t="str">
        <f t="shared" si="31"/>
        <v/>
      </c>
      <c r="S128" s="23"/>
      <c r="T128" s="33" t="str">
        <f t="shared" si="32"/>
        <v/>
      </c>
      <c r="U128" s="23"/>
      <c r="V12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8" s="10"/>
      <c r="X128" s="10"/>
      <c r="Y128" s="23"/>
      <c r="Z128" s="36"/>
    </row>
    <row r="129">
      <c r="A129" s="2"/>
      <c r="B129" s="25"/>
      <c r="C129" s="37"/>
      <c r="D129" s="26" t="str">
        <f t="shared" si="29"/>
        <v/>
      </c>
      <c r="E129" s="18"/>
      <c r="F129" s="27" t="str">
        <f t="shared" si="30"/>
        <v/>
      </c>
      <c r="G129" s="18"/>
      <c r="H12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29" s="18"/>
      <c r="J12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29" s="18"/>
      <c r="L12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29" s="18"/>
      <c r="N129" s="27" t="str">
        <f>IFERROR(__xludf.DUMMYFUNCTION("indirect(""Dupe!N""&amp;row())&amp;if(regexmatch(indirect(""C""&amp;row()),""Widen""),""
Widened
Any numeric measurements of the spell’s area increase by 100%"","""")"),"")</f>
        <v/>
      </c>
      <c r="O129" s="18"/>
      <c r="P12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29" s="18"/>
      <c r="R129" s="27" t="str">
        <f t="shared" si="31"/>
        <v/>
      </c>
      <c r="S129" s="18"/>
      <c r="T129" s="27" t="str">
        <f t="shared" si="32"/>
        <v/>
      </c>
      <c r="U129" s="18"/>
      <c r="V12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29" s="4"/>
      <c r="X129" s="4"/>
      <c r="Y129" s="18"/>
      <c r="Z129" s="38"/>
    </row>
    <row r="130">
      <c r="A130" s="2"/>
      <c r="B130" s="43"/>
      <c r="C130" s="40"/>
      <c r="D130" s="32" t="str">
        <f t="shared" si="29"/>
        <v/>
      </c>
      <c r="E130" s="23"/>
      <c r="F130" s="33" t="str">
        <f t="shared" si="30"/>
        <v/>
      </c>
      <c r="G130" s="23"/>
      <c r="H13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0" s="23"/>
      <c r="J13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0" s="23"/>
      <c r="L13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0" s="23"/>
      <c r="N130" s="33" t="str">
        <f>IFERROR(__xludf.DUMMYFUNCTION("indirect(""Dupe!N""&amp;row())&amp;if(regexmatch(indirect(""C""&amp;row()),""Widen""),""
Widened
Any numeric measurements of the spell’s area increase by 100%"","""")"),"")</f>
        <v/>
      </c>
      <c r="O130" s="23"/>
      <c r="P13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0" s="23"/>
      <c r="R130" s="33" t="str">
        <f t="shared" si="31"/>
        <v/>
      </c>
      <c r="S130" s="23"/>
      <c r="T130" s="33" t="str">
        <f t="shared" si="32"/>
        <v/>
      </c>
      <c r="U130" s="23"/>
      <c r="V13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0" s="10"/>
      <c r="X130" s="10"/>
      <c r="Y130" s="23"/>
      <c r="Z130" s="36"/>
    </row>
    <row r="131">
      <c r="A131" s="2"/>
      <c r="B131" s="16" t="s">
        <v>41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7" t="s">
        <v>14</v>
      </c>
      <c r="W131" s="4"/>
      <c r="X131" s="18"/>
      <c r="Y131" s="19" t="str">
        <f>SUM(Z133)&amp;"/"&amp;if(dget(base_spells,"7th",F2:F3),1,0)</f>
        <v>0/0</v>
      </c>
      <c r="Z131" s="42"/>
    </row>
    <row r="132">
      <c r="A132" s="2"/>
      <c r="B132" s="21" t="s">
        <v>15</v>
      </c>
      <c r="C132" s="21" t="s">
        <v>16</v>
      </c>
      <c r="D132" s="22" t="s">
        <v>17</v>
      </c>
      <c r="E132" s="23"/>
      <c r="F132" s="22" t="s">
        <v>18</v>
      </c>
      <c r="G132" s="23"/>
      <c r="H132" s="22" t="s">
        <v>19</v>
      </c>
      <c r="I132" s="23"/>
      <c r="J132" s="22" t="s">
        <v>20</v>
      </c>
      <c r="K132" s="23"/>
      <c r="L132" s="22" t="s">
        <v>21</v>
      </c>
      <c r="M132" s="23"/>
      <c r="N132" s="22" t="s">
        <v>22</v>
      </c>
      <c r="O132" s="23"/>
      <c r="P132" s="22" t="s">
        <v>23</v>
      </c>
      <c r="Q132" s="23"/>
      <c r="R132" s="22" t="s">
        <v>24</v>
      </c>
      <c r="S132" s="23"/>
      <c r="T132" s="22" t="s">
        <v>25</v>
      </c>
      <c r="U132" s="23"/>
      <c r="V132" s="22" t="s">
        <v>26</v>
      </c>
      <c r="W132" s="10"/>
      <c r="X132" s="10"/>
      <c r="Y132" s="23"/>
      <c r="Z132" s="21" t="s">
        <v>27</v>
      </c>
    </row>
    <row r="133">
      <c r="A133" s="2"/>
      <c r="B133" s="25"/>
      <c r="C133" s="25"/>
      <c r="D133" s="26" t="str">
        <f>indirect("Dupe!D"&amp;ROW())</f>
        <v/>
      </c>
      <c r="E133" s="18"/>
      <c r="F133" s="27" t="str">
        <f>indirect("Dupe!F"&amp;ROW())</f>
        <v/>
      </c>
      <c r="G133" s="18"/>
      <c r="H13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3" s="18"/>
      <c r="J13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3" s="18"/>
      <c r="L13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3" s="18"/>
      <c r="N133" s="27" t="str">
        <f>IFERROR(__xludf.DUMMYFUNCTION("indirect(""Dupe!N""&amp;row())&amp;if(regexmatch(indirect(""C""&amp;row()),""Widen""),""
Widened
Any numeric measurements of the spell’s area increase by 100%"","""")"),"")</f>
        <v/>
      </c>
      <c r="O133" s="18"/>
      <c r="P13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3" s="18"/>
      <c r="R133" s="27" t="str">
        <f>indirect("Dupe!R"&amp;row())</f>
        <v/>
      </c>
      <c r="S133" s="18"/>
      <c r="T133" s="27" t="str">
        <f>indirect("Dupe!T"&amp;row())</f>
        <v/>
      </c>
      <c r="U133" s="18"/>
      <c r="V13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3" s="4"/>
      <c r="X133" s="4"/>
      <c r="Y133" s="18"/>
      <c r="Z133" s="38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16" t="s">
        <v>42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7" t="s">
        <v>14</v>
      </c>
      <c r="W135" s="4"/>
      <c r="X135" s="18"/>
      <c r="Y135" s="19" t="str">
        <f>SUM(Z137:Z146)&amp;"/"&amp;if(dget(base_spells,"8th",F2:F3),dget(base_spells,"8th",F2:F3)+dget(bonus_spells,"8th",H2:H3),0)</f>
        <v>0/0</v>
      </c>
      <c r="Z135" s="42"/>
    </row>
    <row r="136">
      <c r="A136" s="2"/>
      <c r="B136" s="21" t="s">
        <v>15</v>
      </c>
      <c r="C136" s="21" t="s">
        <v>16</v>
      </c>
      <c r="D136" s="22" t="s">
        <v>17</v>
      </c>
      <c r="E136" s="23"/>
      <c r="F136" s="22" t="s">
        <v>18</v>
      </c>
      <c r="G136" s="23"/>
      <c r="H136" s="22" t="s">
        <v>19</v>
      </c>
      <c r="I136" s="23"/>
      <c r="J136" s="22" t="s">
        <v>20</v>
      </c>
      <c r="K136" s="23"/>
      <c r="L136" s="22" t="s">
        <v>21</v>
      </c>
      <c r="M136" s="23"/>
      <c r="N136" s="22" t="s">
        <v>22</v>
      </c>
      <c r="O136" s="23"/>
      <c r="P136" s="22" t="s">
        <v>23</v>
      </c>
      <c r="Q136" s="23"/>
      <c r="R136" s="22" t="s">
        <v>24</v>
      </c>
      <c r="S136" s="23"/>
      <c r="T136" s="22" t="s">
        <v>25</v>
      </c>
      <c r="U136" s="23"/>
      <c r="V136" s="22" t="s">
        <v>26</v>
      </c>
      <c r="W136" s="10"/>
      <c r="X136" s="10"/>
      <c r="Y136" s="23"/>
      <c r="Z136" s="21" t="s">
        <v>27</v>
      </c>
    </row>
    <row r="137">
      <c r="A137" s="2"/>
      <c r="B137" s="25"/>
      <c r="C137" s="25"/>
      <c r="D137" s="26" t="str">
        <f t="shared" ref="D137:D146" si="33">indirect("Dupe!D"&amp;ROW())</f>
        <v/>
      </c>
      <c r="E137" s="18"/>
      <c r="F137" s="27" t="str">
        <f t="shared" ref="F137:F146" si="34">indirect("Dupe!F"&amp;ROW())</f>
        <v/>
      </c>
      <c r="G137" s="18"/>
      <c r="H13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7" s="18"/>
      <c r="J13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7" s="18"/>
      <c r="L13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7" s="18"/>
      <c r="N137" s="27" t="str">
        <f>IFERROR(__xludf.DUMMYFUNCTION("indirect(""Dupe!N""&amp;row())&amp;if(regexmatch(indirect(""C""&amp;row()),""Widen""),""
Widened
Any numeric measurements of the spell’s area increase by 100%"","""")"),"")</f>
        <v/>
      </c>
      <c r="O137" s="18"/>
      <c r="P13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7" s="18"/>
      <c r="R137" s="27" t="str">
        <f t="shared" ref="R137:R146" si="35">indirect("Dupe!R"&amp;row())</f>
        <v/>
      </c>
      <c r="S137" s="18"/>
      <c r="T137" s="27" t="str">
        <f t="shared" ref="T137:T146" si="36">indirect("Dupe!T"&amp;row())</f>
        <v/>
      </c>
      <c r="U137" s="18"/>
      <c r="V13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7" s="4"/>
      <c r="X137" s="4"/>
      <c r="Y137" s="18"/>
      <c r="Z137" s="30"/>
    </row>
    <row r="138">
      <c r="A138" s="2"/>
      <c r="B138" s="43"/>
      <c r="C138" s="31"/>
      <c r="D138" s="32" t="str">
        <f t="shared" si="33"/>
        <v/>
      </c>
      <c r="E138" s="23"/>
      <c r="F138" s="33" t="str">
        <f t="shared" si="34"/>
        <v/>
      </c>
      <c r="G138" s="23"/>
      <c r="H13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8" s="23"/>
      <c r="J13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8" s="23"/>
      <c r="L13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8" s="23"/>
      <c r="N138" s="33" t="str">
        <f>IFERROR(__xludf.DUMMYFUNCTION("indirect(""Dupe!N""&amp;row())&amp;if(regexmatch(indirect(""C""&amp;row()),""Widen""),""
Widened
Any numeric measurements of the spell’s area increase by 100%"","""")"),"")</f>
        <v/>
      </c>
      <c r="O138" s="23"/>
      <c r="P13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8" s="23"/>
      <c r="R138" s="33" t="str">
        <f t="shared" si="35"/>
        <v/>
      </c>
      <c r="S138" s="23"/>
      <c r="T138" s="33" t="str">
        <f t="shared" si="36"/>
        <v/>
      </c>
      <c r="U138" s="23"/>
      <c r="V13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8" s="10"/>
      <c r="X138" s="10"/>
      <c r="Y138" s="23"/>
      <c r="Z138" s="36"/>
    </row>
    <row r="139">
      <c r="A139" s="2"/>
      <c r="B139" s="25"/>
      <c r="C139" s="37"/>
      <c r="D139" s="26" t="str">
        <f t="shared" si="33"/>
        <v/>
      </c>
      <c r="E139" s="18"/>
      <c r="F139" s="27" t="str">
        <f t="shared" si="34"/>
        <v/>
      </c>
      <c r="G139" s="18"/>
      <c r="H13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39" s="18"/>
      <c r="J13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39" s="18"/>
      <c r="L13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39" s="18"/>
      <c r="N139" s="27" t="str">
        <f>IFERROR(__xludf.DUMMYFUNCTION("indirect(""Dupe!N""&amp;row())&amp;if(regexmatch(indirect(""C""&amp;row()),""Widen""),""
Widened
Any numeric measurements of the spell’s area increase by 100%"","""")"),"")</f>
        <v/>
      </c>
      <c r="O139" s="18"/>
      <c r="P13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39" s="18"/>
      <c r="R139" s="27" t="str">
        <f t="shared" si="35"/>
        <v/>
      </c>
      <c r="S139" s="18"/>
      <c r="T139" s="27" t="str">
        <f t="shared" si="36"/>
        <v/>
      </c>
      <c r="U139" s="18"/>
      <c r="V13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39" s="4"/>
      <c r="X139" s="4"/>
      <c r="Y139" s="18"/>
      <c r="Z139" s="38"/>
    </row>
    <row r="140">
      <c r="A140" s="2"/>
      <c r="B140" s="43"/>
      <c r="C140" s="40"/>
      <c r="D140" s="32" t="str">
        <f t="shared" si="33"/>
        <v/>
      </c>
      <c r="E140" s="23"/>
      <c r="F140" s="33" t="str">
        <f t="shared" si="34"/>
        <v/>
      </c>
      <c r="G140" s="23"/>
      <c r="H14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0" s="23"/>
      <c r="J14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0" s="23"/>
      <c r="L14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0" s="23"/>
      <c r="N140" s="33" t="str">
        <f>IFERROR(__xludf.DUMMYFUNCTION("indirect(""Dupe!N""&amp;row())&amp;if(regexmatch(indirect(""C""&amp;row()),""Widen""),""
Widened
Any numeric measurements of the spell’s area increase by 100%"","""")"),"")</f>
        <v/>
      </c>
      <c r="O140" s="23"/>
      <c r="P14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0" s="23"/>
      <c r="R140" s="33" t="str">
        <f t="shared" si="35"/>
        <v/>
      </c>
      <c r="S140" s="23"/>
      <c r="T140" s="33" t="str">
        <f t="shared" si="36"/>
        <v/>
      </c>
      <c r="U140" s="23"/>
      <c r="V14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0" s="10"/>
      <c r="X140" s="10"/>
      <c r="Y140" s="23"/>
      <c r="Z140" s="36"/>
    </row>
    <row r="141">
      <c r="A141" s="2"/>
      <c r="B141" s="25"/>
      <c r="C141" s="37"/>
      <c r="D141" s="26" t="str">
        <f t="shared" si="33"/>
        <v/>
      </c>
      <c r="E141" s="18"/>
      <c r="F141" s="27" t="str">
        <f t="shared" si="34"/>
        <v/>
      </c>
      <c r="G141" s="18"/>
      <c r="H14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1" s="18"/>
      <c r="J14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1" s="18"/>
      <c r="L14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1" s="18"/>
      <c r="N141" s="27" t="str">
        <f>IFERROR(__xludf.DUMMYFUNCTION("indirect(""Dupe!N""&amp;row())&amp;if(regexmatch(indirect(""C""&amp;row()),""Widen""),""
Widened
Any numeric measurements of the spell’s area increase by 100%"","""")"),"")</f>
        <v/>
      </c>
      <c r="O141" s="18"/>
      <c r="P14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1" s="18"/>
      <c r="R141" s="27" t="str">
        <f t="shared" si="35"/>
        <v/>
      </c>
      <c r="S141" s="18"/>
      <c r="T141" s="27" t="str">
        <f t="shared" si="36"/>
        <v/>
      </c>
      <c r="U141" s="18"/>
      <c r="V14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1" s="4"/>
      <c r="X141" s="4"/>
      <c r="Y141" s="18"/>
      <c r="Z141" s="38"/>
    </row>
    <row r="142">
      <c r="A142" s="2"/>
      <c r="B142" s="43"/>
      <c r="C142" s="43"/>
      <c r="D142" s="32" t="str">
        <f t="shared" si="33"/>
        <v/>
      </c>
      <c r="E142" s="23"/>
      <c r="F142" s="33" t="str">
        <f t="shared" si="34"/>
        <v/>
      </c>
      <c r="G142" s="23"/>
      <c r="H14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2" s="23"/>
      <c r="J14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2" s="23"/>
      <c r="L14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2" s="23"/>
      <c r="N142" s="33" t="str">
        <f>IFERROR(__xludf.DUMMYFUNCTION("indirect(""Dupe!N""&amp;row())&amp;if(regexmatch(indirect(""C""&amp;row()),""Widen""),""
Widened
Any numeric measurements of the spell’s area increase by 100%"","""")"),"")</f>
        <v/>
      </c>
      <c r="O142" s="23"/>
      <c r="P14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2" s="23"/>
      <c r="R142" s="33" t="str">
        <f t="shared" si="35"/>
        <v/>
      </c>
      <c r="S142" s="23"/>
      <c r="T142" s="33" t="str">
        <f t="shared" si="36"/>
        <v/>
      </c>
      <c r="U142" s="23"/>
      <c r="V14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2" s="10"/>
      <c r="X142" s="10"/>
      <c r="Y142" s="23"/>
      <c r="Z142" s="36"/>
    </row>
    <row r="143">
      <c r="A143" s="2"/>
      <c r="B143" s="25"/>
      <c r="C143" s="44"/>
      <c r="D143" s="26" t="str">
        <f t="shared" si="33"/>
        <v/>
      </c>
      <c r="E143" s="18"/>
      <c r="F143" s="27" t="str">
        <f t="shared" si="34"/>
        <v/>
      </c>
      <c r="G143" s="18"/>
      <c r="H14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3" s="18"/>
      <c r="J14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3" s="18"/>
      <c r="L14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3" s="18"/>
      <c r="N143" s="27" t="str">
        <f>IFERROR(__xludf.DUMMYFUNCTION("indirect(""Dupe!N""&amp;row())&amp;if(regexmatch(indirect(""C""&amp;row()),""Widen""),""
Widened
Any numeric measurements of the spell’s area increase by 100%"","""")"),"")</f>
        <v/>
      </c>
      <c r="O143" s="18"/>
      <c r="P14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3" s="18"/>
      <c r="R143" s="27" t="str">
        <f t="shared" si="35"/>
        <v/>
      </c>
      <c r="S143" s="18"/>
      <c r="T143" s="27" t="str">
        <f t="shared" si="36"/>
        <v/>
      </c>
      <c r="U143" s="18"/>
      <c r="V14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3" s="4"/>
      <c r="X143" s="4"/>
      <c r="Y143" s="18"/>
      <c r="Z143" s="38"/>
    </row>
    <row r="144">
      <c r="A144" s="2"/>
      <c r="B144" s="43"/>
      <c r="C144" s="40"/>
      <c r="D144" s="32" t="str">
        <f t="shared" si="33"/>
        <v/>
      </c>
      <c r="E144" s="23"/>
      <c r="F144" s="33" t="str">
        <f t="shared" si="34"/>
        <v/>
      </c>
      <c r="G144" s="23"/>
      <c r="H14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4" s="23"/>
      <c r="J14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4" s="23"/>
      <c r="L14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4" s="23"/>
      <c r="N144" s="33" t="str">
        <f>IFERROR(__xludf.DUMMYFUNCTION("indirect(""Dupe!N""&amp;row())&amp;if(regexmatch(indirect(""C""&amp;row()),""Widen""),""
Widened
Any numeric measurements of the spell’s area increase by 100%"","""")"),"")</f>
        <v/>
      </c>
      <c r="O144" s="23"/>
      <c r="P14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4" s="23"/>
      <c r="R144" s="33" t="str">
        <f t="shared" si="35"/>
        <v/>
      </c>
      <c r="S144" s="23"/>
      <c r="T144" s="33" t="str">
        <f t="shared" si="36"/>
        <v/>
      </c>
      <c r="U144" s="23"/>
      <c r="V14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4" s="10"/>
      <c r="X144" s="10"/>
      <c r="Y144" s="23"/>
      <c r="Z144" s="36"/>
    </row>
    <row r="145">
      <c r="A145" s="2"/>
      <c r="B145" s="25"/>
      <c r="C145" s="37"/>
      <c r="D145" s="26" t="str">
        <f t="shared" si="33"/>
        <v/>
      </c>
      <c r="E145" s="18"/>
      <c r="F145" s="27" t="str">
        <f t="shared" si="34"/>
        <v/>
      </c>
      <c r="G145" s="18"/>
      <c r="H14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5" s="18"/>
      <c r="J14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5" s="18"/>
      <c r="L14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5" s="18"/>
      <c r="N145" s="27" t="str">
        <f>IFERROR(__xludf.DUMMYFUNCTION("indirect(""Dupe!N""&amp;row())&amp;if(regexmatch(indirect(""C""&amp;row()),""Widen""),""
Widened
Any numeric measurements of the spell’s area increase by 100%"","""")"),"")</f>
        <v/>
      </c>
      <c r="O145" s="18"/>
      <c r="P14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5" s="18"/>
      <c r="R145" s="27" t="str">
        <f t="shared" si="35"/>
        <v/>
      </c>
      <c r="S145" s="18"/>
      <c r="T145" s="27" t="str">
        <f t="shared" si="36"/>
        <v/>
      </c>
      <c r="U145" s="18"/>
      <c r="V14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5" s="4"/>
      <c r="X145" s="4"/>
      <c r="Y145" s="18"/>
      <c r="Z145" s="38"/>
    </row>
    <row r="146">
      <c r="A146" s="2"/>
      <c r="B146" s="43"/>
      <c r="C146" s="40"/>
      <c r="D146" s="32" t="str">
        <f t="shared" si="33"/>
        <v/>
      </c>
      <c r="E146" s="23"/>
      <c r="F146" s="33" t="str">
        <f t="shared" si="34"/>
        <v/>
      </c>
      <c r="G146" s="23"/>
      <c r="H14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6" s="23"/>
      <c r="J14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6" s="23"/>
      <c r="L14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6" s="23"/>
      <c r="N146" s="33" t="str">
        <f>IFERROR(__xludf.DUMMYFUNCTION("indirect(""Dupe!N""&amp;row())&amp;if(regexmatch(indirect(""C""&amp;row()),""Widen""),""
Widened
Any numeric measurements of the spell’s area increase by 100%"","""")"),"")</f>
        <v/>
      </c>
      <c r="O146" s="23"/>
      <c r="P14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6" s="23"/>
      <c r="R146" s="33" t="str">
        <f t="shared" si="35"/>
        <v/>
      </c>
      <c r="S146" s="23"/>
      <c r="T146" s="33" t="str">
        <f t="shared" si="36"/>
        <v/>
      </c>
      <c r="U146" s="23"/>
      <c r="V14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6" s="10"/>
      <c r="X146" s="10"/>
      <c r="Y146" s="23"/>
      <c r="Z146" s="36"/>
    </row>
    <row r="147">
      <c r="A147" s="2"/>
      <c r="B147" s="16" t="s">
        <v>43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17" t="s">
        <v>14</v>
      </c>
      <c r="W147" s="4"/>
      <c r="X147" s="18"/>
      <c r="Y147" s="19" t="str">
        <f>SUM(Z149)&amp;"/"&amp;if(dget(base_spells,"8th",F2:F3),1,0)</f>
        <v>0/0</v>
      </c>
      <c r="Z147" s="42"/>
    </row>
    <row r="148">
      <c r="A148" s="2"/>
      <c r="B148" s="21" t="s">
        <v>15</v>
      </c>
      <c r="C148" s="21" t="s">
        <v>16</v>
      </c>
      <c r="D148" s="22" t="s">
        <v>17</v>
      </c>
      <c r="E148" s="23"/>
      <c r="F148" s="22" t="s">
        <v>18</v>
      </c>
      <c r="G148" s="23"/>
      <c r="H148" s="22" t="s">
        <v>19</v>
      </c>
      <c r="I148" s="23"/>
      <c r="J148" s="22" t="s">
        <v>20</v>
      </c>
      <c r="K148" s="23"/>
      <c r="L148" s="22" t="s">
        <v>21</v>
      </c>
      <c r="M148" s="23"/>
      <c r="N148" s="22" t="s">
        <v>22</v>
      </c>
      <c r="O148" s="23"/>
      <c r="P148" s="22" t="s">
        <v>23</v>
      </c>
      <c r="Q148" s="23"/>
      <c r="R148" s="22" t="s">
        <v>24</v>
      </c>
      <c r="S148" s="23"/>
      <c r="T148" s="22" t="s">
        <v>25</v>
      </c>
      <c r="U148" s="23"/>
      <c r="V148" s="22" t="s">
        <v>26</v>
      </c>
      <c r="W148" s="10"/>
      <c r="X148" s="10"/>
      <c r="Y148" s="23"/>
      <c r="Z148" s="21" t="s">
        <v>27</v>
      </c>
    </row>
    <row r="149">
      <c r="A149" s="2"/>
      <c r="B149" s="25"/>
      <c r="C149" s="25"/>
      <c r="D149" s="26" t="str">
        <f>indirect("Dupe!D"&amp;ROW())</f>
        <v/>
      </c>
      <c r="E149" s="18"/>
      <c r="F149" s="27" t="str">
        <f>indirect("Dupe!F"&amp;ROW())</f>
        <v/>
      </c>
      <c r="G149" s="18"/>
      <c r="H14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49" s="18"/>
      <c r="J14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49" s="18"/>
      <c r="L14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49" s="18"/>
      <c r="N149" s="27" t="str">
        <f>IFERROR(__xludf.DUMMYFUNCTION("indirect(""Dupe!N""&amp;row())&amp;if(regexmatch(indirect(""C""&amp;row()),""Widen""),""
Widened
Any numeric measurements of the spell’s area increase by 100%"","""")"),"")</f>
        <v/>
      </c>
      <c r="O149" s="18"/>
      <c r="P14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49" s="18"/>
      <c r="R149" s="27" t="str">
        <f>indirect("Dupe!R"&amp;row())</f>
        <v/>
      </c>
      <c r="S149" s="18"/>
      <c r="T149" s="27" t="str">
        <f>indirect("Dupe!T"&amp;row())</f>
        <v/>
      </c>
      <c r="U149" s="18"/>
      <c r="V14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49" s="4"/>
      <c r="X149" s="4"/>
      <c r="Y149" s="18"/>
      <c r="Z149" s="38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16" t="s">
        <v>44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17" t="s">
        <v>14</v>
      </c>
      <c r="W151" s="4"/>
      <c r="X151" s="18"/>
      <c r="Y151" s="19" t="str">
        <f>SUM(Z153:Z162)&amp;"/"&amp;if(dget(base_spells,"9th",F2:F3),dget(base_spells,"9th",F2:F3)+dget(bonus_spells,"9th",H2:H3),0)</f>
        <v>0/0</v>
      </c>
      <c r="Z151" s="42"/>
    </row>
    <row r="152">
      <c r="A152" s="2"/>
      <c r="B152" s="21" t="s">
        <v>15</v>
      </c>
      <c r="C152" s="21" t="s">
        <v>16</v>
      </c>
      <c r="D152" s="22" t="s">
        <v>17</v>
      </c>
      <c r="E152" s="23"/>
      <c r="F152" s="22" t="s">
        <v>18</v>
      </c>
      <c r="G152" s="23"/>
      <c r="H152" s="22" t="s">
        <v>19</v>
      </c>
      <c r="I152" s="23"/>
      <c r="J152" s="22" t="s">
        <v>20</v>
      </c>
      <c r="K152" s="23"/>
      <c r="L152" s="22" t="s">
        <v>21</v>
      </c>
      <c r="M152" s="23"/>
      <c r="N152" s="22" t="s">
        <v>22</v>
      </c>
      <c r="O152" s="23"/>
      <c r="P152" s="22" t="s">
        <v>23</v>
      </c>
      <c r="Q152" s="23"/>
      <c r="R152" s="22" t="s">
        <v>24</v>
      </c>
      <c r="S152" s="23"/>
      <c r="T152" s="22" t="s">
        <v>25</v>
      </c>
      <c r="U152" s="23"/>
      <c r="V152" s="22" t="s">
        <v>26</v>
      </c>
      <c r="W152" s="10"/>
      <c r="X152" s="10"/>
      <c r="Y152" s="23"/>
      <c r="Z152" s="21" t="s">
        <v>27</v>
      </c>
    </row>
    <row r="153">
      <c r="A153" s="2"/>
      <c r="B153" s="25"/>
      <c r="C153" s="25"/>
      <c r="D153" s="26" t="str">
        <f t="shared" ref="D153:D162" si="37">indirect("Dupe!D"&amp;ROW())</f>
        <v/>
      </c>
      <c r="E153" s="18"/>
      <c r="F153" s="27" t="str">
        <f t="shared" ref="F153:F162" si="38">indirect("Dupe!F"&amp;ROW())</f>
        <v/>
      </c>
      <c r="G153" s="18"/>
      <c r="H153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3" s="18"/>
      <c r="J153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3" s="18"/>
      <c r="L153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3" s="18"/>
      <c r="N153" s="27" t="str">
        <f>IFERROR(__xludf.DUMMYFUNCTION("indirect(""Dupe!N""&amp;row())&amp;if(regexmatch(indirect(""C""&amp;row()),""Widen""),""
Widened
Any numeric measurements of the spell’s area increase by 100%"","""")"),"")</f>
        <v/>
      </c>
      <c r="O153" s="18"/>
      <c r="P153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3" s="18"/>
      <c r="R153" s="27" t="str">
        <f t="shared" ref="R153:R162" si="39">indirect("Dupe!R"&amp;row())</f>
        <v/>
      </c>
      <c r="S153" s="18"/>
      <c r="T153" s="27" t="str">
        <f t="shared" ref="T153:T162" si="40">indirect("Dupe!T"&amp;row())</f>
        <v/>
      </c>
      <c r="U153" s="18"/>
      <c r="V153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3" s="4"/>
      <c r="X153" s="4"/>
      <c r="Y153" s="18"/>
      <c r="Z153" s="30"/>
    </row>
    <row r="154">
      <c r="A154" s="2"/>
      <c r="B154" s="43"/>
      <c r="C154" s="31"/>
      <c r="D154" s="32" t="str">
        <f t="shared" si="37"/>
        <v/>
      </c>
      <c r="E154" s="23"/>
      <c r="F154" s="33" t="str">
        <f t="shared" si="38"/>
        <v/>
      </c>
      <c r="G154" s="23"/>
      <c r="H154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4" s="23"/>
      <c r="J154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4" s="23"/>
      <c r="L154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4" s="23"/>
      <c r="N154" s="33" t="str">
        <f>IFERROR(__xludf.DUMMYFUNCTION("indirect(""Dupe!N""&amp;row())&amp;if(regexmatch(indirect(""C""&amp;row()),""Widen""),""
Widened
Any numeric measurements of the spell’s area increase by 100%"","""")"),"")</f>
        <v/>
      </c>
      <c r="O154" s="23"/>
      <c r="P154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4" s="23"/>
      <c r="R154" s="33" t="str">
        <f t="shared" si="39"/>
        <v/>
      </c>
      <c r="S154" s="23"/>
      <c r="T154" s="33" t="str">
        <f t="shared" si="40"/>
        <v/>
      </c>
      <c r="U154" s="23"/>
      <c r="V154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4" s="10"/>
      <c r="X154" s="10"/>
      <c r="Y154" s="23"/>
      <c r="Z154" s="36"/>
    </row>
    <row r="155">
      <c r="A155" s="2"/>
      <c r="B155" s="25"/>
      <c r="C155" s="37"/>
      <c r="D155" s="26" t="str">
        <f t="shared" si="37"/>
        <v/>
      </c>
      <c r="E155" s="18"/>
      <c r="F155" s="27" t="str">
        <f t="shared" si="38"/>
        <v/>
      </c>
      <c r="G155" s="18"/>
      <c r="H15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5" s="18"/>
      <c r="J15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5" s="18"/>
      <c r="L15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5" s="18"/>
      <c r="N155" s="27" t="str">
        <f>IFERROR(__xludf.DUMMYFUNCTION("indirect(""Dupe!N""&amp;row())&amp;if(regexmatch(indirect(""C""&amp;row()),""Widen""),""
Widened
Any numeric measurements of the spell’s area increase by 100%"","""")"),"")</f>
        <v/>
      </c>
      <c r="O155" s="18"/>
      <c r="P15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5" s="18"/>
      <c r="R155" s="27" t="str">
        <f t="shared" si="39"/>
        <v/>
      </c>
      <c r="S155" s="18"/>
      <c r="T155" s="27" t="str">
        <f t="shared" si="40"/>
        <v/>
      </c>
      <c r="U155" s="18"/>
      <c r="V15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5" s="4"/>
      <c r="X155" s="4"/>
      <c r="Y155" s="18"/>
      <c r="Z155" s="38"/>
    </row>
    <row r="156">
      <c r="A156" s="2"/>
      <c r="B156" s="43"/>
      <c r="C156" s="40"/>
      <c r="D156" s="32" t="str">
        <f t="shared" si="37"/>
        <v/>
      </c>
      <c r="E156" s="23"/>
      <c r="F156" s="33" t="str">
        <f t="shared" si="38"/>
        <v/>
      </c>
      <c r="G156" s="23"/>
      <c r="H156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6" s="23"/>
      <c r="J156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6" s="23"/>
      <c r="L156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6" s="23"/>
      <c r="N156" s="33" t="str">
        <f>IFERROR(__xludf.DUMMYFUNCTION("indirect(""Dupe!N""&amp;row())&amp;if(regexmatch(indirect(""C""&amp;row()),""Widen""),""
Widened
Any numeric measurements of the spell’s area increase by 100%"","""")"),"")</f>
        <v/>
      </c>
      <c r="O156" s="23"/>
      <c r="P156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6" s="23"/>
      <c r="R156" s="33" t="str">
        <f t="shared" si="39"/>
        <v/>
      </c>
      <c r="S156" s="23"/>
      <c r="T156" s="33" t="str">
        <f t="shared" si="40"/>
        <v/>
      </c>
      <c r="U156" s="23"/>
      <c r="V156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6" s="10"/>
      <c r="X156" s="10"/>
      <c r="Y156" s="23"/>
      <c r="Z156" s="36"/>
    </row>
    <row r="157">
      <c r="A157" s="2"/>
      <c r="B157" s="25"/>
      <c r="C157" s="37"/>
      <c r="D157" s="26" t="str">
        <f t="shared" si="37"/>
        <v/>
      </c>
      <c r="E157" s="18"/>
      <c r="F157" s="27" t="str">
        <f t="shared" si="38"/>
        <v/>
      </c>
      <c r="G157" s="18"/>
      <c r="H157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7" s="18"/>
      <c r="J157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7" s="18"/>
      <c r="L157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7" s="18"/>
      <c r="N157" s="27" t="str">
        <f>IFERROR(__xludf.DUMMYFUNCTION("indirect(""Dupe!N""&amp;row())&amp;if(regexmatch(indirect(""C""&amp;row()),""Widen""),""
Widened
Any numeric measurements of the spell’s area increase by 100%"","""")"),"")</f>
        <v/>
      </c>
      <c r="O157" s="18"/>
      <c r="P157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7" s="18"/>
      <c r="R157" s="27" t="str">
        <f t="shared" si="39"/>
        <v/>
      </c>
      <c r="S157" s="18"/>
      <c r="T157" s="27" t="str">
        <f t="shared" si="40"/>
        <v/>
      </c>
      <c r="U157" s="18"/>
      <c r="V157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7" s="4"/>
      <c r="X157" s="4"/>
      <c r="Y157" s="18"/>
      <c r="Z157" s="38"/>
    </row>
    <row r="158">
      <c r="A158" s="2"/>
      <c r="B158" s="43"/>
      <c r="C158" s="43"/>
      <c r="D158" s="32" t="str">
        <f t="shared" si="37"/>
        <v/>
      </c>
      <c r="E158" s="23"/>
      <c r="F158" s="33" t="str">
        <f t="shared" si="38"/>
        <v/>
      </c>
      <c r="G158" s="23"/>
      <c r="H158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8" s="23"/>
      <c r="J158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8" s="23"/>
      <c r="L158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8" s="23"/>
      <c r="N158" s="33" t="str">
        <f>IFERROR(__xludf.DUMMYFUNCTION("indirect(""Dupe!N""&amp;row())&amp;if(regexmatch(indirect(""C""&amp;row()),""Widen""),""
Widened
Any numeric measurements of the spell’s area increase by 100%"","""")"),"")</f>
        <v/>
      </c>
      <c r="O158" s="23"/>
      <c r="P158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8" s="23"/>
      <c r="R158" s="33" t="str">
        <f t="shared" si="39"/>
        <v/>
      </c>
      <c r="S158" s="23"/>
      <c r="T158" s="33" t="str">
        <f t="shared" si="40"/>
        <v/>
      </c>
      <c r="U158" s="23"/>
      <c r="V158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8" s="10"/>
      <c r="X158" s="10"/>
      <c r="Y158" s="23"/>
      <c r="Z158" s="36"/>
    </row>
    <row r="159">
      <c r="A159" s="2"/>
      <c r="B159" s="25"/>
      <c r="C159" s="44"/>
      <c r="D159" s="26" t="str">
        <f t="shared" si="37"/>
        <v/>
      </c>
      <c r="E159" s="18"/>
      <c r="F159" s="27" t="str">
        <f t="shared" si="38"/>
        <v/>
      </c>
      <c r="G159" s="18"/>
      <c r="H159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59" s="18"/>
      <c r="J159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59" s="18"/>
      <c r="L159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59" s="18"/>
      <c r="N159" s="27" t="str">
        <f>IFERROR(__xludf.DUMMYFUNCTION("indirect(""Dupe!N""&amp;row())&amp;if(regexmatch(indirect(""C""&amp;row()),""Widen""),""
Widened
Any numeric measurements of the spell’s area increase by 100%"","""")"),"")</f>
        <v/>
      </c>
      <c r="O159" s="18"/>
      <c r="P159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59" s="18"/>
      <c r="R159" s="27" t="str">
        <f t="shared" si="39"/>
        <v/>
      </c>
      <c r="S159" s="18"/>
      <c r="T159" s="27" t="str">
        <f t="shared" si="40"/>
        <v/>
      </c>
      <c r="U159" s="18"/>
      <c r="V159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59" s="4"/>
      <c r="X159" s="4"/>
      <c r="Y159" s="18"/>
      <c r="Z159" s="38"/>
    </row>
    <row r="160">
      <c r="A160" s="2"/>
      <c r="B160" s="43"/>
      <c r="C160" s="40"/>
      <c r="D160" s="32" t="str">
        <f t="shared" si="37"/>
        <v/>
      </c>
      <c r="E160" s="23"/>
      <c r="F160" s="33" t="str">
        <f t="shared" si="38"/>
        <v/>
      </c>
      <c r="G160" s="23"/>
      <c r="H160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0" s="23"/>
      <c r="J160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0" s="23"/>
      <c r="L160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0" s="23"/>
      <c r="N160" s="33" t="str">
        <f>IFERROR(__xludf.DUMMYFUNCTION("indirect(""Dupe!N""&amp;row())&amp;if(regexmatch(indirect(""C""&amp;row()),""Widen""),""
Widened
Any numeric measurements of the spell’s area increase by 100%"","""")"),"")</f>
        <v/>
      </c>
      <c r="O160" s="23"/>
      <c r="P160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0" s="23"/>
      <c r="R160" s="33" t="str">
        <f t="shared" si="39"/>
        <v/>
      </c>
      <c r="S160" s="23"/>
      <c r="T160" s="33" t="str">
        <f t="shared" si="40"/>
        <v/>
      </c>
      <c r="U160" s="23"/>
      <c r="V160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0" s="10"/>
      <c r="X160" s="10"/>
      <c r="Y160" s="23"/>
      <c r="Z160" s="36"/>
    </row>
    <row r="161">
      <c r="A161" s="2"/>
      <c r="B161" s="25"/>
      <c r="C161" s="37"/>
      <c r="D161" s="26" t="str">
        <f t="shared" si="37"/>
        <v/>
      </c>
      <c r="E161" s="18"/>
      <c r="F161" s="27" t="str">
        <f t="shared" si="38"/>
        <v/>
      </c>
      <c r="G161" s="18"/>
      <c r="H161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1" s="18"/>
      <c r="J161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1" s="18"/>
      <c r="L161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1" s="18"/>
      <c r="N161" s="27" t="str">
        <f>IFERROR(__xludf.DUMMYFUNCTION("indirect(""Dupe!N""&amp;row())&amp;if(regexmatch(indirect(""C""&amp;row()),""Widen""),""
Widened
Any numeric measurements of the spell’s area increase by 100%"","""")"),"")</f>
        <v/>
      </c>
      <c r="O161" s="18"/>
      <c r="P161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1" s="18"/>
      <c r="R161" s="27" t="str">
        <f t="shared" si="39"/>
        <v/>
      </c>
      <c r="S161" s="18"/>
      <c r="T161" s="27" t="str">
        <f t="shared" si="40"/>
        <v/>
      </c>
      <c r="U161" s="18"/>
      <c r="V161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1" s="4"/>
      <c r="X161" s="4"/>
      <c r="Y161" s="18"/>
      <c r="Z161" s="38"/>
    </row>
    <row r="162">
      <c r="A162" s="2"/>
      <c r="B162" s="43"/>
      <c r="C162" s="40"/>
      <c r="D162" s="32" t="str">
        <f t="shared" si="37"/>
        <v/>
      </c>
      <c r="E162" s="23"/>
      <c r="F162" s="33" t="str">
        <f t="shared" si="38"/>
        <v/>
      </c>
      <c r="G162" s="23"/>
      <c r="H162" s="34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2" s="23"/>
      <c r="J162" s="33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2" s="23"/>
      <c r="L162" s="33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2" s="23"/>
      <c r="N162" s="33" t="str">
        <f>IFERROR(__xludf.DUMMYFUNCTION("indirect(""Dupe!N""&amp;row())&amp;if(regexmatch(indirect(""C""&amp;row()),""Widen""),""
Widened
Any numeric measurements of the spell’s area increase by 100%"","""")"),"")</f>
        <v/>
      </c>
      <c r="O162" s="23"/>
      <c r="P162" s="33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2" s="23"/>
      <c r="R162" s="33" t="str">
        <f t="shared" si="39"/>
        <v/>
      </c>
      <c r="S162" s="23"/>
      <c r="T162" s="33" t="str">
        <f t="shared" si="40"/>
        <v/>
      </c>
      <c r="U162" s="23"/>
      <c r="V162" s="35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2" s="10"/>
      <c r="X162" s="10"/>
      <c r="Y162" s="23"/>
      <c r="Z162" s="36"/>
    </row>
    <row r="163">
      <c r="A163" s="2"/>
      <c r="B163" s="16" t="s">
        <v>45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17" t="s">
        <v>14</v>
      </c>
      <c r="W163" s="4"/>
      <c r="X163" s="18"/>
      <c r="Y163" s="19" t="str">
        <f>SUM(Z165)&amp;"/"&amp;if(dget(base_spells,"9th",F2:F3),1,0)</f>
        <v>0/0</v>
      </c>
      <c r="Z163" s="42"/>
    </row>
    <row r="164">
      <c r="A164" s="2"/>
      <c r="B164" s="21" t="s">
        <v>15</v>
      </c>
      <c r="C164" s="21" t="s">
        <v>16</v>
      </c>
      <c r="D164" s="22" t="s">
        <v>17</v>
      </c>
      <c r="E164" s="23"/>
      <c r="F164" s="22" t="s">
        <v>18</v>
      </c>
      <c r="G164" s="23"/>
      <c r="H164" s="22" t="s">
        <v>19</v>
      </c>
      <c r="I164" s="23"/>
      <c r="J164" s="22" t="s">
        <v>20</v>
      </c>
      <c r="K164" s="23"/>
      <c r="L164" s="22" t="s">
        <v>21</v>
      </c>
      <c r="M164" s="23"/>
      <c r="N164" s="22" t="s">
        <v>22</v>
      </c>
      <c r="O164" s="23"/>
      <c r="P164" s="22" t="s">
        <v>23</v>
      </c>
      <c r="Q164" s="23"/>
      <c r="R164" s="22" t="s">
        <v>24</v>
      </c>
      <c r="S164" s="23"/>
      <c r="T164" s="22" t="s">
        <v>25</v>
      </c>
      <c r="U164" s="23"/>
      <c r="V164" s="22" t="s">
        <v>26</v>
      </c>
      <c r="W164" s="10"/>
      <c r="X164" s="10"/>
      <c r="Y164" s="23"/>
      <c r="Z164" s="21" t="s">
        <v>27</v>
      </c>
    </row>
    <row r="165">
      <c r="A165" s="2"/>
      <c r="B165" s="25"/>
      <c r="C165" s="25"/>
      <c r="D165" s="26" t="str">
        <f>indirect("Dupe!D"&amp;ROW())</f>
        <v/>
      </c>
      <c r="E165" s="18"/>
      <c r="F165" s="27" t="str">
        <f>indirect("Dupe!F"&amp;ROW())</f>
        <v/>
      </c>
      <c r="G165" s="18"/>
      <c r="H165" s="28" t="str">
        <f>IFERROR(__xludf.DUMMYFUNCTION("if(AND(regexmatch(indirect(""C""&amp;row()),""Silent""),regexmatch(indirect(""C""&amp;row()),""Still"")),REGEXREPLACE(REGEXREPLACE(indirect(""Dupe!H""&amp;row()),""V, S, "",""""),""V, S"",""""), if(regexmatch(indirect(""C""&amp;row()),""Silent""),REGEXREPLACE(REGEXREPLAC"&amp;"E(indirect(""Dupe!H""&amp;row()),""V, "",""""),""V"",""""),if(regexmatch(indirect(""C""&amp;row()),""Still""),REGEXREPLACE(REGEXREPLACE(indirect(""Dupe!H""&amp;row()),""S, "",""""),""S"",""""),indirect(""Dupe!H""&amp;row()))))"),"")</f>
        <v/>
      </c>
      <c r="I165" s="18"/>
      <c r="J165" s="27" t="str">
        <f>IFERROR(__xludf.DUMMYFUNCTION("if(AND(REGEXMATCH(indirect(""C""&amp;row()),""Quicken""),OR(REGEXMATCH(indirect(""Dupe!J""&amp;row()),""1 move action""),REGEXMATCH(indirect(""Dupe!J""&amp;row()),""1 standard action""),REGEXMATCH(indirect(""Dupe!J""&amp;row()),""1 round""))),""1 swift action"",indirect("&amp;"""Dupe!J""&amp;row()))"),"")</f>
        <v/>
      </c>
      <c r="K165" s="18"/>
      <c r="L165" s="27" t="str">
        <f>IFERROR(__xludf.DUMMYFUNCTION("if(regexmatch(indirect(""C""&amp;row()),""Enlarge""), if(OR(regexmatch(indirect(""Dupe!L""&amp;row()),""Close""),regexmatch(indirect(""Dupe!L""&amp;row()),""Medium""),regexmatch(indirect(""Dupe!L""&amp;row()),""Long"")),REGEXREPLACE(indirect(""Dupe!L""&amp;row()), TEXT(VALUE"&amp;"(REGEXREPLACE(indirect(""Dupe!L""&amp;row()),""[^[:digit:]]"", """")),""0""),text(VALUE(REGEXREPLACE(indirect(""Dupe!L""&amp;row()),""[^[:digit:]]"", """"))*2,""0""))),indirect(""Dupe!L""&amp;row()))"),"")</f>
        <v/>
      </c>
      <c r="M165" s="18"/>
      <c r="N165" s="27" t="str">
        <f>IFERROR(__xludf.DUMMYFUNCTION("indirect(""Dupe!N""&amp;row())&amp;if(regexmatch(indirect(""C""&amp;row()),""Widen""),""
Widened
Any numeric measurements of the spell’s area increase by 100%"","""")"),"")</f>
        <v/>
      </c>
      <c r="O165" s="18"/>
      <c r="P165" s="27" t="str">
        <f>IFERROR(__xludf.DUMMYFUNCTION("if(regexmatch(indirect(""C""&amp;row()),""Extend""), if(OR(regexmatch(indirect(""Dupe!P""&amp;row()),""Concentration""),regexmatch(indirect(""Dupe!P""&amp;row()),""Instantaneous""),regexmatch(indirect(""Dupe!P""&amp;row()),""Permanent"")),indirect(""Dupe!P""&amp;row()),REGEX"&amp;"REPLACE(indirect(""Dupe!P""&amp;row()), text(SPLIT(REGEXREPLACE(indirect(""Dupe!P""&amp;row()), ""[^\d\.]+"", ""|""), ""|""),""0""),text(SPLIT(REGEXREPLACE(indirect(""Dupe!P""&amp;row()), ""[^\d\.]+"", ""|""), ""|"")*2,""0""))),indirect(""Dupe!P""&amp;row()))"),"")</f>
        <v/>
      </c>
      <c r="Q165" s="18"/>
      <c r="R165" s="27" t="str">
        <f>indirect("Dupe!R"&amp;row())</f>
        <v/>
      </c>
      <c r="S165" s="18"/>
      <c r="T165" s="27" t="str">
        <f>indirect("Dupe!T"&amp;row())</f>
        <v/>
      </c>
      <c r="U165" s="18"/>
      <c r="V165" s="29" t="str">
        <f>IFERROR(__xludf.DUMMYFUNCTION("if(AND(regexmatch(indirect(""C""&amp;row()),""Maximize""),regexmatch(indirect(""C""&amp;row()),""Empower"")),indirect(""Dupe!V""&amp;row())&amp;""
Maximized and Empowered:  An empowered, maximized spell gains the separate benefits of each feat: the maximum result plus 1/"&amp;"2 the normally rolled result"",
if(regexmatch(indirect(""C""&amp;row()),""Maximize""),indirect(""Dupe!V""&amp;row())&amp;""
Maximized:  All variable, numeric effects of a spell modified by this feat are maximized"",
if(regexmatch(indirect(""C""&amp;row()),""Empower""),"&amp;"indirect(""Dupe!V""&amp;row())&amp;""
Empowered:  All variable, numeric effects of an empowered spell are increased by 1/2"",indirect(""Dupe!V""&amp;row()))))"),"")</f>
        <v/>
      </c>
      <c r="W165" s="4"/>
      <c r="X165" s="4"/>
      <c r="Y165" s="18"/>
      <c r="Z165" s="38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</sheetData>
  <mergeCells count="1289"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100:S100"/>
    <mergeCell ref="T100:U100"/>
    <mergeCell ref="B99:U99"/>
    <mergeCell ref="V99:X99"/>
    <mergeCell ref="D100:E100"/>
    <mergeCell ref="F100:G100"/>
    <mergeCell ref="H100:I100"/>
    <mergeCell ref="J100:K100"/>
    <mergeCell ref="L100:M10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L101:M101"/>
    <mergeCell ref="N101:O101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B103:U103"/>
    <mergeCell ref="V103:X103"/>
    <mergeCell ref="F104:G104"/>
    <mergeCell ref="H104:I104"/>
    <mergeCell ref="J104:K104"/>
    <mergeCell ref="L104:M104"/>
    <mergeCell ref="V104:Y104"/>
    <mergeCell ref="D104:E104"/>
    <mergeCell ref="D105:E105"/>
    <mergeCell ref="F105:G105"/>
    <mergeCell ref="H105:I105"/>
    <mergeCell ref="J105:K105"/>
    <mergeCell ref="L105:M105"/>
    <mergeCell ref="N105:O105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P101:Q101"/>
    <mergeCell ref="R101:S101"/>
    <mergeCell ref="T101:U101"/>
    <mergeCell ref="V101:Y101"/>
    <mergeCell ref="N100:O100"/>
    <mergeCell ref="P100:Q100"/>
    <mergeCell ref="V100:Y100"/>
    <mergeCell ref="D101:E101"/>
    <mergeCell ref="F101:G101"/>
    <mergeCell ref="H101:I101"/>
    <mergeCell ref="J101:K101"/>
    <mergeCell ref="N104:O104"/>
    <mergeCell ref="P104:Q104"/>
    <mergeCell ref="R104:S104"/>
    <mergeCell ref="T104:U104"/>
    <mergeCell ref="P105:Q105"/>
    <mergeCell ref="R105:S105"/>
    <mergeCell ref="T105:U105"/>
    <mergeCell ref="V105:Y105"/>
    <mergeCell ref="R114:S114"/>
    <mergeCell ref="T114:U114"/>
    <mergeCell ref="V114:Y114"/>
    <mergeCell ref="D114:E114"/>
    <mergeCell ref="F114:G114"/>
    <mergeCell ref="H114:I114"/>
    <mergeCell ref="J114:K114"/>
    <mergeCell ref="L114:M114"/>
    <mergeCell ref="N114:O114"/>
    <mergeCell ref="P114:Q114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N116:O116"/>
    <mergeCell ref="P116:Q116"/>
    <mergeCell ref="R116:S116"/>
    <mergeCell ref="T116:U116"/>
    <mergeCell ref="B115:U115"/>
    <mergeCell ref="V115:X115"/>
    <mergeCell ref="F116:G116"/>
    <mergeCell ref="H116:I116"/>
    <mergeCell ref="J116:K116"/>
    <mergeCell ref="L116:M116"/>
    <mergeCell ref="V116:Y116"/>
    <mergeCell ref="P117:Q117"/>
    <mergeCell ref="R117:S117"/>
    <mergeCell ref="T117:U117"/>
    <mergeCell ref="V117:Y117"/>
    <mergeCell ref="D116:E116"/>
    <mergeCell ref="D117:E117"/>
    <mergeCell ref="F117:G117"/>
    <mergeCell ref="H117:I117"/>
    <mergeCell ref="J117:K117"/>
    <mergeCell ref="L117:M117"/>
    <mergeCell ref="N117:O117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L133:M133"/>
    <mergeCell ref="N133:O133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3:S143"/>
    <mergeCell ref="T143:U143"/>
    <mergeCell ref="V143:Y143"/>
    <mergeCell ref="D143:E143"/>
    <mergeCell ref="F143:G143"/>
    <mergeCell ref="H143:I143"/>
    <mergeCell ref="J143:K143"/>
    <mergeCell ref="L143:M143"/>
    <mergeCell ref="N143:O143"/>
    <mergeCell ref="P143:Q143"/>
    <mergeCell ref="R160:S160"/>
    <mergeCell ref="T160:U160"/>
    <mergeCell ref="V160:Y160"/>
    <mergeCell ref="D160:E160"/>
    <mergeCell ref="F160:G160"/>
    <mergeCell ref="H160:I160"/>
    <mergeCell ref="J160:K160"/>
    <mergeCell ref="L160:M160"/>
    <mergeCell ref="N160:O160"/>
    <mergeCell ref="P160:Q160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4:S164"/>
    <mergeCell ref="T164:U164"/>
    <mergeCell ref="B163:U163"/>
    <mergeCell ref="V163:X163"/>
    <mergeCell ref="D164:E164"/>
    <mergeCell ref="F164:G164"/>
    <mergeCell ref="H164:I164"/>
    <mergeCell ref="J164:K164"/>
    <mergeCell ref="L164:M164"/>
    <mergeCell ref="P165:Q165"/>
    <mergeCell ref="R165:S165"/>
    <mergeCell ref="T165:U165"/>
    <mergeCell ref="V165:Y165"/>
    <mergeCell ref="N164:O164"/>
    <mergeCell ref="P164:Q164"/>
    <mergeCell ref="V164:Y164"/>
    <mergeCell ref="D165:E165"/>
    <mergeCell ref="F165:G165"/>
    <mergeCell ref="H165:I165"/>
    <mergeCell ref="J165:K165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D157:E157"/>
    <mergeCell ref="F157:G157"/>
    <mergeCell ref="H157:I157"/>
    <mergeCell ref="J157:K157"/>
    <mergeCell ref="L157:M157"/>
    <mergeCell ref="N157:O157"/>
    <mergeCell ref="P157:Q157"/>
    <mergeCell ref="L165:M165"/>
    <mergeCell ref="N165:O165"/>
    <mergeCell ref="B135:U135"/>
    <mergeCell ref="V135:X135"/>
    <mergeCell ref="F136:G136"/>
    <mergeCell ref="H136:I136"/>
    <mergeCell ref="J136:K136"/>
    <mergeCell ref="L136:M136"/>
    <mergeCell ref="V136:Y136"/>
    <mergeCell ref="D136:E136"/>
    <mergeCell ref="D137:E137"/>
    <mergeCell ref="F137:G137"/>
    <mergeCell ref="H137:I137"/>
    <mergeCell ref="J137:K137"/>
    <mergeCell ref="L137:M137"/>
    <mergeCell ref="N137:O137"/>
    <mergeCell ref="R144:S144"/>
    <mergeCell ref="T144:U144"/>
    <mergeCell ref="V144:Y144"/>
    <mergeCell ref="D144:E144"/>
    <mergeCell ref="F144:G144"/>
    <mergeCell ref="H144:I144"/>
    <mergeCell ref="J144:K144"/>
    <mergeCell ref="L144:M144"/>
    <mergeCell ref="N144:O144"/>
    <mergeCell ref="P144:Q144"/>
    <mergeCell ref="P133:Q133"/>
    <mergeCell ref="R133:S133"/>
    <mergeCell ref="T133:U133"/>
    <mergeCell ref="V133:Y133"/>
    <mergeCell ref="N132:O132"/>
    <mergeCell ref="P132:Q132"/>
    <mergeCell ref="V132:Y132"/>
    <mergeCell ref="D133:E133"/>
    <mergeCell ref="F133:G133"/>
    <mergeCell ref="H133:I133"/>
    <mergeCell ref="J133:K133"/>
    <mergeCell ref="N136:O136"/>
    <mergeCell ref="P136:Q136"/>
    <mergeCell ref="R136:S136"/>
    <mergeCell ref="T136:U136"/>
    <mergeCell ref="P137:Q137"/>
    <mergeCell ref="R137:S137"/>
    <mergeCell ref="T137:U137"/>
    <mergeCell ref="V137:Y137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145:S145"/>
    <mergeCell ref="T145:U145"/>
    <mergeCell ref="V145:Y145"/>
    <mergeCell ref="D145:E145"/>
    <mergeCell ref="F145:G145"/>
    <mergeCell ref="H145:I145"/>
    <mergeCell ref="J145:K145"/>
    <mergeCell ref="L145:M145"/>
    <mergeCell ref="N145:O145"/>
    <mergeCell ref="P145:Q145"/>
    <mergeCell ref="N148:O148"/>
    <mergeCell ref="P148:Q148"/>
    <mergeCell ref="R148:S148"/>
    <mergeCell ref="T148:U148"/>
    <mergeCell ref="B147:U147"/>
    <mergeCell ref="V147:X147"/>
    <mergeCell ref="F148:G148"/>
    <mergeCell ref="H148:I148"/>
    <mergeCell ref="J148:K148"/>
    <mergeCell ref="L148:M148"/>
    <mergeCell ref="V148:Y148"/>
    <mergeCell ref="P149:Q149"/>
    <mergeCell ref="R149:S149"/>
    <mergeCell ref="T149:U149"/>
    <mergeCell ref="V149:Y149"/>
    <mergeCell ref="D148:E148"/>
    <mergeCell ref="D149:E149"/>
    <mergeCell ref="F149:G149"/>
    <mergeCell ref="H149:I149"/>
    <mergeCell ref="J149:K149"/>
    <mergeCell ref="L149:M149"/>
    <mergeCell ref="N149:O149"/>
    <mergeCell ref="N152:O152"/>
    <mergeCell ref="P152:Q152"/>
    <mergeCell ref="R152:S152"/>
    <mergeCell ref="T152:U152"/>
    <mergeCell ref="B151:U151"/>
    <mergeCell ref="V151:X151"/>
    <mergeCell ref="F152:G152"/>
    <mergeCell ref="H152:I152"/>
    <mergeCell ref="J152:K152"/>
    <mergeCell ref="L152:M152"/>
    <mergeCell ref="V152:Y152"/>
    <mergeCell ref="P153:Q153"/>
    <mergeCell ref="R153:S153"/>
    <mergeCell ref="T153:U153"/>
    <mergeCell ref="V153:Y153"/>
    <mergeCell ref="D152:E152"/>
    <mergeCell ref="D153:E153"/>
    <mergeCell ref="F153:G153"/>
    <mergeCell ref="H153:I153"/>
    <mergeCell ref="J153:K153"/>
    <mergeCell ref="L153:M153"/>
    <mergeCell ref="N153:O153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8:S158"/>
    <mergeCell ref="T158:U158"/>
    <mergeCell ref="V158:Y158"/>
    <mergeCell ref="D158:E158"/>
    <mergeCell ref="F158:G158"/>
    <mergeCell ref="H158:I158"/>
    <mergeCell ref="J158:K158"/>
    <mergeCell ref="L158:M158"/>
    <mergeCell ref="N158:O158"/>
    <mergeCell ref="P158:Q158"/>
    <mergeCell ref="R159:S159"/>
    <mergeCell ref="T159:U159"/>
    <mergeCell ref="V159:Y159"/>
    <mergeCell ref="D159:E159"/>
    <mergeCell ref="F159:G159"/>
    <mergeCell ref="H159:I159"/>
    <mergeCell ref="J159:K159"/>
    <mergeCell ref="L159:M159"/>
    <mergeCell ref="N159:O159"/>
    <mergeCell ref="P159:Q159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X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4:S24"/>
    <mergeCell ref="T24:U24"/>
    <mergeCell ref="B23:U23"/>
    <mergeCell ref="V23:X23"/>
    <mergeCell ref="D24:E24"/>
    <mergeCell ref="F24:G24"/>
    <mergeCell ref="H24:I24"/>
    <mergeCell ref="J24:K24"/>
    <mergeCell ref="L24:M24"/>
    <mergeCell ref="P25:Q25"/>
    <mergeCell ref="R25:S25"/>
    <mergeCell ref="T25:U25"/>
    <mergeCell ref="V25:Y25"/>
    <mergeCell ref="N24:O24"/>
    <mergeCell ref="P24:Q24"/>
    <mergeCell ref="V24:Y24"/>
    <mergeCell ref="D25:E25"/>
    <mergeCell ref="F25:G25"/>
    <mergeCell ref="H25:I25"/>
    <mergeCell ref="J25:K25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6:O26"/>
    <mergeCell ref="P26:Q26"/>
    <mergeCell ref="R26:S26"/>
    <mergeCell ref="T26:U26"/>
    <mergeCell ref="V26:Y26"/>
    <mergeCell ref="L25:M25"/>
    <mergeCell ref="N25:O25"/>
    <mergeCell ref="D26:E26"/>
    <mergeCell ref="F26:G26"/>
    <mergeCell ref="H26:I26"/>
    <mergeCell ref="J26:K26"/>
    <mergeCell ref="L26:M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L37:M37"/>
    <mergeCell ref="N37:O37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B39:U39"/>
    <mergeCell ref="V39:X39"/>
    <mergeCell ref="F40:G40"/>
    <mergeCell ref="H40:I40"/>
    <mergeCell ref="J40:K40"/>
    <mergeCell ref="L40:M40"/>
    <mergeCell ref="V40:Y40"/>
    <mergeCell ref="D40:E40"/>
    <mergeCell ref="D41:E41"/>
    <mergeCell ref="F41:G41"/>
    <mergeCell ref="H41:I41"/>
    <mergeCell ref="J41:K41"/>
    <mergeCell ref="L41:M41"/>
    <mergeCell ref="N41:O41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N40:O40"/>
    <mergeCell ref="P40:Q40"/>
    <mergeCell ref="R40:S40"/>
    <mergeCell ref="T40:U40"/>
    <mergeCell ref="P41:Q41"/>
    <mergeCell ref="R41:S41"/>
    <mergeCell ref="T41:U41"/>
    <mergeCell ref="V41:Y41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N52:O52"/>
    <mergeCell ref="P52:Q52"/>
    <mergeCell ref="R52:S52"/>
    <mergeCell ref="T52:U52"/>
    <mergeCell ref="B51:U51"/>
    <mergeCell ref="V51:X51"/>
    <mergeCell ref="F52:G52"/>
    <mergeCell ref="H52:I52"/>
    <mergeCell ref="J52:K52"/>
    <mergeCell ref="L52:M52"/>
    <mergeCell ref="V52:Y52"/>
    <mergeCell ref="P53:Q53"/>
    <mergeCell ref="R53:S53"/>
    <mergeCell ref="T53:U53"/>
    <mergeCell ref="V53:Y53"/>
    <mergeCell ref="D52:E52"/>
    <mergeCell ref="D53:E53"/>
    <mergeCell ref="F53:G53"/>
    <mergeCell ref="H53:I53"/>
    <mergeCell ref="J53:K53"/>
    <mergeCell ref="L53:M53"/>
    <mergeCell ref="N53:O53"/>
    <mergeCell ref="N56:O56"/>
    <mergeCell ref="P56:Q56"/>
    <mergeCell ref="R56:S56"/>
    <mergeCell ref="T56:U56"/>
    <mergeCell ref="B55:U55"/>
    <mergeCell ref="V55:X55"/>
    <mergeCell ref="F56:G56"/>
    <mergeCell ref="H56:I56"/>
    <mergeCell ref="J56:K56"/>
    <mergeCell ref="L56:M56"/>
    <mergeCell ref="V56:Y56"/>
    <mergeCell ref="P57:Q57"/>
    <mergeCell ref="R57:S57"/>
    <mergeCell ref="T57:U57"/>
    <mergeCell ref="V57:Y57"/>
    <mergeCell ref="D56:E56"/>
    <mergeCell ref="D57:E57"/>
    <mergeCell ref="F57:G57"/>
    <mergeCell ref="H57:I57"/>
    <mergeCell ref="J57:K57"/>
    <mergeCell ref="L57:M57"/>
    <mergeCell ref="N57:O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62:S62"/>
    <mergeCell ref="T62:U62"/>
    <mergeCell ref="V62:Y62"/>
    <mergeCell ref="D62:E62"/>
    <mergeCell ref="F62:G62"/>
    <mergeCell ref="H62:I62"/>
    <mergeCell ref="J62:K62"/>
    <mergeCell ref="L62:M62"/>
    <mergeCell ref="N62:O62"/>
    <mergeCell ref="P62:Q62"/>
    <mergeCell ref="R63:S63"/>
    <mergeCell ref="T63:U63"/>
    <mergeCell ref="V63:Y63"/>
    <mergeCell ref="D63:E63"/>
    <mergeCell ref="F63:G63"/>
    <mergeCell ref="H63:I63"/>
    <mergeCell ref="J63:K63"/>
    <mergeCell ref="L63:M63"/>
    <mergeCell ref="N63:O63"/>
    <mergeCell ref="P63:Q63"/>
    <mergeCell ref="R64:S64"/>
    <mergeCell ref="T64:U64"/>
    <mergeCell ref="V64:Y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8:S68"/>
    <mergeCell ref="T68:U68"/>
    <mergeCell ref="B67:U67"/>
    <mergeCell ref="V67:X67"/>
    <mergeCell ref="D68:E68"/>
    <mergeCell ref="F68:G68"/>
    <mergeCell ref="H68:I68"/>
    <mergeCell ref="J68:K68"/>
    <mergeCell ref="L68:M6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L69:M69"/>
    <mergeCell ref="N69:O69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B71:U71"/>
    <mergeCell ref="V71:X71"/>
    <mergeCell ref="F72:G72"/>
    <mergeCell ref="H72:I72"/>
    <mergeCell ref="J72:K72"/>
    <mergeCell ref="L72:M72"/>
    <mergeCell ref="V72:Y72"/>
    <mergeCell ref="D72:E72"/>
    <mergeCell ref="D73:E73"/>
    <mergeCell ref="F73:G73"/>
    <mergeCell ref="H73:I73"/>
    <mergeCell ref="J73:K73"/>
    <mergeCell ref="L73:M73"/>
    <mergeCell ref="N73:O73"/>
    <mergeCell ref="P69:Q69"/>
    <mergeCell ref="R69:S69"/>
    <mergeCell ref="T69:U69"/>
    <mergeCell ref="V69:Y69"/>
    <mergeCell ref="N68:O68"/>
    <mergeCell ref="P68:Q68"/>
    <mergeCell ref="V68:Y68"/>
    <mergeCell ref="D69:E69"/>
    <mergeCell ref="F69:G69"/>
    <mergeCell ref="H69:I69"/>
    <mergeCell ref="J69:K69"/>
    <mergeCell ref="N72:O72"/>
    <mergeCell ref="P72:Q72"/>
    <mergeCell ref="R72:S72"/>
    <mergeCell ref="T72:U72"/>
    <mergeCell ref="P73:Q73"/>
    <mergeCell ref="R73:S73"/>
    <mergeCell ref="T73:U73"/>
    <mergeCell ref="V73:Y73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N84:O84"/>
    <mergeCell ref="P84:Q84"/>
    <mergeCell ref="R84:S84"/>
    <mergeCell ref="T84:U84"/>
    <mergeCell ref="B83:U83"/>
    <mergeCell ref="V83:X83"/>
    <mergeCell ref="F84:G84"/>
    <mergeCell ref="H84:I84"/>
    <mergeCell ref="J84:K84"/>
    <mergeCell ref="L84:M84"/>
    <mergeCell ref="V84:Y84"/>
    <mergeCell ref="P85:Q85"/>
    <mergeCell ref="R85:S85"/>
    <mergeCell ref="T85:U85"/>
    <mergeCell ref="V85:Y85"/>
    <mergeCell ref="D84:E84"/>
    <mergeCell ref="D85:E85"/>
    <mergeCell ref="F85:G85"/>
    <mergeCell ref="H85:I85"/>
    <mergeCell ref="J85:K85"/>
    <mergeCell ref="L85:M85"/>
    <mergeCell ref="N85:O85"/>
    <mergeCell ref="N88:O88"/>
    <mergeCell ref="P88:Q88"/>
    <mergeCell ref="R88:S88"/>
    <mergeCell ref="T88:U88"/>
    <mergeCell ref="B87:U87"/>
    <mergeCell ref="V87:X87"/>
    <mergeCell ref="F88:G88"/>
    <mergeCell ref="H88:I88"/>
    <mergeCell ref="J88:K88"/>
    <mergeCell ref="L88:M88"/>
    <mergeCell ref="V88:Y88"/>
    <mergeCell ref="P89:Q89"/>
    <mergeCell ref="R89:S89"/>
    <mergeCell ref="T89:U89"/>
    <mergeCell ref="V89:Y89"/>
    <mergeCell ref="D88:E88"/>
    <mergeCell ref="D89:E89"/>
    <mergeCell ref="F89:G89"/>
    <mergeCell ref="H89:I89"/>
    <mergeCell ref="J89:K89"/>
    <mergeCell ref="L89:M89"/>
    <mergeCell ref="N89:O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N120:O120"/>
    <mergeCell ref="P120:Q120"/>
    <mergeCell ref="R120:S120"/>
    <mergeCell ref="T120:U120"/>
    <mergeCell ref="B119:U119"/>
    <mergeCell ref="V119:X119"/>
    <mergeCell ref="F120:G120"/>
    <mergeCell ref="H120:I120"/>
    <mergeCell ref="J120:K120"/>
    <mergeCell ref="L120:M120"/>
    <mergeCell ref="V120:Y120"/>
    <mergeCell ref="P121:Q121"/>
    <mergeCell ref="R121:S121"/>
    <mergeCell ref="T121:U121"/>
    <mergeCell ref="V121:Y121"/>
    <mergeCell ref="D120:E120"/>
    <mergeCell ref="D121:E121"/>
    <mergeCell ref="F121:G121"/>
    <mergeCell ref="H121:I121"/>
    <mergeCell ref="J121:K121"/>
    <mergeCell ref="L121:M121"/>
    <mergeCell ref="N121:O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Y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Y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Y130"/>
    <mergeCell ref="D130:E130"/>
    <mergeCell ref="F130:G130"/>
    <mergeCell ref="H130:I130"/>
    <mergeCell ref="J130:K130"/>
    <mergeCell ref="L130:M130"/>
    <mergeCell ref="N130:O130"/>
    <mergeCell ref="P130:Q130"/>
    <mergeCell ref="R132:S132"/>
    <mergeCell ref="T132:U132"/>
    <mergeCell ref="B131:U131"/>
    <mergeCell ref="V131:X131"/>
    <mergeCell ref="D132:E132"/>
    <mergeCell ref="F132:G132"/>
    <mergeCell ref="H132:I132"/>
    <mergeCell ref="J132:K132"/>
    <mergeCell ref="L132:M132"/>
  </mergeCells>
  <conditionalFormatting sqref="B16:E21 B25:E34 B37:E37 B41:E53 B57:E69 B73:E85 B89:E101 B105:E117 B121:E133 B137:E149 B153:E165">
    <cfRule type="expression" dxfId="0" priority="1">
      <formula>INDIRECT(CONCAT("D",ROW()))</formula>
    </cfRule>
  </conditionalFormatting>
  <dataValidations>
    <dataValidation type="list" allowBlank="1" sqref="B37 B53 B69 B85 B101 B117 B133 B149 B165">
      <formula1>DataSheet!$F$4:$G$21</formula1>
    </dataValidation>
    <dataValidation type="list" allowBlank="1" sqref="B16:B21 B25:B34 B41:B50 B57:B66 B73:B82 B89:B98 B105:B114 B121:B130 B137:B146 B153:B162">
      <formula1>DataSheet!$B$4:$C$234</formula1>
    </dataValidation>
    <dataValidation type="list" allowBlank="1" sqref="C16:C21 C25:C34 C37 C41:C50 C53 C57:C66 C69 C73:C82 C85 C89:C98 C101 C105:C114 C117 C121:C130 C133 C137:C146 C149 C153:C162 C165">
      <formula1>"Empower,Enlarge,Extend,Heighten,Maximize,Quicken,Silent,Still,Widen"</formula1>
    </dataValidation>
  </dataValidations>
  <hyperlinks>
    <hyperlink display="Orisons" location="Prepared Spells!B14:Y21" ref="B3"/>
    <hyperlink display="1st Level Spells" location="Prepared Spells!B23:Y37" ref="B4"/>
    <hyperlink display="2nd Level Spells" location="Prepared Spells!B39:Y53" ref="B5"/>
    <hyperlink display="3rd Level Spells" location="Prepared Spells!B55:Y69" ref="B6"/>
    <hyperlink display="4th Level Spells" location="Prepared Spells!B71:Y85" ref="B7"/>
    <hyperlink display="5th Level Spells" location="Prepared Spells!B87:Y101" ref="B8"/>
    <hyperlink display="6th Level Spells" location="Prepared Spells!B103:Y117" ref="B9"/>
    <hyperlink display="7th Level Spells" location="Prepared Spells!B119:Y133" ref="B10"/>
    <hyperlink display="8th Level Spells" location="Prepared Spells!B135:Y149" ref="B11"/>
    <hyperlink display="9th Level Spells" location="Prepared Spells!B151:Y165" ref="B12"/>
  </hyperlink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6" t="s">
        <v>1</v>
      </c>
      <c r="B2" s="46" t="s">
        <v>46</v>
      </c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  <c r="K2" s="46" t="s">
        <v>55</v>
      </c>
    </row>
    <row r="3">
      <c r="A3" s="46">
        <v>1.0</v>
      </c>
      <c r="B3" s="46">
        <v>3.0</v>
      </c>
      <c r="C3" s="46">
        <v>1.0</v>
      </c>
    </row>
    <row r="4">
      <c r="A4" s="46">
        <v>2.0</v>
      </c>
      <c r="B4" s="46">
        <v>4.0</v>
      </c>
      <c r="C4" s="46">
        <v>2.0</v>
      </c>
    </row>
    <row r="5">
      <c r="A5" s="46">
        <v>3.0</v>
      </c>
      <c r="B5" s="46">
        <v>4.0</v>
      </c>
      <c r="C5" s="46">
        <v>2.0</v>
      </c>
      <c r="D5" s="46">
        <v>1.0</v>
      </c>
    </row>
    <row r="6">
      <c r="A6" s="46">
        <v>4.0</v>
      </c>
      <c r="B6" s="46">
        <v>5.0</v>
      </c>
      <c r="C6" s="46">
        <v>3.0</v>
      </c>
      <c r="D6" s="46">
        <v>2.0</v>
      </c>
    </row>
    <row r="7">
      <c r="A7" s="46">
        <v>5.0</v>
      </c>
      <c r="B7" s="46">
        <v>5.0</v>
      </c>
      <c r="C7" s="46">
        <v>3.0</v>
      </c>
      <c r="D7" s="46">
        <v>2.0</v>
      </c>
      <c r="E7" s="46">
        <v>1.0</v>
      </c>
    </row>
    <row r="8">
      <c r="A8" s="46">
        <v>6.0</v>
      </c>
      <c r="B8" s="46">
        <v>5.0</v>
      </c>
      <c r="C8" s="46">
        <v>3.0</v>
      </c>
      <c r="D8" s="46">
        <v>3.0</v>
      </c>
      <c r="E8" s="46">
        <v>2.0</v>
      </c>
    </row>
    <row r="9">
      <c r="A9" s="46">
        <v>7.0</v>
      </c>
      <c r="B9" s="46">
        <v>6.0</v>
      </c>
      <c r="C9" s="46">
        <v>4.0</v>
      </c>
      <c r="D9" s="46">
        <v>3.0</v>
      </c>
      <c r="E9" s="46">
        <v>2.0</v>
      </c>
      <c r="F9" s="46">
        <v>1.0</v>
      </c>
    </row>
    <row r="10">
      <c r="A10" s="46">
        <v>8.0</v>
      </c>
      <c r="B10" s="46">
        <v>6.0</v>
      </c>
      <c r="C10" s="46">
        <v>4.0</v>
      </c>
      <c r="D10" s="46">
        <v>3.0</v>
      </c>
      <c r="E10" s="46">
        <v>3.0</v>
      </c>
      <c r="F10" s="46">
        <v>2.0</v>
      </c>
    </row>
    <row r="11">
      <c r="A11" s="46">
        <v>9.0</v>
      </c>
      <c r="B11" s="46">
        <v>6.0</v>
      </c>
      <c r="C11" s="46">
        <v>4.0</v>
      </c>
      <c r="D11" s="46">
        <v>4.0</v>
      </c>
      <c r="E11" s="46">
        <v>3.0</v>
      </c>
      <c r="F11" s="46">
        <v>2.0</v>
      </c>
      <c r="G11" s="46">
        <v>1.0</v>
      </c>
    </row>
    <row r="12">
      <c r="A12" s="46">
        <v>10.0</v>
      </c>
      <c r="B12" s="46">
        <v>6.0</v>
      </c>
      <c r="C12" s="46">
        <v>4.0</v>
      </c>
      <c r="D12" s="46">
        <v>4.0</v>
      </c>
      <c r="E12" s="46">
        <v>3.0</v>
      </c>
      <c r="F12" s="46">
        <v>3.0</v>
      </c>
      <c r="G12" s="46">
        <v>2.0</v>
      </c>
    </row>
    <row r="13">
      <c r="A13" s="46">
        <v>11.0</v>
      </c>
      <c r="B13" s="46">
        <v>6.0</v>
      </c>
      <c r="C13" s="46">
        <v>5.0</v>
      </c>
      <c r="D13" s="46">
        <v>4.0</v>
      </c>
      <c r="E13" s="46">
        <v>4.0</v>
      </c>
      <c r="F13" s="46">
        <v>3.0</v>
      </c>
      <c r="G13" s="46">
        <v>2.0</v>
      </c>
      <c r="H13" s="46">
        <v>1.0</v>
      </c>
    </row>
    <row r="14">
      <c r="A14" s="46">
        <v>12.0</v>
      </c>
      <c r="B14" s="46">
        <v>6.0</v>
      </c>
      <c r="C14" s="46">
        <v>5.0</v>
      </c>
      <c r="D14" s="46">
        <v>4.0</v>
      </c>
      <c r="E14" s="46">
        <v>4.0</v>
      </c>
      <c r="F14" s="46">
        <v>3.0</v>
      </c>
      <c r="G14" s="46">
        <v>3.0</v>
      </c>
      <c r="H14" s="46">
        <v>2.0</v>
      </c>
    </row>
    <row r="15">
      <c r="A15" s="46">
        <v>13.0</v>
      </c>
      <c r="B15" s="46">
        <v>6.0</v>
      </c>
      <c r="C15" s="46">
        <v>5.0</v>
      </c>
      <c r="D15" s="46">
        <v>5.0</v>
      </c>
      <c r="E15" s="46">
        <v>4.0</v>
      </c>
      <c r="F15" s="46">
        <v>4.0</v>
      </c>
      <c r="G15" s="46">
        <v>3.0</v>
      </c>
      <c r="H15" s="46">
        <v>2.0</v>
      </c>
      <c r="I15" s="46">
        <v>1.0</v>
      </c>
    </row>
    <row r="16">
      <c r="A16" s="46">
        <v>14.0</v>
      </c>
      <c r="B16" s="46">
        <v>6.0</v>
      </c>
      <c r="C16" s="46">
        <v>5.0</v>
      </c>
      <c r="D16" s="46">
        <v>5.0</v>
      </c>
      <c r="E16" s="46">
        <v>4.0</v>
      </c>
      <c r="F16" s="46">
        <v>4.0</v>
      </c>
      <c r="G16" s="46">
        <v>3.0</v>
      </c>
      <c r="H16" s="46">
        <v>3.0</v>
      </c>
      <c r="I16" s="46">
        <v>2.0</v>
      </c>
    </row>
    <row r="17">
      <c r="A17" s="46">
        <v>15.0</v>
      </c>
      <c r="B17" s="46">
        <v>6.0</v>
      </c>
      <c r="C17" s="46">
        <v>5.0</v>
      </c>
      <c r="D17" s="46">
        <v>5.0</v>
      </c>
      <c r="E17" s="46">
        <v>5.0</v>
      </c>
      <c r="F17" s="46">
        <v>4.0</v>
      </c>
      <c r="G17" s="46">
        <v>4.0</v>
      </c>
      <c r="H17" s="46">
        <v>3.0</v>
      </c>
      <c r="I17" s="46">
        <v>2.0</v>
      </c>
      <c r="J17" s="46">
        <v>1.0</v>
      </c>
    </row>
    <row r="18">
      <c r="A18" s="46">
        <v>16.0</v>
      </c>
      <c r="B18" s="46">
        <v>6.0</v>
      </c>
      <c r="C18" s="46">
        <v>5.0</v>
      </c>
      <c r="D18" s="46">
        <v>5.0</v>
      </c>
      <c r="E18" s="46">
        <v>5.0</v>
      </c>
      <c r="F18" s="46">
        <v>4.0</v>
      </c>
      <c r="G18" s="46">
        <v>4.0</v>
      </c>
      <c r="H18" s="46">
        <v>3.0</v>
      </c>
      <c r="I18" s="46">
        <v>3.0</v>
      </c>
      <c r="J18" s="46">
        <v>2.0</v>
      </c>
    </row>
    <row r="19">
      <c r="A19" s="46">
        <v>17.0</v>
      </c>
      <c r="B19" s="46">
        <v>6.0</v>
      </c>
      <c r="C19" s="46">
        <v>5.0</v>
      </c>
      <c r="D19" s="46">
        <v>5.0</v>
      </c>
      <c r="E19" s="46">
        <v>5.0</v>
      </c>
      <c r="F19" s="46">
        <v>5.0</v>
      </c>
      <c r="G19" s="46">
        <v>4.0</v>
      </c>
      <c r="H19" s="46">
        <v>4.0</v>
      </c>
      <c r="I19" s="46">
        <v>3.0</v>
      </c>
      <c r="J19" s="46">
        <v>2.0</v>
      </c>
      <c r="K19" s="46">
        <v>1.0</v>
      </c>
    </row>
    <row r="20">
      <c r="A20" s="46">
        <v>18.0</v>
      </c>
      <c r="B20" s="46">
        <v>6.0</v>
      </c>
      <c r="C20" s="46">
        <v>5.0</v>
      </c>
      <c r="D20" s="46">
        <v>5.0</v>
      </c>
      <c r="E20" s="46">
        <v>5.0</v>
      </c>
      <c r="F20" s="46">
        <v>5.0</v>
      </c>
      <c r="G20" s="46">
        <v>4.0</v>
      </c>
      <c r="H20" s="46">
        <v>4.0</v>
      </c>
      <c r="I20" s="46">
        <v>3.0</v>
      </c>
      <c r="J20" s="46">
        <v>3.0</v>
      </c>
      <c r="K20" s="46">
        <v>2.0</v>
      </c>
    </row>
    <row r="21">
      <c r="A21" s="46">
        <v>19.0</v>
      </c>
      <c r="B21" s="46">
        <v>6.0</v>
      </c>
      <c r="C21" s="46">
        <v>5.0</v>
      </c>
      <c r="D21" s="46">
        <v>5.0</v>
      </c>
      <c r="E21" s="46">
        <v>5.0</v>
      </c>
      <c r="F21" s="46">
        <v>5.0</v>
      </c>
      <c r="G21" s="46">
        <v>5.0</v>
      </c>
      <c r="H21" s="46">
        <v>4.0</v>
      </c>
      <c r="I21" s="46">
        <v>4.0</v>
      </c>
      <c r="J21" s="46">
        <v>3.0</v>
      </c>
      <c r="K21" s="46">
        <v>3.0</v>
      </c>
    </row>
    <row r="22">
      <c r="A22" s="46">
        <v>20.0</v>
      </c>
      <c r="B22" s="46">
        <v>6.0</v>
      </c>
      <c r="C22" s="46">
        <v>5.0</v>
      </c>
      <c r="D22" s="46">
        <v>5.0</v>
      </c>
      <c r="E22" s="46">
        <v>5.0</v>
      </c>
      <c r="F22" s="46">
        <v>5.0</v>
      </c>
      <c r="G22" s="46">
        <v>5.0</v>
      </c>
      <c r="H22" s="46">
        <v>4.0</v>
      </c>
      <c r="I22" s="46">
        <v>4.0</v>
      </c>
      <c r="J22" s="46">
        <v>4.0</v>
      </c>
      <c r="K22" s="46">
        <v>4.0</v>
      </c>
    </row>
    <row r="25">
      <c r="A25" s="46" t="s">
        <v>2</v>
      </c>
      <c r="B25" s="46" t="s">
        <v>47</v>
      </c>
      <c r="C25" s="46" t="s">
        <v>48</v>
      </c>
      <c r="D25" s="46" t="s">
        <v>49</v>
      </c>
      <c r="E25" s="46" t="s">
        <v>50</v>
      </c>
      <c r="F25" s="46" t="s">
        <v>51</v>
      </c>
      <c r="G25" s="46" t="s">
        <v>52</v>
      </c>
      <c r="H25" s="46" t="s">
        <v>53</v>
      </c>
      <c r="I25" s="46" t="s">
        <v>54</v>
      </c>
      <c r="J25" s="46" t="s">
        <v>55</v>
      </c>
    </row>
    <row r="26">
      <c r="A26" s="46">
        <v>-5.0</v>
      </c>
    </row>
    <row r="27">
      <c r="A27" s="46">
        <v>-4.0</v>
      </c>
    </row>
    <row r="28">
      <c r="A28" s="46">
        <v>-3.0</v>
      </c>
    </row>
    <row r="29">
      <c r="A29" s="46">
        <v>-2.0</v>
      </c>
    </row>
    <row r="30">
      <c r="A30" s="46">
        <v>-1.0</v>
      </c>
    </row>
    <row r="31">
      <c r="A31" s="46">
        <v>0.0</v>
      </c>
    </row>
    <row r="32">
      <c r="A32" s="46">
        <v>1.0</v>
      </c>
      <c r="B32" s="46">
        <v>1.0</v>
      </c>
    </row>
    <row r="33">
      <c r="A33" s="46">
        <v>2.0</v>
      </c>
      <c r="B33" s="46">
        <v>1.0</v>
      </c>
      <c r="C33" s="46">
        <v>1.0</v>
      </c>
    </row>
    <row r="34">
      <c r="A34" s="46">
        <v>3.0</v>
      </c>
      <c r="B34" s="46">
        <v>1.0</v>
      </c>
      <c r="C34" s="46">
        <v>1.0</v>
      </c>
      <c r="D34" s="46">
        <v>1.0</v>
      </c>
    </row>
    <row r="35">
      <c r="A35" s="46">
        <v>4.0</v>
      </c>
      <c r="B35" s="46">
        <v>1.0</v>
      </c>
      <c r="C35" s="46">
        <v>1.0</v>
      </c>
      <c r="D35" s="46">
        <v>1.0</v>
      </c>
      <c r="E35" s="46">
        <v>1.0</v>
      </c>
    </row>
    <row r="36">
      <c r="A36" s="46">
        <v>5.0</v>
      </c>
      <c r="B36" s="46">
        <v>2.0</v>
      </c>
      <c r="C36" s="46">
        <v>1.0</v>
      </c>
      <c r="D36" s="46">
        <v>1.0</v>
      </c>
      <c r="E36" s="46">
        <v>1.0</v>
      </c>
      <c r="F36" s="46">
        <v>1.0</v>
      </c>
    </row>
    <row r="37">
      <c r="A37" s="46">
        <v>6.0</v>
      </c>
      <c r="B37" s="46">
        <v>2.0</v>
      </c>
      <c r="C37" s="46">
        <v>2.0</v>
      </c>
      <c r="D37" s="46">
        <v>1.0</v>
      </c>
      <c r="E37" s="46">
        <v>1.0</v>
      </c>
      <c r="F37" s="46">
        <v>1.0</v>
      </c>
      <c r="G37" s="46">
        <v>1.0</v>
      </c>
    </row>
    <row r="38">
      <c r="A38" s="46">
        <v>7.0</v>
      </c>
      <c r="B38" s="46">
        <v>2.0</v>
      </c>
      <c r="C38" s="46">
        <v>2.0</v>
      </c>
      <c r="D38" s="46">
        <v>2.0</v>
      </c>
      <c r="E38" s="46">
        <v>1.0</v>
      </c>
      <c r="F38" s="46">
        <v>1.0</v>
      </c>
      <c r="G38" s="46">
        <v>1.0</v>
      </c>
      <c r="H38" s="46">
        <v>1.0</v>
      </c>
    </row>
    <row r="39">
      <c r="A39" s="46">
        <v>8.0</v>
      </c>
      <c r="B39" s="46">
        <v>2.0</v>
      </c>
      <c r="C39" s="46">
        <v>2.0</v>
      </c>
      <c r="D39" s="46">
        <v>2.0</v>
      </c>
      <c r="E39" s="46">
        <v>2.0</v>
      </c>
      <c r="F39" s="46">
        <v>1.0</v>
      </c>
      <c r="G39" s="46">
        <v>1.0</v>
      </c>
      <c r="H39" s="46">
        <v>1.0</v>
      </c>
      <c r="I39" s="46">
        <v>1.0</v>
      </c>
    </row>
    <row r="40">
      <c r="A40" s="46">
        <v>9.0</v>
      </c>
      <c r="B40" s="46">
        <v>3.0</v>
      </c>
      <c r="C40" s="46">
        <v>2.0</v>
      </c>
      <c r="D40" s="46">
        <v>2.0</v>
      </c>
      <c r="E40" s="46">
        <v>2.0</v>
      </c>
      <c r="F40" s="46">
        <v>2.0</v>
      </c>
      <c r="G40" s="46">
        <v>1.0</v>
      </c>
      <c r="H40" s="46">
        <v>1.0</v>
      </c>
      <c r="I40" s="46">
        <v>1.0</v>
      </c>
      <c r="J40" s="46">
        <v>1.0</v>
      </c>
    </row>
    <row r="41">
      <c r="A41" s="46">
        <v>10.0</v>
      </c>
      <c r="B41" s="46">
        <v>3.0</v>
      </c>
      <c r="C41" s="46">
        <v>3.0</v>
      </c>
      <c r="D41" s="46">
        <v>2.0</v>
      </c>
      <c r="E41" s="46">
        <v>2.0</v>
      </c>
      <c r="F41" s="46">
        <v>2.0</v>
      </c>
      <c r="G41" s="46">
        <v>2.0</v>
      </c>
      <c r="H41" s="46">
        <v>1.0</v>
      </c>
      <c r="I41" s="46">
        <v>1.0</v>
      </c>
      <c r="J41" s="46">
        <v>1.0</v>
      </c>
    </row>
    <row r="42">
      <c r="A42" s="46">
        <v>11.0</v>
      </c>
      <c r="B42" s="46">
        <v>3.0</v>
      </c>
      <c r="C42" s="46">
        <v>3.0</v>
      </c>
      <c r="D42" s="46">
        <v>3.0</v>
      </c>
      <c r="E42" s="46">
        <v>2.0</v>
      </c>
      <c r="F42" s="46">
        <v>2.0</v>
      </c>
      <c r="G42" s="46">
        <v>2.0</v>
      </c>
      <c r="H42" s="46">
        <v>2.0</v>
      </c>
      <c r="I42" s="46">
        <v>1.0</v>
      </c>
      <c r="J42" s="46">
        <v>1.0</v>
      </c>
    </row>
    <row r="43">
      <c r="A43" s="46">
        <v>12.0</v>
      </c>
      <c r="B43" s="46">
        <v>3.0</v>
      </c>
      <c r="C43" s="46">
        <v>3.0</v>
      </c>
      <c r="D43" s="46">
        <v>3.0</v>
      </c>
      <c r="E43" s="46">
        <v>3.0</v>
      </c>
      <c r="F43" s="46">
        <v>2.0</v>
      </c>
      <c r="G43" s="46">
        <v>2.0</v>
      </c>
      <c r="H43" s="46">
        <v>2.0</v>
      </c>
      <c r="I43" s="46">
        <v>2.0</v>
      </c>
      <c r="J43" s="46">
        <v>1.0</v>
      </c>
    </row>
    <row r="44">
      <c r="A44" s="46">
        <v>13.0</v>
      </c>
      <c r="B44" s="46">
        <v>4.0</v>
      </c>
      <c r="C44" s="46">
        <v>3.0</v>
      </c>
      <c r="D44" s="46">
        <v>3.0</v>
      </c>
      <c r="E44" s="46">
        <v>3.0</v>
      </c>
      <c r="F44" s="46">
        <v>3.0</v>
      </c>
      <c r="G44" s="46">
        <v>2.0</v>
      </c>
      <c r="H44" s="46">
        <v>2.0</v>
      </c>
      <c r="I44" s="46">
        <v>2.0</v>
      </c>
      <c r="J44" s="46">
        <v>2.0</v>
      </c>
    </row>
    <row r="45">
      <c r="A45" s="46">
        <v>14.0</v>
      </c>
      <c r="B45" s="46">
        <v>4.0</v>
      </c>
      <c r="C45" s="46">
        <v>4.0</v>
      </c>
      <c r="D45" s="46">
        <v>3.0</v>
      </c>
      <c r="E45" s="46">
        <v>3.0</v>
      </c>
      <c r="F45" s="46">
        <v>3.0</v>
      </c>
      <c r="G45" s="46">
        <v>3.0</v>
      </c>
      <c r="H45" s="46">
        <v>2.0</v>
      </c>
      <c r="I45" s="46">
        <v>2.0</v>
      </c>
      <c r="J45" s="46">
        <v>2.0</v>
      </c>
    </row>
    <row r="46">
      <c r="A46" s="46">
        <v>15.0</v>
      </c>
      <c r="B46" s="46">
        <v>4.0</v>
      </c>
      <c r="C46" s="46">
        <v>4.0</v>
      </c>
      <c r="D46" s="46">
        <v>4.0</v>
      </c>
      <c r="E46" s="46">
        <v>3.0</v>
      </c>
      <c r="F46" s="46">
        <v>3.0</v>
      </c>
      <c r="G46" s="46">
        <v>3.0</v>
      </c>
      <c r="H46" s="46">
        <v>3.0</v>
      </c>
      <c r="I46" s="46">
        <v>2.0</v>
      </c>
      <c r="J46" s="46">
        <v>2.0</v>
      </c>
    </row>
    <row r="47">
      <c r="A47" s="46">
        <v>16.0</v>
      </c>
      <c r="B47" s="46">
        <v>4.0</v>
      </c>
      <c r="C47" s="46">
        <v>4.0</v>
      </c>
      <c r="D47" s="46">
        <v>4.0</v>
      </c>
      <c r="E47" s="46">
        <v>4.0</v>
      </c>
      <c r="F47" s="46">
        <v>3.0</v>
      </c>
      <c r="G47" s="46">
        <v>3.0</v>
      </c>
      <c r="H47" s="46">
        <v>3.0</v>
      </c>
      <c r="I47" s="46">
        <v>3.0</v>
      </c>
      <c r="J47" s="46">
        <v>2.0</v>
      </c>
    </row>
    <row r="48">
      <c r="A48" s="46">
        <v>17.0</v>
      </c>
      <c r="B48" s="46">
        <v>5.0</v>
      </c>
      <c r="C48" s="46">
        <v>4.0</v>
      </c>
      <c r="D48" s="46">
        <v>4.0</v>
      </c>
      <c r="E48" s="46">
        <v>4.0</v>
      </c>
      <c r="F48" s="46">
        <v>4.0</v>
      </c>
      <c r="G48" s="46">
        <v>3.0</v>
      </c>
      <c r="H48" s="46">
        <v>3.0</v>
      </c>
      <c r="I48" s="46">
        <v>3.0</v>
      </c>
      <c r="J48" s="46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1.29"/>
    <col customWidth="1" min="2" max="2" width="21.43"/>
    <col customWidth="1" min="3" max="3" width="18.14"/>
    <col customWidth="1" min="4" max="4" width="3.14"/>
    <col customWidth="1" min="5" max="5" width="7.57"/>
    <col customWidth="1" min="6" max="6" width="6.0"/>
    <col customWidth="1" min="7" max="8" width="7.29"/>
    <col customWidth="1" min="9" max="9" width="5.71"/>
    <col customWidth="1" min="10" max="10" width="10.0"/>
    <col customWidth="1" min="11" max="11" width="6.57"/>
    <col customWidth="1" min="12" max="12" width="7.86"/>
    <col customWidth="1" min="13" max="14" width="14.43"/>
    <col customWidth="1" min="15" max="15" width="11.57"/>
    <col customWidth="1" min="16" max="16" width="8.29"/>
    <col customWidth="1" min="17" max="17" width="10.0"/>
    <col customWidth="1" min="18" max="18" width="7.14"/>
    <col customWidth="1" min="19" max="19" width="8.86"/>
    <col customWidth="1" min="20" max="20" width="9.57"/>
    <col customWidth="1" min="21" max="22" width="7.29"/>
    <col customWidth="1" min="23" max="23" width="4.86"/>
    <col customWidth="1" min="24" max="24" width="14.43"/>
    <col customWidth="1" min="25" max="25" width="1.29"/>
  </cols>
  <sheetData>
    <row r="2">
      <c r="B2" s="47" t="s">
        <v>0</v>
      </c>
      <c r="C2" s="4"/>
      <c r="D2" s="5"/>
    </row>
    <row r="3">
      <c r="B3" s="48" t="s">
        <v>3</v>
      </c>
      <c r="C3" s="10"/>
      <c r="D3" s="5"/>
    </row>
    <row r="4">
      <c r="B4" s="49" t="s">
        <v>4</v>
      </c>
      <c r="C4" s="4"/>
      <c r="D4" s="5"/>
    </row>
    <row r="5">
      <c r="B5" s="48" t="s">
        <v>5</v>
      </c>
      <c r="C5" s="10"/>
      <c r="D5" s="5"/>
    </row>
    <row r="6">
      <c r="B6" s="49" t="s">
        <v>6</v>
      </c>
      <c r="C6" s="4"/>
      <c r="D6" s="5"/>
    </row>
    <row r="7">
      <c r="B7" s="48" t="s">
        <v>7</v>
      </c>
      <c r="C7" s="10"/>
      <c r="D7" s="5"/>
    </row>
    <row r="8">
      <c r="B8" s="49" t="s">
        <v>8</v>
      </c>
      <c r="C8" s="4"/>
      <c r="D8" s="5"/>
    </row>
    <row r="9">
      <c r="B9" s="48" t="s">
        <v>9</v>
      </c>
      <c r="C9" s="10"/>
      <c r="D9" s="5"/>
    </row>
    <row r="10">
      <c r="B10" s="49" t="s">
        <v>10</v>
      </c>
      <c r="C10" s="4"/>
      <c r="D10" s="5"/>
    </row>
    <row r="11">
      <c r="B11" s="48" t="s">
        <v>11</v>
      </c>
      <c r="C11" s="10"/>
      <c r="D11" s="5"/>
    </row>
    <row r="12">
      <c r="B12" s="49" t="s">
        <v>12</v>
      </c>
      <c r="C12" s="4"/>
      <c r="D12" s="5"/>
    </row>
    <row r="14">
      <c r="B14" s="50" t="s">
        <v>56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8"/>
    </row>
    <row r="15">
      <c r="B15" s="51" t="s">
        <v>1</v>
      </c>
      <c r="C15" s="52" t="s">
        <v>15</v>
      </c>
      <c r="D15" s="23"/>
      <c r="E15" s="52" t="s">
        <v>18</v>
      </c>
      <c r="F15" s="23"/>
      <c r="G15" s="52" t="s">
        <v>19</v>
      </c>
      <c r="H15" s="23"/>
      <c r="I15" s="52" t="s">
        <v>20</v>
      </c>
      <c r="J15" s="23"/>
      <c r="K15" s="52" t="s">
        <v>21</v>
      </c>
      <c r="L15" s="23"/>
      <c r="M15" s="52" t="s">
        <v>22</v>
      </c>
      <c r="N15" s="23"/>
      <c r="O15" s="52" t="s">
        <v>23</v>
      </c>
      <c r="P15" s="23"/>
      <c r="Q15" s="52" t="s">
        <v>24</v>
      </c>
      <c r="R15" s="23"/>
      <c r="S15" s="52" t="s">
        <v>25</v>
      </c>
      <c r="T15" s="23"/>
      <c r="U15" s="52" t="s">
        <v>26</v>
      </c>
      <c r="V15" s="10"/>
      <c r="W15" s="10"/>
      <c r="X15" s="23"/>
    </row>
    <row r="16">
      <c r="B16" s="53">
        <v>0.0</v>
      </c>
      <c r="C16" s="26" t="s">
        <v>57</v>
      </c>
      <c r="D16" s="18"/>
      <c r="E16" s="28" t="s">
        <v>58</v>
      </c>
      <c r="F16" s="18"/>
      <c r="G16" s="27" t="s">
        <v>59</v>
      </c>
      <c r="H16" s="18"/>
      <c r="I16" s="27" t="s">
        <v>60</v>
      </c>
      <c r="J16" s="18"/>
      <c r="K16" s="27" t="str">
        <f>CONCAT("Close: ", CONCAT(25+(5*FLOOR(Level/2,1)), " ft"))</f>
        <v>Close: 25 ft</v>
      </c>
      <c r="L16" s="18"/>
      <c r="M16" s="27" t="str">
        <f>CONCAT("Up to ",CONCAT(Level*2, " gallons of water
2 gallons/level."))</f>
        <v>Up to 2 gallons of water
2 gallons/level.</v>
      </c>
      <c r="N16" s="18"/>
      <c r="O16" s="27" t="s">
        <v>61</v>
      </c>
      <c r="P16" s="18"/>
      <c r="Q16" s="27" t="s">
        <v>62</v>
      </c>
      <c r="R16" s="18"/>
      <c r="S16" s="27" t="s">
        <v>63</v>
      </c>
      <c r="T16" s="18"/>
      <c r="U16" s="29" t="str">
        <f>CONCAT("Creates ",CONCAT(Level*2, " gallons of pure water, 2 gallons/level"))</f>
        <v>Creates 2 gallons of pure water, 2 gallons/level</v>
      </c>
      <c r="V16" s="4"/>
      <c r="W16" s="4"/>
      <c r="X16" s="18"/>
    </row>
    <row r="17">
      <c r="B17" s="54">
        <v>0.0</v>
      </c>
      <c r="C17" s="32" t="s">
        <v>64</v>
      </c>
      <c r="D17" s="23"/>
      <c r="E17" s="34" t="s">
        <v>65</v>
      </c>
      <c r="F17" s="23"/>
      <c r="G17" s="33" t="s">
        <v>59</v>
      </c>
      <c r="H17" s="23"/>
      <c r="I17" s="33" t="s">
        <v>60</v>
      </c>
      <c r="J17" s="23"/>
      <c r="K17" s="33" t="s">
        <v>66</v>
      </c>
      <c r="L17" s="23"/>
      <c r="M17" s="33" t="s">
        <v>67</v>
      </c>
      <c r="N17" s="23"/>
      <c r="O17" s="33" t="s">
        <v>61</v>
      </c>
      <c r="P17" s="23"/>
      <c r="Q17" s="33" t="s">
        <v>68</v>
      </c>
      <c r="R17" s="23"/>
      <c r="S17" s="33" t="s">
        <v>69</v>
      </c>
      <c r="T17" s="23"/>
      <c r="U17" s="35" t="s">
        <v>70</v>
      </c>
      <c r="V17" s="10"/>
      <c r="W17" s="10"/>
      <c r="X17" s="23"/>
    </row>
    <row r="18">
      <c r="B18" s="55">
        <v>0.0</v>
      </c>
      <c r="C18" s="26" t="s">
        <v>71</v>
      </c>
      <c r="D18" s="18"/>
      <c r="E18" s="27" t="s">
        <v>72</v>
      </c>
      <c r="F18" s="18"/>
      <c r="G18" s="27" t="s">
        <v>59</v>
      </c>
      <c r="H18" s="18"/>
      <c r="I18" s="27" t="s">
        <v>60</v>
      </c>
      <c r="J18" s="18"/>
      <c r="K18" s="27" t="s">
        <v>73</v>
      </c>
      <c r="L18" s="18"/>
      <c r="M18" s="27" t="s">
        <v>74</v>
      </c>
      <c r="N18" s="18"/>
      <c r="O18" s="27" t="str">
        <f>CONCAT("Up to ",CONCAT(IF(OR(DOne="Knowledge Domain",DTwo="Knowledge Domain"),Level+1,Level), " minute(s)
 Concentration, up to 1 minute/level"))</f>
        <v>Up to 1 minute(s)
 Concentration, up to 1 minute/level</v>
      </c>
      <c r="P18" s="18"/>
      <c r="Q18" s="27" t="s">
        <v>62</v>
      </c>
      <c r="R18" s="18"/>
      <c r="S18" s="27" t="s">
        <v>63</v>
      </c>
      <c r="T18" s="18"/>
      <c r="U18" s="29" t="s">
        <v>75</v>
      </c>
      <c r="V18" s="4"/>
      <c r="W18" s="4"/>
      <c r="X18" s="18"/>
    </row>
    <row r="19">
      <c r="B19" s="56">
        <v>0.0</v>
      </c>
      <c r="C19" s="32" t="s">
        <v>76</v>
      </c>
      <c r="D19" s="23"/>
      <c r="E19" s="33" t="s">
        <v>72</v>
      </c>
      <c r="F19" s="23"/>
      <c r="G19" s="33" t="s">
        <v>59</v>
      </c>
      <c r="H19" s="23"/>
      <c r="I19" s="33" t="s">
        <v>60</v>
      </c>
      <c r="J19" s="23"/>
      <c r="K19" s="33" t="str">
        <f>CONCAT("Close: ", CONCAT(25+(5*FLOOR(IF(OR(DOne="Knowledge Domain",DTwo="Knowledge Domain"),Level+1,Level)/2,1)), " ft"))</f>
        <v>Close: 25 ft</v>
      </c>
      <c r="L19" s="23"/>
      <c r="M19" s="33" t="s">
        <v>77</v>
      </c>
      <c r="N19" s="23"/>
      <c r="O19" s="33" t="s">
        <v>61</v>
      </c>
      <c r="P19" s="23"/>
      <c r="Q19" s="33" t="s">
        <v>62</v>
      </c>
      <c r="R19" s="23"/>
      <c r="S19" s="33" t="s">
        <v>63</v>
      </c>
      <c r="T19" s="23"/>
      <c r="U19" s="35" t="s">
        <v>78</v>
      </c>
      <c r="V19" s="10"/>
      <c r="W19" s="10"/>
      <c r="X19" s="23"/>
    </row>
    <row r="20">
      <c r="B20" s="55">
        <v>0.0</v>
      </c>
      <c r="C20" s="26" t="s">
        <v>79</v>
      </c>
      <c r="D20" s="18"/>
      <c r="E20" s="27" t="s">
        <v>72</v>
      </c>
      <c r="F20" s="18"/>
      <c r="G20" s="27" t="s">
        <v>59</v>
      </c>
      <c r="H20" s="18"/>
      <c r="I20" s="27" t="s">
        <v>60</v>
      </c>
      <c r="J20" s="18"/>
      <c r="K20" s="27" t="s">
        <v>66</v>
      </c>
      <c r="L20" s="18"/>
      <c r="M20" s="27" t="s">
        <v>67</v>
      </c>
      <c r="N20" s="18"/>
      <c r="O20" s="27" t="s">
        <v>80</v>
      </c>
      <c r="P20" s="18"/>
      <c r="Q20" s="27" t="s">
        <v>81</v>
      </c>
      <c r="R20" s="18"/>
      <c r="S20" s="27" t="s">
        <v>82</v>
      </c>
      <c r="T20" s="18"/>
      <c r="U20" s="29" t="s">
        <v>83</v>
      </c>
      <c r="V20" s="4"/>
      <c r="W20" s="4"/>
      <c r="X20" s="18"/>
    </row>
    <row r="21">
      <c r="B21" s="56">
        <v>0.0</v>
      </c>
      <c r="C21" s="57" t="s">
        <v>84</v>
      </c>
      <c r="D21" s="23"/>
      <c r="E21" s="34" t="s">
        <v>85</v>
      </c>
      <c r="F21" s="23"/>
      <c r="G21" s="33" t="s">
        <v>59</v>
      </c>
      <c r="H21" s="23"/>
      <c r="I21" s="33" t="s">
        <v>60</v>
      </c>
      <c r="J21" s="23"/>
      <c r="K21" s="33" t="s">
        <v>66</v>
      </c>
      <c r="L21" s="23"/>
      <c r="M21" s="33" t="s">
        <v>67</v>
      </c>
      <c r="N21" s="23"/>
      <c r="O21" s="33" t="s">
        <v>61</v>
      </c>
      <c r="P21" s="23"/>
      <c r="Q21" s="34" t="s">
        <v>86</v>
      </c>
      <c r="R21" s="23"/>
      <c r="S21" s="34" t="s">
        <v>82</v>
      </c>
      <c r="T21" s="23"/>
      <c r="U21" s="58" t="s">
        <v>87</v>
      </c>
      <c r="V21" s="10"/>
      <c r="W21" s="10"/>
      <c r="X21" s="23"/>
    </row>
    <row r="22">
      <c r="B22" s="55">
        <v>0.0</v>
      </c>
      <c r="C22" s="26" t="s">
        <v>88</v>
      </c>
      <c r="D22" s="18"/>
      <c r="E22" s="28" t="s">
        <v>89</v>
      </c>
      <c r="F22" s="18"/>
      <c r="G22" s="28" t="s">
        <v>90</v>
      </c>
      <c r="H22" s="18"/>
      <c r="I22" s="27" t="s">
        <v>60</v>
      </c>
      <c r="J22" s="18"/>
      <c r="K22" s="27" t="s">
        <v>66</v>
      </c>
      <c r="L22" s="18"/>
      <c r="M22" s="27" t="s">
        <v>91</v>
      </c>
      <c r="N22" s="18"/>
      <c r="O22" s="27" t="str">
        <f>CONCAT(Level*10, " minutes
10 minutes/level")</f>
        <v>10 minutes
10 minutes/level</v>
      </c>
      <c r="P22" s="18"/>
      <c r="Q22" s="27" t="s">
        <v>62</v>
      </c>
      <c r="R22" s="18"/>
      <c r="S22" s="27" t="s">
        <v>63</v>
      </c>
      <c r="T22" s="18"/>
      <c r="U22" s="29" t="s">
        <v>92</v>
      </c>
      <c r="V22" s="4"/>
      <c r="W22" s="4"/>
      <c r="X22" s="18"/>
    </row>
    <row r="23">
      <c r="B23" s="43">
        <v>0.0</v>
      </c>
      <c r="C23" s="32" t="s">
        <v>93</v>
      </c>
      <c r="D23" s="23"/>
      <c r="E23" s="33" t="s">
        <v>94</v>
      </c>
      <c r="F23" s="23"/>
      <c r="G23" s="33" t="s">
        <v>59</v>
      </c>
      <c r="H23" s="23"/>
      <c r="I23" s="33" t="s">
        <v>60</v>
      </c>
      <c r="J23" s="23"/>
      <c r="K23" s="33" t="s">
        <v>95</v>
      </c>
      <c r="L23" s="23"/>
      <c r="M23" s="33" t="s">
        <v>96</v>
      </c>
      <c r="N23" s="23"/>
      <c r="O23" s="33" t="s">
        <v>61</v>
      </c>
      <c r="P23" s="23"/>
      <c r="Q23" s="33" t="s">
        <v>97</v>
      </c>
      <c r="R23" s="23"/>
      <c r="S23" s="33" t="s">
        <v>98</v>
      </c>
      <c r="T23" s="23"/>
      <c r="U23" s="35" t="s">
        <v>99</v>
      </c>
      <c r="V23" s="10"/>
      <c r="W23" s="10"/>
      <c r="X23" s="23"/>
    </row>
    <row r="24">
      <c r="B24" s="25">
        <v>0.0</v>
      </c>
      <c r="C24" s="26" t="s">
        <v>100</v>
      </c>
      <c r="D24" s="18"/>
      <c r="E24" s="27" t="s">
        <v>94</v>
      </c>
      <c r="F24" s="18"/>
      <c r="G24" s="27" t="s">
        <v>59</v>
      </c>
      <c r="H24" s="18"/>
      <c r="I24" s="27" t="s">
        <v>60</v>
      </c>
      <c r="J24" s="18"/>
      <c r="K24" s="27" t="s">
        <v>95</v>
      </c>
      <c r="L24" s="18"/>
      <c r="M24" s="27" t="str">
        <f>CONCAT(Level, " cu ft of contaminated food or water, 1 cu ft/level.")</f>
        <v>1 cu ft of contaminated food or water, 1 cu ft/level.</v>
      </c>
      <c r="N24" s="18"/>
      <c r="O24" s="27" t="s">
        <v>61</v>
      </c>
      <c r="P24" s="18"/>
      <c r="Q24" s="27" t="s">
        <v>101</v>
      </c>
      <c r="R24" s="18"/>
      <c r="S24" s="27" t="s">
        <v>102</v>
      </c>
      <c r="T24" s="18"/>
      <c r="U24" s="29" t="str">
        <f>CONCAT("Purifies ",CONCAT(Level, " cu ft of food or water, 1 cu ft/level"))</f>
        <v>Purifies 1 cu ft of food or water, 1 cu ft/level</v>
      </c>
      <c r="V24" s="4"/>
      <c r="W24" s="4"/>
      <c r="X24" s="18"/>
    </row>
    <row r="25">
      <c r="B25" s="31">
        <v>0.0</v>
      </c>
      <c r="C25" s="32" t="s">
        <v>103</v>
      </c>
      <c r="D25" s="23"/>
      <c r="E25" s="33" t="s">
        <v>72</v>
      </c>
      <c r="F25" s="23"/>
      <c r="G25" s="33" t="s">
        <v>104</v>
      </c>
      <c r="H25" s="23"/>
      <c r="I25" s="33" t="s">
        <v>60</v>
      </c>
      <c r="J25" s="23"/>
      <c r="K25" s="33" t="s">
        <v>105</v>
      </c>
      <c r="L25" s="23"/>
      <c r="M25" s="33" t="s">
        <v>106</v>
      </c>
      <c r="N25" s="23"/>
      <c r="O25" s="33" t="str">
        <f>CONCAT(IF(OR(DOne="Knowledge Domain",DTwo="Knowledge Domain"),Level+1,Level)*10, " minutes
10 minutes/level")</f>
        <v>10 minutes
10 minutes/level</v>
      </c>
      <c r="P25" s="23"/>
      <c r="Q25" s="33" t="s">
        <v>107</v>
      </c>
      <c r="R25" s="23"/>
      <c r="S25" s="33" t="s">
        <v>107</v>
      </c>
      <c r="T25" s="23"/>
      <c r="U25" s="35" t="s">
        <v>108</v>
      </c>
      <c r="V25" s="10"/>
      <c r="W25" s="10"/>
      <c r="X25" s="23"/>
    </row>
    <row r="26">
      <c r="B26" s="25">
        <v>0.0</v>
      </c>
      <c r="C26" s="26" t="s">
        <v>109</v>
      </c>
      <c r="D26" s="18"/>
      <c r="E26" s="27" t="s">
        <v>110</v>
      </c>
      <c r="F26" s="18"/>
      <c r="G26" s="28" t="s">
        <v>111</v>
      </c>
      <c r="H26" s="18"/>
      <c r="I26" s="27" t="s">
        <v>60</v>
      </c>
      <c r="J26" s="18"/>
      <c r="K26" s="27" t="s">
        <v>66</v>
      </c>
      <c r="L26" s="18"/>
      <c r="M26" s="27" t="s">
        <v>67</v>
      </c>
      <c r="N26" s="18"/>
      <c r="O26" s="27" t="s">
        <v>112</v>
      </c>
      <c r="P26" s="18"/>
      <c r="Q26" s="27" t="s">
        <v>81</v>
      </c>
      <c r="R26" s="18"/>
      <c r="S26" s="27" t="s">
        <v>113</v>
      </c>
      <c r="T26" s="18"/>
      <c r="U26" s="29" t="s">
        <v>114</v>
      </c>
      <c r="V26" s="4"/>
      <c r="W26" s="4"/>
      <c r="X26" s="18"/>
      <c r="Y26" s="20"/>
    </row>
    <row r="27">
      <c r="B27" s="31">
        <v>0.0</v>
      </c>
      <c r="C27" s="32" t="s">
        <v>115</v>
      </c>
      <c r="D27" s="23"/>
      <c r="E27" s="33" t="s">
        <v>94</v>
      </c>
      <c r="F27" s="23"/>
      <c r="G27" s="33" t="s">
        <v>111</v>
      </c>
      <c r="H27" s="23"/>
      <c r="I27" s="33" t="s">
        <v>60</v>
      </c>
      <c r="J27" s="23"/>
      <c r="K27" s="33" t="s">
        <v>66</v>
      </c>
      <c r="L27" s="23"/>
      <c r="M27" s="33" t="s">
        <v>67</v>
      </c>
      <c r="N27" s="23"/>
      <c r="O27" s="33" t="s">
        <v>112</v>
      </c>
      <c r="P27" s="23"/>
      <c r="Q27" s="33" t="s">
        <v>81</v>
      </c>
      <c r="R27" s="23"/>
      <c r="S27" s="33" t="s">
        <v>113</v>
      </c>
      <c r="T27" s="23"/>
      <c r="U27" s="35" t="s">
        <v>116</v>
      </c>
      <c r="V27" s="10"/>
      <c r="W27" s="10"/>
      <c r="X27" s="23"/>
      <c r="Y27" s="24"/>
    </row>
    <row r="28">
      <c r="B28" s="44">
        <v>1.0</v>
      </c>
      <c r="C28" s="59" t="s">
        <v>117</v>
      </c>
      <c r="D28" s="18"/>
      <c r="E28" s="28" t="s">
        <v>118</v>
      </c>
      <c r="F28" s="18"/>
      <c r="G28" s="28" t="s">
        <v>119</v>
      </c>
      <c r="H28" s="18"/>
      <c r="I28" s="27" t="s">
        <v>60</v>
      </c>
      <c r="J28" s="18"/>
      <c r="K28" s="28" t="s">
        <v>120</v>
      </c>
      <c r="L28" s="18"/>
      <c r="M28" s="28" t="s">
        <v>121</v>
      </c>
      <c r="N28" s="18"/>
      <c r="O28" s="27" t="str">
        <f>Level&amp;" minute(s)
1 minute/level"</f>
        <v>1 minute(s)
1 minute/level</v>
      </c>
      <c r="P28" s="18"/>
      <c r="Q28" s="28" t="s">
        <v>86</v>
      </c>
      <c r="R28" s="18"/>
      <c r="S28" s="27" t="s">
        <v>82</v>
      </c>
      <c r="T28" s="18"/>
      <c r="U28" s="60" t="s">
        <v>122</v>
      </c>
      <c r="V28" s="4"/>
      <c r="W28" s="4"/>
      <c r="X28" s="18"/>
      <c r="Y28" s="24"/>
    </row>
    <row r="29">
      <c r="B29" s="43">
        <v>1.0</v>
      </c>
      <c r="C29" s="57" t="s">
        <v>123</v>
      </c>
      <c r="D29" s="23"/>
      <c r="E29" s="34" t="s">
        <v>124</v>
      </c>
      <c r="F29" s="23"/>
      <c r="G29" s="34" t="s">
        <v>119</v>
      </c>
      <c r="H29" s="23"/>
      <c r="I29" s="33" t="s">
        <v>60</v>
      </c>
      <c r="J29" s="23"/>
      <c r="K29" s="34" t="s">
        <v>120</v>
      </c>
      <c r="L29" s="23"/>
      <c r="M29" s="34" t="s">
        <v>125</v>
      </c>
      <c r="N29" s="23"/>
      <c r="O29" s="33" t="str">
        <f>Level&amp;" minute(s)
1 minute/level"</f>
        <v>1 minute(s)
1 minute/level</v>
      </c>
      <c r="P29" s="23"/>
      <c r="Q29" s="34" t="s">
        <v>62</v>
      </c>
      <c r="R29" s="23"/>
      <c r="S29" s="34" t="s">
        <v>113</v>
      </c>
      <c r="T29" s="23"/>
      <c r="U29" s="58" t="s">
        <v>126</v>
      </c>
      <c r="V29" s="10"/>
      <c r="W29" s="10"/>
      <c r="X29" s="23"/>
      <c r="Y29" s="24"/>
    </row>
    <row r="30">
      <c r="B30" s="25">
        <v>1.0</v>
      </c>
      <c r="C30" s="59" t="s">
        <v>127</v>
      </c>
      <c r="D30" s="18"/>
      <c r="E30" s="28" t="s">
        <v>128</v>
      </c>
      <c r="F30" s="18"/>
      <c r="G30" s="28" t="s">
        <v>129</v>
      </c>
      <c r="H30" s="18"/>
      <c r="I30" s="28" t="s">
        <v>112</v>
      </c>
      <c r="J30" s="18"/>
      <c r="K30" s="28" t="s">
        <v>66</v>
      </c>
      <c r="L30" s="18"/>
      <c r="M30" s="28" t="s">
        <v>130</v>
      </c>
      <c r="N30" s="18"/>
      <c r="O30" s="28" t="s">
        <v>61</v>
      </c>
      <c r="P30" s="18"/>
      <c r="Q30" s="28" t="s">
        <v>101</v>
      </c>
      <c r="R30" s="18"/>
      <c r="S30" s="28" t="s">
        <v>102</v>
      </c>
      <c r="T30" s="18"/>
      <c r="U30" s="60" t="s">
        <v>131</v>
      </c>
      <c r="V30" s="4"/>
      <c r="W30" s="4"/>
      <c r="X30" s="18"/>
      <c r="Y30" s="39"/>
    </row>
    <row r="31">
      <c r="B31" s="43">
        <v>1.0</v>
      </c>
      <c r="C31" s="32" t="s">
        <v>132</v>
      </c>
      <c r="D31" s="23"/>
      <c r="E31" s="34" t="s">
        <v>133</v>
      </c>
      <c r="F31" s="23"/>
      <c r="G31" s="33" t="s">
        <v>59</v>
      </c>
      <c r="H31" s="23"/>
      <c r="I31" s="33" t="s">
        <v>60</v>
      </c>
      <c r="J31" s="23"/>
      <c r="K31" s="33" t="str">
        <f>close</f>
        <v>Close: 25 ft</v>
      </c>
      <c r="L31" s="23"/>
      <c r="M31" s="33" t="s">
        <v>134</v>
      </c>
      <c r="N31" s="23"/>
      <c r="O31" s="33" t="s">
        <v>135</v>
      </c>
      <c r="P31" s="23"/>
      <c r="Q31" s="33" t="s">
        <v>136</v>
      </c>
      <c r="R31" s="23"/>
      <c r="S31" s="33" t="s">
        <v>82</v>
      </c>
      <c r="T31" s="23"/>
      <c r="U31" s="35" t="s">
        <v>137</v>
      </c>
      <c r="V31" s="10"/>
      <c r="W31" s="10"/>
      <c r="X31" s="23"/>
      <c r="Y31" s="41"/>
    </row>
    <row r="32">
      <c r="B32" s="25">
        <v>1.0</v>
      </c>
      <c r="C32" s="59" t="s">
        <v>138</v>
      </c>
      <c r="D32" s="18"/>
      <c r="E32" s="28" t="s">
        <v>139</v>
      </c>
      <c r="F32" s="18"/>
      <c r="G32" s="28" t="s">
        <v>140</v>
      </c>
      <c r="H32" s="18"/>
      <c r="I32" s="27" t="s">
        <v>60</v>
      </c>
      <c r="J32" s="18"/>
      <c r="K32" s="27" t="str">
        <f>close</f>
        <v>Close: 25 ft</v>
      </c>
      <c r="L32" s="18"/>
      <c r="M32" s="28" t="s">
        <v>141</v>
      </c>
      <c r="N32" s="18"/>
      <c r="O32" s="28" t="s">
        <v>142</v>
      </c>
      <c r="P32" s="18"/>
      <c r="Q32" s="28" t="s">
        <v>86</v>
      </c>
      <c r="R32" s="18"/>
      <c r="S32" s="27" t="s">
        <v>82</v>
      </c>
      <c r="T32" s="18"/>
      <c r="U32" s="60" t="s">
        <v>143</v>
      </c>
      <c r="V32" s="4"/>
      <c r="W32" s="4"/>
      <c r="X32" s="18"/>
      <c r="Y32" s="41"/>
    </row>
    <row r="33">
      <c r="B33" s="31">
        <v>1.0</v>
      </c>
      <c r="C33" s="32" t="s">
        <v>144</v>
      </c>
      <c r="D33" s="23"/>
      <c r="E33" s="33" t="s">
        <v>72</v>
      </c>
      <c r="F33" s="23"/>
      <c r="G33" s="34" t="s">
        <v>119</v>
      </c>
      <c r="H33" s="23"/>
      <c r="I33" s="33" t="s">
        <v>60</v>
      </c>
      <c r="J33" s="23"/>
      <c r="K33" s="33" t="s">
        <v>105</v>
      </c>
      <c r="L33" s="23"/>
      <c r="M33" s="33" t="s">
        <v>106</v>
      </c>
      <c r="N33" s="23"/>
      <c r="O33" s="33" t="str">
        <f>IF(OR(DOne="Knowledge Domain",DTwo="Knowledge Domain"),Level+1,Level)*10&amp;" minutes
10 minutes/level"</f>
        <v>10 minutes
10 minutes/level</v>
      </c>
      <c r="P33" s="23"/>
      <c r="Q33" s="33" t="s">
        <v>107</v>
      </c>
      <c r="R33" s="23"/>
      <c r="S33" s="33" t="s">
        <v>107</v>
      </c>
      <c r="T33" s="23"/>
      <c r="U33" s="35" t="s">
        <v>145</v>
      </c>
      <c r="V33" s="10"/>
      <c r="W33" s="10"/>
      <c r="X33" s="23"/>
      <c r="Y33" s="41"/>
    </row>
    <row r="34">
      <c r="B34" s="25">
        <v>1.0</v>
      </c>
      <c r="C34" s="26" t="s">
        <v>146</v>
      </c>
      <c r="D34" s="18"/>
      <c r="E34" s="28" t="s">
        <v>65</v>
      </c>
      <c r="F34" s="18"/>
      <c r="G34" s="27" t="s">
        <v>59</v>
      </c>
      <c r="H34" s="18"/>
      <c r="I34" s="27" t="s">
        <v>60</v>
      </c>
      <c r="J34" s="18"/>
      <c r="K34" s="27" t="s">
        <v>66</v>
      </c>
      <c r="L34" s="18"/>
      <c r="M34" s="27" t="s">
        <v>67</v>
      </c>
      <c r="N34" s="18"/>
      <c r="O34" s="27" t="s">
        <v>61</v>
      </c>
      <c r="P34" s="18"/>
      <c r="Q34" s="27" t="s">
        <v>68</v>
      </c>
      <c r="R34" s="18"/>
      <c r="S34" s="27" t="s">
        <v>69</v>
      </c>
      <c r="T34" s="18"/>
      <c r="U34" s="29" t="str">
        <f>CONCAT("Cures 1d8+",CONCAT(MIN(IF(OR(DOne="Healing Domain",DTwo="Healing Domain"),Level+1,Level),5), " damage, +1/level, max +5"))</f>
        <v>Cures 1d8+1 damage, +1/level, max +5</v>
      </c>
      <c r="V34" s="4"/>
      <c r="W34" s="4"/>
      <c r="X34" s="18"/>
      <c r="Y34" s="41"/>
    </row>
    <row r="35">
      <c r="B35" s="43">
        <v>1.0</v>
      </c>
      <c r="C35" s="57" t="s">
        <v>147</v>
      </c>
      <c r="D35" s="23"/>
      <c r="E35" s="34" t="s">
        <v>148</v>
      </c>
      <c r="F35" s="23"/>
      <c r="G35" s="34" t="s">
        <v>129</v>
      </c>
      <c r="H35" s="23"/>
      <c r="I35" s="34" t="s">
        <v>112</v>
      </c>
      <c r="J35" s="23"/>
      <c r="K35" s="34" t="s">
        <v>66</v>
      </c>
      <c r="L35" s="23"/>
      <c r="M35" s="34" t="s">
        <v>130</v>
      </c>
      <c r="N35" s="23"/>
      <c r="O35" s="34" t="s">
        <v>61</v>
      </c>
      <c r="P35" s="23"/>
      <c r="Q35" s="34" t="s">
        <v>101</v>
      </c>
      <c r="R35" s="23"/>
      <c r="S35" s="34" t="s">
        <v>102</v>
      </c>
      <c r="T35" s="23"/>
      <c r="U35" s="58" t="s">
        <v>149</v>
      </c>
      <c r="V35" s="10"/>
      <c r="W35" s="10"/>
      <c r="X35" s="23"/>
      <c r="Y35" s="41"/>
    </row>
    <row r="36">
      <c r="B36" s="25">
        <v>1.0</v>
      </c>
      <c r="C36" s="59" t="s">
        <v>150</v>
      </c>
      <c r="D36" s="18"/>
      <c r="E36" s="28" t="s">
        <v>148</v>
      </c>
      <c r="F36" s="18"/>
      <c r="G36" s="28" t="s">
        <v>59</v>
      </c>
      <c r="H36" s="18"/>
      <c r="I36" s="28" t="s">
        <v>60</v>
      </c>
      <c r="J36" s="18"/>
      <c r="K36" s="28" t="s">
        <v>151</v>
      </c>
      <c r="L36" s="18"/>
      <c r="M36" s="28" t="s">
        <v>152</v>
      </c>
      <c r="N36" s="18"/>
      <c r="O36" s="28" t="str">
        <f>IF(OR(DOne="Evil Domain",DTwo="Evil Domain"),Level+1,Level)*10&amp;" minutes
10 minutes/level"</f>
        <v>10 minutes
10 minutes/level</v>
      </c>
      <c r="P36" s="18"/>
      <c r="Q36" s="28" t="s">
        <v>62</v>
      </c>
      <c r="R36" s="18"/>
      <c r="S36" s="28" t="s">
        <v>63</v>
      </c>
      <c r="T36" s="18"/>
      <c r="U36" s="60" t="s">
        <v>153</v>
      </c>
      <c r="V36" s="4"/>
      <c r="W36" s="4"/>
      <c r="X36" s="18"/>
      <c r="Y36" s="41"/>
    </row>
    <row r="37">
      <c r="B37" s="43">
        <v>1.0</v>
      </c>
      <c r="C37" s="57" t="s">
        <v>154</v>
      </c>
      <c r="D37" s="23"/>
      <c r="E37" s="34" t="s">
        <v>72</v>
      </c>
      <c r="F37" s="23"/>
      <c r="G37" s="34" t="s">
        <v>119</v>
      </c>
      <c r="H37" s="23"/>
      <c r="I37" s="34" t="s">
        <v>60</v>
      </c>
      <c r="J37" s="23"/>
      <c r="K37" s="34" t="s">
        <v>73</v>
      </c>
      <c r="L37" s="23"/>
      <c r="M37" s="34" t="s">
        <v>152</v>
      </c>
      <c r="N37" s="23"/>
      <c r="O37" s="34" t="str">
        <f>"Concentration, up to "&amp;IF(OR(DOne="Knowledge Domain",DTwo="Knowledge Domain"),Level+1,Level)*10&amp;" minutes (D)
10 minutes/level"</f>
        <v>Concentration, up to 10 minutes (D)
10 minutes/level</v>
      </c>
      <c r="P37" s="23"/>
      <c r="Q37" s="34" t="s">
        <v>62</v>
      </c>
      <c r="R37" s="23"/>
      <c r="S37" s="34" t="s">
        <v>63</v>
      </c>
      <c r="T37" s="23"/>
      <c r="U37" s="58" t="s">
        <v>155</v>
      </c>
      <c r="V37" s="10"/>
      <c r="W37" s="10"/>
      <c r="X37" s="23"/>
      <c r="Y37" s="41"/>
    </row>
    <row r="38">
      <c r="B38" s="25">
        <v>1.0</v>
      </c>
      <c r="C38" s="59" t="s">
        <v>156</v>
      </c>
      <c r="D38" s="18"/>
      <c r="E38" s="28" t="s">
        <v>72</v>
      </c>
      <c r="F38" s="18"/>
      <c r="G38" s="28" t="s">
        <v>119</v>
      </c>
      <c r="H38" s="18"/>
      <c r="I38" s="28" t="s">
        <v>60</v>
      </c>
      <c r="J38" s="18"/>
      <c r="K38" s="28" t="s">
        <v>73</v>
      </c>
      <c r="L38" s="18"/>
      <c r="M38" s="28" t="s">
        <v>152</v>
      </c>
      <c r="N38" s="18"/>
      <c r="O38" s="28" t="str">
        <f>"Concentration, up to "&amp;IF(OR(DOne="Knowledge Domain",DTwo="Knowledge Domain"),Level+1,Level)*10&amp;" minutes (D)
10 minutes/level"</f>
        <v>Concentration, up to 10 minutes (D)
10 minutes/level</v>
      </c>
      <c r="P38" s="18"/>
      <c r="Q38" s="28" t="s">
        <v>62</v>
      </c>
      <c r="R38" s="18"/>
      <c r="S38" s="28" t="s">
        <v>63</v>
      </c>
      <c r="T38" s="18"/>
      <c r="U38" s="60" t="s">
        <v>155</v>
      </c>
      <c r="V38" s="4"/>
      <c r="W38" s="4"/>
      <c r="X38" s="18"/>
      <c r="Y38" s="41"/>
    </row>
    <row r="39">
      <c r="B39" s="43">
        <v>1.0</v>
      </c>
      <c r="C39" s="57" t="s">
        <v>157</v>
      </c>
      <c r="D39" s="23"/>
      <c r="E39" s="34" t="s">
        <v>72</v>
      </c>
      <c r="F39" s="23"/>
      <c r="G39" s="34" t="s">
        <v>119</v>
      </c>
      <c r="H39" s="23"/>
      <c r="I39" s="34" t="s">
        <v>60</v>
      </c>
      <c r="J39" s="23"/>
      <c r="K39" s="34" t="s">
        <v>73</v>
      </c>
      <c r="L39" s="23"/>
      <c r="M39" s="34" t="s">
        <v>152</v>
      </c>
      <c r="N39" s="23"/>
      <c r="O39" s="34" t="str">
        <f>"Concentration, up to "&amp;IF(OR(DOne="Knowledge Domain",DTwo="Knowledge Domain"),Level+1,Level)*10&amp;" minutes (D)
10 minutes/level"</f>
        <v>Concentration, up to 10 minutes (D)
10 minutes/level</v>
      </c>
      <c r="P39" s="23"/>
      <c r="Q39" s="34" t="s">
        <v>62</v>
      </c>
      <c r="R39" s="23"/>
      <c r="S39" s="34" t="s">
        <v>63</v>
      </c>
      <c r="T39" s="23"/>
      <c r="U39" s="58" t="s">
        <v>155</v>
      </c>
      <c r="V39" s="10"/>
      <c r="W39" s="10"/>
      <c r="X39" s="23"/>
      <c r="Y39" s="41"/>
    </row>
    <row r="40">
      <c r="B40" s="25">
        <v>1.0</v>
      </c>
      <c r="C40" s="59" t="s">
        <v>158</v>
      </c>
      <c r="D40" s="18"/>
      <c r="E40" s="28" t="s">
        <v>72</v>
      </c>
      <c r="F40" s="18"/>
      <c r="G40" s="28" t="s">
        <v>119</v>
      </c>
      <c r="H40" s="18"/>
      <c r="I40" s="28" t="s">
        <v>60</v>
      </c>
      <c r="J40" s="18"/>
      <c r="K40" s="28" t="s">
        <v>73</v>
      </c>
      <c r="L40" s="18"/>
      <c r="M40" s="28" t="s">
        <v>152</v>
      </c>
      <c r="N40" s="18"/>
      <c r="O40" s="28" t="str">
        <f>"Concentration, up to "&amp;IF(OR(DOne="Knowledge Domain",DTwo="Knowledge Domain"),Level+1,Level)*10&amp;" minutes (D)
10 minutes/level"</f>
        <v>Concentration, up to 10 minutes (D)
10 minutes/level</v>
      </c>
      <c r="P40" s="18"/>
      <c r="Q40" s="28" t="s">
        <v>62</v>
      </c>
      <c r="R40" s="18"/>
      <c r="S40" s="28" t="s">
        <v>63</v>
      </c>
      <c r="T40" s="18"/>
      <c r="U40" s="60" t="s">
        <v>155</v>
      </c>
      <c r="V40" s="4"/>
      <c r="W40" s="4"/>
      <c r="X40" s="18"/>
      <c r="Y40" s="41"/>
    </row>
    <row r="41">
      <c r="B41" s="43">
        <v>1.0</v>
      </c>
      <c r="C41" s="32" t="s">
        <v>159</v>
      </c>
      <c r="D41" s="23"/>
      <c r="E41" s="33" t="s">
        <v>72</v>
      </c>
      <c r="F41" s="23"/>
      <c r="G41" s="34" t="s">
        <v>119</v>
      </c>
      <c r="H41" s="23"/>
      <c r="I41" s="33" t="s">
        <v>60</v>
      </c>
      <c r="J41" s="23"/>
      <c r="K41" s="33" t="s">
        <v>73</v>
      </c>
      <c r="L41" s="23"/>
      <c r="M41" s="33" t="s">
        <v>152</v>
      </c>
      <c r="N41" s="23"/>
      <c r="O41" s="33" t="str">
        <f>"Concentration, up to "&amp;IF(OR(DOne="Knowledge Domain",DTwo="Knowledge Domain"),Level+1,Level)&amp;" minute(s) (D)
1 minute/level"</f>
        <v>Concentration, up to 1 minute(s) (D)
1 minute/level</v>
      </c>
      <c r="P41" s="23"/>
      <c r="Q41" s="33" t="s">
        <v>62</v>
      </c>
      <c r="R41" s="23"/>
      <c r="S41" s="33" t="s">
        <v>63</v>
      </c>
      <c r="T41" s="23"/>
      <c r="U41" s="35" t="s">
        <v>160</v>
      </c>
      <c r="V41" s="10"/>
      <c r="W41" s="10"/>
      <c r="X41" s="23"/>
      <c r="Y41" s="41"/>
    </row>
    <row r="42">
      <c r="B42" s="25">
        <v>1.0</v>
      </c>
      <c r="C42" s="59" t="s">
        <v>161</v>
      </c>
      <c r="D42" s="18"/>
      <c r="E42" s="28" t="s">
        <v>162</v>
      </c>
      <c r="F42" s="18"/>
      <c r="G42" s="28" t="s">
        <v>119</v>
      </c>
      <c r="H42" s="18"/>
      <c r="I42" s="27" t="s">
        <v>60</v>
      </c>
      <c r="J42" s="18"/>
      <c r="K42" s="28" t="s">
        <v>105</v>
      </c>
      <c r="L42" s="18"/>
      <c r="M42" s="28" t="s">
        <v>106</v>
      </c>
      <c r="N42" s="18"/>
      <c r="O42" s="28" t="s">
        <v>112</v>
      </c>
      <c r="P42" s="18"/>
      <c r="Q42" s="28" t="s">
        <v>107</v>
      </c>
      <c r="R42" s="18"/>
      <c r="S42" s="28" t="s">
        <v>107</v>
      </c>
      <c r="T42" s="18"/>
      <c r="U42" s="29" t="str">
        <f>"You gain +"&amp;MIN(MAX(FLOOR(Level/3,1),1),3)&amp;" on attack and damage rolls, +1 per 3 levels"</f>
        <v>You gain +1 on attack and damage rolls, +1 per 3 levels</v>
      </c>
      <c r="V42" s="4"/>
      <c r="W42" s="4"/>
      <c r="X42" s="18"/>
      <c r="Y42" s="41"/>
    </row>
    <row r="43">
      <c r="B43" s="43">
        <v>1.0</v>
      </c>
      <c r="C43" s="57" t="s">
        <v>163</v>
      </c>
      <c r="D43" s="23"/>
      <c r="E43" s="34" t="s">
        <v>133</v>
      </c>
      <c r="F43" s="23"/>
      <c r="G43" s="34" t="s">
        <v>119</v>
      </c>
      <c r="H43" s="23"/>
      <c r="I43" s="33" t="s">
        <v>60</v>
      </c>
      <c r="J43" s="23"/>
      <c r="K43" s="34" t="str">
        <f>medium</f>
        <v>Medium: 110 ft</v>
      </c>
      <c r="L43" s="23"/>
      <c r="M43" s="34" t="s">
        <v>141</v>
      </c>
      <c r="N43" s="23"/>
      <c r="O43" s="34" t="str">
        <f>Level&amp;" minute(s)
1 minute/level"</f>
        <v>1 minute(s)
1 minute/level</v>
      </c>
      <c r="P43" s="23"/>
      <c r="Q43" s="34" t="s">
        <v>86</v>
      </c>
      <c r="R43" s="23"/>
      <c r="S43" s="34" t="s">
        <v>82</v>
      </c>
      <c r="T43" s="23"/>
      <c r="U43" s="58" t="s">
        <v>164</v>
      </c>
      <c r="V43" s="10"/>
      <c r="W43" s="10"/>
      <c r="X43" s="23"/>
      <c r="Y43" s="41"/>
    </row>
    <row r="44">
      <c r="B44" s="25">
        <v>1.0</v>
      </c>
      <c r="C44" s="26" t="s">
        <v>165</v>
      </c>
      <c r="D44" s="18"/>
      <c r="E44" s="27" t="s">
        <v>110</v>
      </c>
      <c r="F44" s="18"/>
      <c r="G44" s="27" t="s">
        <v>59</v>
      </c>
      <c r="H44" s="18"/>
      <c r="I44" s="27" t="s">
        <v>60</v>
      </c>
      <c r="J44" s="18"/>
      <c r="K44" s="27" t="s">
        <v>66</v>
      </c>
      <c r="L44" s="18"/>
      <c r="M44" s="27" t="s">
        <v>166</v>
      </c>
      <c r="N44" s="18"/>
      <c r="O44" s="27" t="s">
        <v>167</v>
      </c>
      <c r="P44" s="18"/>
      <c r="Q44" s="27" t="s">
        <v>81</v>
      </c>
      <c r="R44" s="18"/>
      <c r="S44" s="27" t="s">
        <v>113</v>
      </c>
      <c r="T44" s="18"/>
      <c r="U44" s="29" t="s">
        <v>168</v>
      </c>
      <c r="V44" s="4"/>
      <c r="W44" s="4"/>
      <c r="X44" s="18"/>
      <c r="Y44" s="41"/>
    </row>
    <row r="45">
      <c r="B45" s="43">
        <v>1.0</v>
      </c>
      <c r="C45" s="57" t="s">
        <v>169</v>
      </c>
      <c r="D45" s="23"/>
      <c r="E45" s="33" t="s">
        <v>110</v>
      </c>
      <c r="F45" s="23"/>
      <c r="G45" s="33" t="s">
        <v>59</v>
      </c>
      <c r="H45" s="23"/>
      <c r="I45" s="33" t="s">
        <v>60</v>
      </c>
      <c r="J45" s="23"/>
      <c r="K45" s="34" t="s">
        <v>105</v>
      </c>
      <c r="L45" s="23"/>
      <c r="M45" s="34" t="s">
        <v>106</v>
      </c>
      <c r="N45" s="23"/>
      <c r="O45" s="33" t="str">
        <f>Level&amp;" minute(s) (D)
1 minute/level"</f>
        <v>1 minute(s) (D)
1 minute/level</v>
      </c>
      <c r="P45" s="23"/>
      <c r="Q45" s="34" t="s">
        <v>107</v>
      </c>
      <c r="R45" s="23"/>
      <c r="S45" s="34" t="s">
        <v>107</v>
      </c>
      <c r="T45" s="23"/>
      <c r="U45" s="58" t="s">
        <v>170</v>
      </c>
      <c r="V45" s="10"/>
      <c r="W45" s="10"/>
      <c r="X45" s="23"/>
      <c r="Y45" s="41"/>
    </row>
    <row r="46">
      <c r="B46" s="25">
        <v>1.0</v>
      </c>
      <c r="C46" s="59" t="s">
        <v>171</v>
      </c>
      <c r="D46" s="18"/>
      <c r="E46" s="27" t="s">
        <v>110</v>
      </c>
      <c r="F46" s="18"/>
      <c r="G46" s="28" t="s">
        <v>119</v>
      </c>
      <c r="H46" s="18"/>
      <c r="I46" s="27" t="s">
        <v>60</v>
      </c>
      <c r="J46" s="18"/>
      <c r="K46" s="28" t="s">
        <v>66</v>
      </c>
      <c r="L46" s="18"/>
      <c r="M46" s="28" t="str">
        <f>Level&amp;" touched creatures, 1 creature/level"</f>
        <v>1 touched creatures, 1 creature/level</v>
      </c>
      <c r="N46" s="18"/>
      <c r="O46" s="27" t="str">
        <f>Level*10&amp;" minutes (D)
10 minutes/level"</f>
        <v>10 minutes (D)
10 minutes/level</v>
      </c>
      <c r="P46" s="18"/>
      <c r="Q46" s="28" t="s">
        <v>172</v>
      </c>
      <c r="R46" s="18"/>
      <c r="S46" s="28" t="s">
        <v>82</v>
      </c>
      <c r="T46" s="18"/>
      <c r="U46" s="60" t="str">
        <f>"Undead can’t perceive "&amp;Level&amp;" subject(s),1 subject/level"</f>
        <v>Undead can’t perceive 1 subject(s),1 subject/level</v>
      </c>
      <c r="V46" s="4"/>
      <c r="W46" s="4"/>
      <c r="X46" s="18"/>
      <c r="Y46" s="41"/>
    </row>
    <row r="47">
      <c r="B47" s="43">
        <v>1.0</v>
      </c>
      <c r="C47" s="57" t="s">
        <v>173</v>
      </c>
      <c r="D47" s="23"/>
      <c r="E47" s="34" t="s">
        <v>85</v>
      </c>
      <c r="F47" s="23"/>
      <c r="G47" s="33" t="s">
        <v>59</v>
      </c>
      <c r="H47" s="23"/>
      <c r="I47" s="33" t="s">
        <v>60</v>
      </c>
      <c r="J47" s="23"/>
      <c r="K47" s="33" t="s">
        <v>66</v>
      </c>
      <c r="L47" s="23"/>
      <c r="M47" s="33" t="s">
        <v>67</v>
      </c>
      <c r="N47" s="23"/>
      <c r="O47" s="33" t="s">
        <v>61</v>
      </c>
      <c r="P47" s="23"/>
      <c r="Q47" s="34" t="s">
        <v>174</v>
      </c>
      <c r="R47" s="23"/>
      <c r="S47" s="34" t="s">
        <v>82</v>
      </c>
      <c r="T47" s="23"/>
      <c r="U47" s="58" t="str">
        <f>CONCAT("Touch deals 1d8+",CONCAT(MIN(Level,5), " damage, +1/level, max +5"))</f>
        <v>Touch deals 1d8+1 damage, +1/level, max +5</v>
      </c>
      <c r="V47" s="10"/>
      <c r="W47" s="10"/>
      <c r="X47" s="23"/>
    </row>
    <row r="48">
      <c r="B48" s="25">
        <v>1.0</v>
      </c>
      <c r="C48" s="26" t="s">
        <v>175</v>
      </c>
      <c r="D48" s="18"/>
      <c r="E48" s="27" t="s">
        <v>94</v>
      </c>
      <c r="F48" s="18"/>
      <c r="G48" s="27" t="s">
        <v>119</v>
      </c>
      <c r="H48" s="18"/>
      <c r="I48" s="27" t="s">
        <v>60</v>
      </c>
      <c r="J48" s="18"/>
      <c r="K48" s="27" t="s">
        <v>66</v>
      </c>
      <c r="L48" s="18"/>
      <c r="M48" s="27" t="s">
        <v>176</v>
      </c>
      <c r="N48" s="18"/>
      <c r="O48" s="27" t="s">
        <v>177</v>
      </c>
      <c r="P48" s="18"/>
      <c r="Q48" s="27" t="s">
        <v>97</v>
      </c>
      <c r="R48" s="18"/>
      <c r="S48" s="27" t="s">
        <v>98</v>
      </c>
      <c r="T48" s="18"/>
      <c r="U48" s="29" t="s">
        <v>178</v>
      </c>
      <c r="V48" s="4"/>
      <c r="W48" s="4"/>
      <c r="X48" s="18"/>
    </row>
    <row r="49">
      <c r="B49" s="43">
        <v>1.0</v>
      </c>
      <c r="C49" s="32" t="s">
        <v>179</v>
      </c>
      <c r="D49" s="23"/>
      <c r="E49" s="33" t="s">
        <v>94</v>
      </c>
      <c r="F49" s="23"/>
      <c r="G49" s="33" t="s">
        <v>59</v>
      </c>
      <c r="H49" s="23"/>
      <c r="I49" s="33" t="s">
        <v>60</v>
      </c>
      <c r="J49" s="23"/>
      <c r="K49" s="33" t="s">
        <v>66</v>
      </c>
      <c r="L49" s="23"/>
      <c r="M49" s="33" t="s">
        <v>180</v>
      </c>
      <c r="N49" s="23"/>
      <c r="O49" s="33" t="str">
        <f>CONCAT(Level, " minutes
1 minute/level")</f>
        <v>1 minutes
1 minute/level</v>
      </c>
      <c r="P49" s="23"/>
      <c r="Q49" s="33" t="s">
        <v>97</v>
      </c>
      <c r="R49" s="23"/>
      <c r="S49" s="33" t="s">
        <v>98</v>
      </c>
      <c r="T49" s="23"/>
      <c r="U49" s="35" t="s">
        <v>181</v>
      </c>
      <c r="V49" s="10"/>
      <c r="W49" s="10"/>
      <c r="X49" s="23"/>
    </row>
    <row r="50">
      <c r="B50" s="25">
        <v>1.0</v>
      </c>
      <c r="C50" s="26" t="s">
        <v>182</v>
      </c>
      <c r="D50" s="18"/>
      <c r="E50" s="28" t="s">
        <v>183</v>
      </c>
      <c r="F50" s="18"/>
      <c r="G50" s="27" t="s">
        <v>59</v>
      </c>
      <c r="H50" s="18"/>
      <c r="I50" s="27" t="s">
        <v>60</v>
      </c>
      <c r="J50" s="18"/>
      <c r="K50" s="27" t="s">
        <v>184</v>
      </c>
      <c r="L50" s="18"/>
      <c r="M50" s="27" t="s">
        <v>185</v>
      </c>
      <c r="N50" s="18"/>
      <c r="O50" s="27" t="str">
        <f>CONCAT(Level, " minute(s)
1 minute/level")</f>
        <v>1 minute(s)
1 minute/level</v>
      </c>
      <c r="P50" s="18"/>
      <c r="Q50" s="27" t="s">
        <v>62</v>
      </c>
      <c r="R50" s="18"/>
      <c r="S50" s="27" t="s">
        <v>63</v>
      </c>
      <c r="T50" s="18"/>
      <c r="U50" s="29" t="s">
        <v>186</v>
      </c>
      <c r="V50" s="4"/>
      <c r="W50" s="4"/>
      <c r="X50" s="18"/>
    </row>
    <row r="51">
      <c r="B51" s="43">
        <v>1.0</v>
      </c>
      <c r="C51" s="32" t="s">
        <v>187</v>
      </c>
      <c r="D51" s="23"/>
      <c r="E51" s="34" t="s">
        <v>188</v>
      </c>
      <c r="F51" s="23"/>
      <c r="G51" s="34" t="s">
        <v>119</v>
      </c>
      <c r="H51" s="23"/>
      <c r="I51" s="33" t="s">
        <v>60</v>
      </c>
      <c r="J51" s="23"/>
      <c r="K51" s="33" t="s">
        <v>66</v>
      </c>
      <c r="L51" s="23"/>
      <c r="M51" s="33" t="s">
        <v>166</v>
      </c>
      <c r="N51" s="23"/>
      <c r="O51" s="33" t="str">
        <f>IF(OR(DOne="Lawful Domain",DTwo="Lawful Domain"),Level+1,Level)&amp;" minute(s) (D)
1 minute/level"</f>
        <v>1 minute(s) (D)
1 minute/level</v>
      </c>
      <c r="P51" s="23"/>
      <c r="Q51" s="33" t="s">
        <v>81</v>
      </c>
      <c r="R51" s="23"/>
      <c r="S51" s="33" t="s">
        <v>189</v>
      </c>
      <c r="T51" s="23"/>
      <c r="U51" s="61" t="s">
        <v>190</v>
      </c>
      <c r="V51" s="10"/>
      <c r="W51" s="10"/>
      <c r="X51" s="23"/>
    </row>
    <row r="52">
      <c r="B52" s="25">
        <v>1.0</v>
      </c>
      <c r="C52" s="26" t="s">
        <v>191</v>
      </c>
      <c r="D52" s="18"/>
      <c r="E52" s="28" t="s">
        <v>192</v>
      </c>
      <c r="F52" s="18"/>
      <c r="G52" s="27" t="s">
        <v>111</v>
      </c>
      <c r="H52" s="18"/>
      <c r="I52" s="27" t="s">
        <v>60</v>
      </c>
      <c r="J52" s="18"/>
      <c r="K52" s="27" t="s">
        <v>66</v>
      </c>
      <c r="L52" s="18"/>
      <c r="M52" s="27" t="s">
        <v>166</v>
      </c>
      <c r="N52" s="18"/>
      <c r="O52" s="27" t="str">
        <f>IF(OR(DOne="Good Domain",DTwo="Good Domain"),(Level+1),Level)&amp;" minute(s) (D)
1 minute/level"</f>
        <v>1 minute(s) (D)
1 minute/level</v>
      </c>
      <c r="P52" s="18"/>
      <c r="Q52" s="27" t="s">
        <v>81</v>
      </c>
      <c r="R52" s="18"/>
      <c r="S52" s="27" t="s">
        <v>189</v>
      </c>
      <c r="T52" s="18"/>
      <c r="U52" s="62" t="s">
        <v>190</v>
      </c>
      <c r="V52" s="4"/>
      <c r="W52" s="4"/>
      <c r="X52" s="18"/>
    </row>
    <row r="53">
      <c r="B53" s="43">
        <v>1.0</v>
      </c>
      <c r="C53" s="32" t="s">
        <v>193</v>
      </c>
      <c r="D53" s="23"/>
      <c r="E53" s="34" t="s">
        <v>194</v>
      </c>
      <c r="F53" s="23"/>
      <c r="G53" s="34" t="s">
        <v>119</v>
      </c>
      <c r="H53" s="23"/>
      <c r="I53" s="33" t="s">
        <v>60</v>
      </c>
      <c r="J53" s="23"/>
      <c r="K53" s="33" t="s">
        <v>66</v>
      </c>
      <c r="L53" s="23"/>
      <c r="M53" s="33" t="s">
        <v>166</v>
      </c>
      <c r="N53" s="23"/>
      <c r="O53" s="33" t="str">
        <f>IF(OR(DOne="Evil Domain",DTwo="Evil Domain"),Level+1,Level)&amp;" minute(s) (D)
1 minute/level"</f>
        <v>1 minute(s) (D)
1 minute/level</v>
      </c>
      <c r="P53" s="23"/>
      <c r="Q53" s="33" t="s">
        <v>81</v>
      </c>
      <c r="R53" s="23"/>
      <c r="S53" s="33" t="s">
        <v>189</v>
      </c>
      <c r="T53" s="23"/>
      <c r="U53" s="61" t="s">
        <v>190</v>
      </c>
      <c r="V53" s="10"/>
      <c r="W53" s="10"/>
      <c r="X53" s="23"/>
    </row>
    <row r="54">
      <c r="B54" s="25">
        <v>1.0</v>
      </c>
      <c r="C54" s="26" t="s">
        <v>195</v>
      </c>
      <c r="D54" s="18"/>
      <c r="E54" s="28" t="s">
        <v>196</v>
      </c>
      <c r="F54" s="18"/>
      <c r="G54" s="28" t="s">
        <v>119</v>
      </c>
      <c r="H54" s="18"/>
      <c r="I54" s="27" t="s">
        <v>60</v>
      </c>
      <c r="J54" s="18"/>
      <c r="K54" s="27" t="s">
        <v>66</v>
      </c>
      <c r="L54" s="18"/>
      <c r="M54" s="27" t="s">
        <v>166</v>
      </c>
      <c r="N54" s="18"/>
      <c r="O54" s="27" t="str">
        <f>IF(OR(DOne="Chaos Domain",DTwo="Chaos Domain"),(Level+1),Level)&amp;" minute(s) (D)
1 minute/level"</f>
        <v>1 minute(s) (D)
1 minute/level</v>
      </c>
      <c r="P54" s="18"/>
      <c r="Q54" s="27" t="s">
        <v>81</v>
      </c>
      <c r="R54" s="18"/>
      <c r="S54" s="27" t="s">
        <v>189</v>
      </c>
      <c r="T54" s="18"/>
      <c r="U54" s="62" t="s">
        <v>190</v>
      </c>
      <c r="V54" s="4"/>
      <c r="W54" s="4"/>
      <c r="X54" s="18"/>
    </row>
    <row r="55">
      <c r="B55" s="43">
        <v>1.0</v>
      </c>
      <c r="C55" s="32" t="s">
        <v>197</v>
      </c>
      <c r="D55" s="23"/>
      <c r="E55" s="33" t="s">
        <v>110</v>
      </c>
      <c r="F55" s="23"/>
      <c r="G55" s="33" t="s">
        <v>59</v>
      </c>
      <c r="H55" s="23"/>
      <c r="I55" s="33" t="s">
        <v>60</v>
      </c>
      <c r="J55" s="23"/>
      <c r="K55" s="33" t="str">
        <f>close</f>
        <v>Close: 25 ft</v>
      </c>
      <c r="L55" s="23"/>
      <c r="M55" s="33" t="str">
        <f>FLOOR(Level/4,1)+1&amp;" creatures, one creature + one creature per 4 levels, no 2 of which can be more than 30 ft apart"</f>
        <v>1 creatures, one creature + one creature per 4 levels, no 2 of which can be more than 30 ft apart</v>
      </c>
      <c r="N55" s="23"/>
      <c r="O55" s="33" t="s">
        <v>198</v>
      </c>
      <c r="P55" s="23"/>
      <c r="Q55" s="33" t="s">
        <v>81</v>
      </c>
      <c r="R55" s="23"/>
      <c r="S55" s="33" t="s">
        <v>113</v>
      </c>
      <c r="T55" s="23"/>
      <c r="U55" s="35" t="str">
        <f>"Suppresses fear or gives +4 on saves against fear for "&amp;FLOOR(Level/4,1)+1&amp;" subject(s), one subject + one subject per 4 levels"</f>
        <v>Suppresses fear or gives +4 on saves against fear for 1 subject(s), one subject + one subject per 4 levels</v>
      </c>
      <c r="V55" s="10"/>
      <c r="W55" s="10"/>
      <c r="X55" s="23"/>
    </row>
    <row r="56">
      <c r="B56" s="25">
        <v>1.0</v>
      </c>
      <c r="C56" s="59" t="s">
        <v>199</v>
      </c>
      <c r="D56" s="18"/>
      <c r="E56" s="27" t="s">
        <v>110</v>
      </c>
      <c r="F56" s="18"/>
      <c r="G56" s="28" t="s">
        <v>119</v>
      </c>
      <c r="H56" s="18"/>
      <c r="I56" s="27" t="s">
        <v>60</v>
      </c>
      <c r="J56" s="18"/>
      <c r="K56" s="28" t="s">
        <v>66</v>
      </c>
      <c r="L56" s="18"/>
      <c r="M56" s="28" t="s">
        <v>166</v>
      </c>
      <c r="N56" s="18"/>
      <c r="O56" s="27" t="str">
        <f>Level&amp;" round(s)
1 round/level"</f>
        <v>1 round(s)
1 round/level</v>
      </c>
      <c r="P56" s="18"/>
      <c r="Q56" s="28" t="s">
        <v>86</v>
      </c>
      <c r="R56" s="18"/>
      <c r="S56" s="28" t="s">
        <v>63</v>
      </c>
      <c r="T56" s="18"/>
      <c r="U56" s="60" t="s">
        <v>200</v>
      </c>
      <c r="V56" s="4"/>
      <c r="W56" s="4"/>
      <c r="X56" s="18"/>
    </row>
    <row r="57">
      <c r="B57" s="43">
        <v>1.0</v>
      </c>
      <c r="C57" s="57" t="s">
        <v>201</v>
      </c>
      <c r="D57" s="23"/>
      <c r="E57" s="33" t="s">
        <v>110</v>
      </c>
      <c r="F57" s="23"/>
      <c r="G57" s="34" t="s">
        <v>202</v>
      </c>
      <c r="H57" s="23"/>
      <c r="I57" s="33" t="s">
        <v>60</v>
      </c>
      <c r="J57" s="23"/>
      <c r="K57" s="34" t="s">
        <v>66</v>
      </c>
      <c r="L57" s="23"/>
      <c r="M57" s="34" t="s">
        <v>166</v>
      </c>
      <c r="N57" s="23"/>
      <c r="O57" s="33" t="str">
        <f>Level&amp;" minute(s)
1 minute/level"</f>
        <v>1 minute(s)
1 minute/level</v>
      </c>
      <c r="P57" s="23"/>
      <c r="Q57" s="34" t="s">
        <v>81</v>
      </c>
      <c r="R57" s="23"/>
      <c r="S57" s="34" t="s">
        <v>113</v>
      </c>
      <c r="T57" s="23"/>
      <c r="U57" s="58" t="s">
        <v>203</v>
      </c>
      <c r="V57" s="10"/>
      <c r="W57" s="10"/>
      <c r="X57" s="23"/>
    </row>
    <row r="58">
      <c r="B58" s="25">
        <v>1.0</v>
      </c>
      <c r="C58" s="26" t="s">
        <v>204</v>
      </c>
      <c r="D58" s="18"/>
      <c r="E58" s="28" t="s">
        <v>205</v>
      </c>
      <c r="F58" s="18"/>
      <c r="G58" s="28" t="s">
        <v>119</v>
      </c>
      <c r="H58" s="18"/>
      <c r="I58" s="27" t="s">
        <v>142</v>
      </c>
      <c r="J58" s="18"/>
      <c r="K58" s="27" t="str">
        <f>close</f>
        <v>Close: 25 ft</v>
      </c>
      <c r="L58" s="18"/>
      <c r="M58" s="27" t="s">
        <v>206</v>
      </c>
      <c r="N58" s="18"/>
      <c r="O58" s="27" t="str">
        <f>Level&amp;" round(s) (D)
1 round/level"</f>
        <v>1 round(s) (D)
1 round/level</v>
      </c>
      <c r="P58" s="18"/>
      <c r="Q58" s="27" t="s">
        <v>62</v>
      </c>
      <c r="R58" s="18"/>
      <c r="S58" s="27" t="s">
        <v>63</v>
      </c>
      <c r="T58" s="18"/>
      <c r="U58" s="29" t="s">
        <v>207</v>
      </c>
      <c r="V58" s="4"/>
      <c r="W58" s="4"/>
      <c r="X58" s="18"/>
    </row>
    <row r="59">
      <c r="B59" s="43">
        <v>2.0</v>
      </c>
      <c r="C59" s="57" t="s">
        <v>208</v>
      </c>
      <c r="D59" s="23"/>
      <c r="E59" s="34" t="s">
        <v>209</v>
      </c>
      <c r="F59" s="23"/>
      <c r="G59" s="33" t="s">
        <v>119</v>
      </c>
      <c r="H59" s="23"/>
      <c r="I59" s="33" t="s">
        <v>60</v>
      </c>
      <c r="J59" s="23"/>
      <c r="K59" s="33" t="s">
        <v>66</v>
      </c>
      <c r="L59" s="23"/>
      <c r="M59" s="34" t="s">
        <v>210</v>
      </c>
      <c r="N59" s="23"/>
      <c r="O59" s="33" t="str">
        <f>CONCAT(Level, " minutes
1 minute/level")</f>
        <v>1 minutes
1 minute/level</v>
      </c>
      <c r="P59" s="23"/>
      <c r="Q59" s="34" t="s">
        <v>62</v>
      </c>
      <c r="R59" s="23"/>
      <c r="S59" s="34" t="s">
        <v>113</v>
      </c>
      <c r="T59" s="23"/>
      <c r="U59" s="35" t="str">
        <f>"+1 on attack rolls and saves against fear, 1d8+"&amp;MIN(Level, 10)&amp;" temporary hp, +1/level (max +10)"</f>
        <v>+1 on attack rolls and saves against fear, 1d8+1 temporary hp, +1/level (max +10)</v>
      </c>
      <c r="V59" s="10"/>
      <c r="W59" s="10"/>
      <c r="X59" s="23"/>
    </row>
    <row r="60">
      <c r="B60" s="25">
        <v>2.0</v>
      </c>
      <c r="C60" s="59" t="s">
        <v>211</v>
      </c>
      <c r="D60" s="18"/>
      <c r="E60" s="28" t="s">
        <v>212</v>
      </c>
      <c r="F60" s="18"/>
      <c r="G60" s="27" t="s">
        <v>119</v>
      </c>
      <c r="H60" s="18"/>
      <c r="I60" s="27" t="s">
        <v>60</v>
      </c>
      <c r="J60" s="18"/>
      <c r="K60" s="27" t="s">
        <v>66</v>
      </c>
      <c r="L60" s="18"/>
      <c r="M60" s="28" t="s">
        <v>213</v>
      </c>
      <c r="N60" s="18"/>
      <c r="O60" s="27" t="str">
        <f>CONCAT(Level, " minutes
1 minute/level")</f>
        <v>1 minutes
1 minute/level</v>
      </c>
      <c r="P60" s="18"/>
      <c r="Q60" s="28" t="s">
        <v>97</v>
      </c>
      <c r="R60" s="18"/>
      <c r="S60" s="28" t="s">
        <v>98</v>
      </c>
      <c r="T60" s="18"/>
      <c r="U60" s="60" t="s">
        <v>214</v>
      </c>
      <c r="V60" s="4"/>
      <c r="W60" s="4"/>
      <c r="X60" s="18"/>
    </row>
    <row r="61">
      <c r="B61" s="43">
        <v>2.0</v>
      </c>
      <c r="C61" s="57" t="s">
        <v>215</v>
      </c>
      <c r="D61" s="23"/>
      <c r="E61" s="34" t="s">
        <v>72</v>
      </c>
      <c r="F61" s="23"/>
      <c r="G61" s="34" t="s">
        <v>216</v>
      </c>
      <c r="H61" s="23"/>
      <c r="I61" s="34" t="s">
        <v>112</v>
      </c>
      <c r="J61" s="23"/>
      <c r="K61" s="34" t="s">
        <v>105</v>
      </c>
      <c r="L61" s="23"/>
      <c r="M61" s="34" t="s">
        <v>106</v>
      </c>
      <c r="N61" s="23"/>
      <c r="O61" s="34" t="s">
        <v>61</v>
      </c>
      <c r="P61" s="23"/>
      <c r="Q61" s="34" t="s">
        <v>107</v>
      </c>
      <c r="R61" s="23"/>
      <c r="S61" s="34" t="s">
        <v>107</v>
      </c>
      <c r="T61" s="23"/>
      <c r="U61" s="58" t="s">
        <v>217</v>
      </c>
      <c r="V61" s="10"/>
      <c r="W61" s="10"/>
      <c r="X61" s="23"/>
    </row>
    <row r="62">
      <c r="B62" s="25">
        <v>2.0</v>
      </c>
      <c r="C62" s="26" t="s">
        <v>218</v>
      </c>
      <c r="D62" s="18"/>
      <c r="E62" s="27" t="s">
        <v>94</v>
      </c>
      <c r="F62" s="18"/>
      <c r="G62" s="27" t="s">
        <v>119</v>
      </c>
      <c r="H62" s="18"/>
      <c r="I62" s="27" t="s">
        <v>60</v>
      </c>
      <c r="J62" s="18"/>
      <c r="K62" s="27" t="s">
        <v>66</v>
      </c>
      <c r="L62" s="18"/>
      <c r="M62" s="27" t="s">
        <v>166</v>
      </c>
      <c r="N62" s="18"/>
      <c r="O62" s="27" t="str">
        <f>CONCAT(Level, " minutes
1 minute/level")</f>
        <v>1 minutes
1 minute/level</v>
      </c>
      <c r="P62" s="18"/>
      <c r="Q62" s="27" t="s">
        <v>81</v>
      </c>
      <c r="R62" s="18"/>
      <c r="S62" s="27" t="s">
        <v>82</v>
      </c>
      <c r="T62" s="18"/>
      <c r="U62" s="29" t="str">
        <f>CONCAT("Subject gains +4 to Con for ",CONCAT(Level," minutes, 1 minute/level"))</f>
        <v>Subject gains +4 to Con for 1 minutes, 1 minute/level</v>
      </c>
      <c r="V62" s="4"/>
      <c r="W62" s="4"/>
      <c r="X62" s="18"/>
    </row>
    <row r="63">
      <c r="B63" s="43">
        <v>2.0</v>
      </c>
      <c r="C63" s="32" t="s">
        <v>219</v>
      </c>
      <c r="D63" s="23"/>
      <c r="E63" s="33" t="s">
        <v>94</v>
      </c>
      <c r="F63" s="23"/>
      <c r="G63" s="34" t="s">
        <v>111</v>
      </c>
      <c r="H63" s="23"/>
      <c r="I63" s="33" t="s">
        <v>60</v>
      </c>
      <c r="J63" s="23"/>
      <c r="K63" s="33" t="s">
        <v>66</v>
      </c>
      <c r="L63" s="23"/>
      <c r="M63" s="33" t="s">
        <v>166</v>
      </c>
      <c r="N63" s="23"/>
      <c r="O63" s="33" t="str">
        <f>CONCAT(Level, " minutes
1 minute/level")</f>
        <v>1 minutes
1 minute/level</v>
      </c>
      <c r="P63" s="23"/>
      <c r="Q63" s="33" t="s">
        <v>81</v>
      </c>
      <c r="R63" s="23"/>
      <c r="S63" s="33" t="s">
        <v>113</v>
      </c>
      <c r="T63" s="23"/>
      <c r="U63" s="35" t="str">
        <f>CONCAT("Subject gains +4 to Str for ",CONCAT(Level," minutes, 1 minute/level"))</f>
        <v>Subject gains +4 to Str for 1 minutes, 1 minute/level</v>
      </c>
      <c r="V63" s="10"/>
      <c r="W63" s="10"/>
      <c r="X63" s="23"/>
    </row>
    <row r="64">
      <c r="B64" s="25">
        <v>2.0</v>
      </c>
      <c r="C64" s="26" t="s">
        <v>220</v>
      </c>
      <c r="D64" s="18"/>
      <c r="E64" s="28" t="s">
        <v>124</v>
      </c>
      <c r="F64" s="18"/>
      <c r="G64" s="28" t="s">
        <v>119</v>
      </c>
      <c r="H64" s="18"/>
      <c r="I64" s="27" t="s">
        <v>60</v>
      </c>
      <c r="J64" s="18"/>
      <c r="K64" s="27" t="str">
        <f>medium</f>
        <v>Medium: 110 ft</v>
      </c>
      <c r="L64" s="18"/>
      <c r="M64" s="27" t="s">
        <v>221</v>
      </c>
      <c r="N64" s="18"/>
      <c r="O64" s="27" t="str">
        <f>"Concentration, up to "&amp;Level&amp;" rounds (D)
1 round/level"</f>
        <v>Concentration, up to 1 rounds (D)
1 round/level</v>
      </c>
      <c r="P64" s="18"/>
      <c r="Q64" s="27" t="s">
        <v>86</v>
      </c>
      <c r="R64" s="18"/>
      <c r="S64" s="27" t="s">
        <v>82</v>
      </c>
      <c r="T64" s="18"/>
      <c r="U64" s="29" t="s">
        <v>222</v>
      </c>
      <c r="V64" s="4"/>
      <c r="W64" s="4"/>
      <c r="X64" s="18"/>
    </row>
    <row r="65">
      <c r="B65" s="43">
        <v>2.0</v>
      </c>
      <c r="C65" s="57" t="s">
        <v>223</v>
      </c>
      <c r="D65" s="23"/>
      <c r="E65" s="34" t="s">
        <v>224</v>
      </c>
      <c r="F65" s="23"/>
      <c r="G65" s="34" t="s">
        <v>225</v>
      </c>
      <c r="H65" s="23"/>
      <c r="I65" s="33" t="s">
        <v>60</v>
      </c>
      <c r="J65" s="23"/>
      <c r="K65" s="33" t="str">
        <f>CONCAT("Close: ", CONCAT(25+(5*FLOOR(IF(OR(DOne="Good Domain",DTwo="Good Domain"),Level+1,Level)/2,1)), " ft"))</f>
        <v>Close: 25 ft</v>
      </c>
      <c r="L65" s="23"/>
      <c r="M65" s="34" t="s">
        <v>226</v>
      </c>
      <c r="N65" s="23"/>
      <c r="O65" s="33" t="str">
        <f>CONCAT(IF(OR(DOne="Good Domain",DTwo="Good Domain"),Level+1,Level)*2, " hours
2 hours/level")</f>
        <v>2 hours
2 hours/level</v>
      </c>
      <c r="P65" s="23"/>
      <c r="Q65" s="34" t="s">
        <v>62</v>
      </c>
      <c r="R65" s="23"/>
      <c r="S65" s="34" t="s">
        <v>63</v>
      </c>
      <c r="T65" s="23"/>
      <c r="U65" s="58" t="s">
        <v>227</v>
      </c>
      <c r="V65" s="10"/>
      <c r="W65" s="10"/>
      <c r="X65" s="23"/>
    </row>
    <row r="66">
      <c r="B66" s="25">
        <v>2.0</v>
      </c>
      <c r="C66" s="26" t="s">
        <v>228</v>
      </c>
      <c r="D66" s="18"/>
      <c r="E66" s="28" t="s">
        <v>65</v>
      </c>
      <c r="F66" s="18"/>
      <c r="G66" s="27" t="s">
        <v>59</v>
      </c>
      <c r="H66" s="18"/>
      <c r="I66" s="27" t="s">
        <v>60</v>
      </c>
      <c r="J66" s="18"/>
      <c r="K66" s="27" t="s">
        <v>66</v>
      </c>
      <c r="L66" s="18"/>
      <c r="M66" s="27" t="s">
        <v>67</v>
      </c>
      <c r="N66" s="18"/>
      <c r="O66" s="27" t="s">
        <v>61</v>
      </c>
      <c r="P66" s="18"/>
      <c r="Q66" s="27" t="s">
        <v>68</v>
      </c>
      <c r="R66" s="18"/>
      <c r="S66" s="27" t="s">
        <v>69</v>
      </c>
      <c r="T66" s="18"/>
      <c r="U66" s="29" t="str">
        <f>CONCAT("Cures 2d8+",CONCAT(MIN(IF(OR(DOne="Healing Domain",DTwo="Healing Domain"),Level+1,Level),10)," damage, +1/level, max +10"))</f>
        <v>Cures 2d8+1 damage, +1/level, max +10</v>
      </c>
      <c r="V66" s="4"/>
      <c r="W66" s="4"/>
      <c r="X66" s="18"/>
    </row>
    <row r="67">
      <c r="B67" s="43">
        <v>2.0</v>
      </c>
      <c r="C67" s="32" t="s">
        <v>229</v>
      </c>
      <c r="D67" s="23"/>
      <c r="E67" s="34" t="s">
        <v>230</v>
      </c>
      <c r="F67" s="23"/>
      <c r="G67" s="34" t="s">
        <v>231</v>
      </c>
      <c r="H67" s="23"/>
      <c r="I67" s="33" t="s">
        <v>60</v>
      </c>
      <c r="J67" s="23"/>
      <c r="K67" s="33" t="s">
        <v>66</v>
      </c>
      <c r="L67" s="23"/>
      <c r="M67" s="33" t="s">
        <v>232</v>
      </c>
      <c r="N67" s="23"/>
      <c r="O67" s="33" t="str">
        <f>Level*10&amp;" minutes (D)
10 minutes/level"</f>
        <v>10 minutes (D)
10 minutes/level</v>
      </c>
      <c r="P67" s="23"/>
      <c r="Q67" s="33" t="s">
        <v>62</v>
      </c>
      <c r="R67" s="23"/>
      <c r="S67" s="33" t="s">
        <v>63</v>
      </c>
      <c r="T67" s="23"/>
      <c r="U67" s="35" t="s">
        <v>233</v>
      </c>
      <c r="V67" s="10"/>
      <c r="W67" s="10"/>
      <c r="X67" s="23"/>
    </row>
    <row r="68">
      <c r="B68" s="25">
        <v>2.0</v>
      </c>
      <c r="C68" s="59" t="s">
        <v>234</v>
      </c>
      <c r="D68" s="18"/>
      <c r="E68" s="28" t="s">
        <v>235</v>
      </c>
      <c r="F68" s="18"/>
      <c r="G68" s="28" t="s">
        <v>59</v>
      </c>
      <c r="H68" s="18"/>
      <c r="I68" s="27" t="s">
        <v>60</v>
      </c>
      <c r="J68" s="18"/>
      <c r="K68" s="27" t="s">
        <v>66</v>
      </c>
      <c r="L68" s="18"/>
      <c r="M68" s="28" t="s">
        <v>210</v>
      </c>
      <c r="N68" s="18"/>
      <c r="O68" s="28" t="s">
        <v>236</v>
      </c>
      <c r="P68" s="18"/>
      <c r="Q68" s="28" t="s">
        <v>86</v>
      </c>
      <c r="R68" s="18"/>
      <c r="S68" s="28" t="s">
        <v>82</v>
      </c>
      <c r="T68" s="18"/>
      <c r="U68" s="60" t="s">
        <v>237</v>
      </c>
      <c r="V68" s="4"/>
      <c r="W68" s="4"/>
      <c r="X68" s="18"/>
    </row>
    <row r="69">
      <c r="B69" s="43">
        <v>2.0</v>
      </c>
      <c r="C69" s="32" t="s">
        <v>238</v>
      </c>
      <c r="D69" s="23"/>
      <c r="E69" s="34" t="s">
        <v>65</v>
      </c>
      <c r="F69" s="23"/>
      <c r="G69" s="33" t="s">
        <v>119</v>
      </c>
      <c r="H69" s="23"/>
      <c r="I69" s="33" t="s">
        <v>60</v>
      </c>
      <c r="J69" s="23"/>
      <c r="K69" s="33" t="s">
        <v>66</v>
      </c>
      <c r="L69" s="23"/>
      <c r="M69" s="33" t="s">
        <v>166</v>
      </c>
      <c r="N69" s="23"/>
      <c r="O69" s="33" t="str">
        <f>CONCAT(IF(OR(DOne="Healing Domain",DTwo="Healing Domain"),Level+1,Level), " hours
1 hour/level")</f>
        <v>1 hours
1 hour/level</v>
      </c>
      <c r="P69" s="23"/>
      <c r="Q69" s="33" t="s">
        <v>239</v>
      </c>
      <c r="R69" s="23"/>
      <c r="S69" s="33" t="s">
        <v>113</v>
      </c>
      <c r="T69" s="23"/>
      <c r="U69" s="35" t="str">
        <f>CONCAT("Stops poison from harming subject for ",CONCAT(IF(OR(DOne="Healing Domain",DTwo="Healing Domain"),Level+1,Level)," hours, 1 hour/level"))</f>
        <v>Stops poison from harming subject for 1 hours, 1 hour/level</v>
      </c>
      <c r="V69" s="10"/>
      <c r="W69" s="10"/>
      <c r="X69" s="23"/>
    </row>
    <row r="70">
      <c r="B70" s="25">
        <v>2.0</v>
      </c>
      <c r="C70" s="59" t="s">
        <v>240</v>
      </c>
      <c r="D70" s="18"/>
      <c r="E70" s="28" t="s">
        <v>241</v>
      </c>
      <c r="F70" s="18"/>
      <c r="G70" s="28" t="s">
        <v>242</v>
      </c>
      <c r="H70" s="18"/>
      <c r="I70" s="27" t="s">
        <v>60</v>
      </c>
      <c r="J70" s="18"/>
      <c r="K70" s="27" t="str">
        <f>CONCAT("Close: ", CONCAT(25+(5*FLOOR(IF(OR(DOne="Evil Domain",DTwo="Evil Domain"),Level+1,Level)/2,1)), " ft"))</f>
        <v>Close: 25 ft</v>
      </c>
      <c r="L70" s="18"/>
      <c r="M70" s="28" t="s">
        <v>226</v>
      </c>
      <c r="N70" s="18"/>
      <c r="O70" s="27" t="str">
        <f>CONCAT(IF(OR(DOne="Evil Domain",DTwo="Evil Domain"),Level+1,Level)*2," hours
2 hours/level")</f>
        <v>2 hours
2 hours/level</v>
      </c>
      <c r="P70" s="18"/>
      <c r="Q70" s="28" t="s">
        <v>62</v>
      </c>
      <c r="R70" s="18"/>
      <c r="S70" s="28" t="s">
        <v>82</v>
      </c>
      <c r="T70" s="18"/>
      <c r="U70" s="60" t="s">
        <v>243</v>
      </c>
      <c r="V70" s="4"/>
      <c r="W70" s="4"/>
      <c r="X70" s="18"/>
    </row>
    <row r="71">
      <c r="B71" s="43">
        <v>2.0</v>
      </c>
      <c r="C71" s="32" t="s">
        <v>244</v>
      </c>
      <c r="D71" s="23"/>
      <c r="E71" s="33" t="s">
        <v>94</v>
      </c>
      <c r="F71" s="23"/>
      <c r="G71" s="34" t="s">
        <v>119</v>
      </c>
      <c r="H71" s="23"/>
      <c r="I71" s="33" t="s">
        <v>60</v>
      </c>
      <c r="J71" s="23"/>
      <c r="K71" s="33" t="s">
        <v>66</v>
      </c>
      <c r="L71" s="23"/>
      <c r="M71" s="33" t="s">
        <v>166</v>
      </c>
      <c r="N71" s="23"/>
      <c r="O71" s="33" t="str">
        <f>Level&amp;" minutes
1 minute/level"</f>
        <v>1 minutes
1 minute/level</v>
      </c>
      <c r="P71" s="23"/>
      <c r="Q71" s="33" t="s">
        <v>81</v>
      </c>
      <c r="R71" s="23"/>
      <c r="S71" s="33" t="s">
        <v>245</v>
      </c>
      <c r="T71" s="23"/>
      <c r="U71" s="35" t="str">
        <f>"Subject gains +4 to Cha for "&amp;Level&amp;" minutes, 1 minute/level"</f>
        <v>Subject gains +4 to Cha for 1 minutes, 1 minute/level</v>
      </c>
      <c r="V71" s="10"/>
      <c r="W71" s="10"/>
      <c r="X71" s="23"/>
    </row>
    <row r="72">
      <c r="B72" s="25">
        <v>2.0</v>
      </c>
      <c r="C72" s="26" t="s">
        <v>246</v>
      </c>
      <c r="D72" s="18"/>
      <c r="E72" s="28" t="s">
        <v>247</v>
      </c>
      <c r="F72" s="18"/>
      <c r="G72" s="27" t="s">
        <v>59</v>
      </c>
      <c r="H72" s="18"/>
      <c r="I72" s="27" t="s">
        <v>142</v>
      </c>
      <c r="J72" s="18"/>
      <c r="K72" s="27" t="str">
        <f>medium</f>
        <v>Medium: 110 ft</v>
      </c>
      <c r="L72" s="18"/>
      <c r="M72" s="27" t="s">
        <v>248</v>
      </c>
      <c r="N72" s="18"/>
      <c r="O72" s="27" t="s">
        <v>249</v>
      </c>
      <c r="P72" s="18"/>
      <c r="Q72" s="27" t="s">
        <v>250</v>
      </c>
      <c r="R72" s="18"/>
      <c r="S72" s="27" t="s">
        <v>82</v>
      </c>
      <c r="T72" s="18"/>
      <c r="U72" s="29" t="str">
        <f>"Captivates all within "&amp;Level*10+100&amp;" ft, 100+10 ft/level"</f>
        <v>Captivates all within 110 ft, 100+10 ft/level</v>
      </c>
      <c r="V72" s="4"/>
      <c r="W72" s="4"/>
      <c r="X72" s="18"/>
    </row>
    <row r="73">
      <c r="B73" s="43">
        <v>2.0</v>
      </c>
      <c r="C73" s="57" t="s">
        <v>251</v>
      </c>
      <c r="D73" s="23"/>
      <c r="E73" s="34" t="s">
        <v>72</v>
      </c>
      <c r="F73" s="23"/>
      <c r="G73" s="33" t="s">
        <v>59</v>
      </c>
      <c r="H73" s="23"/>
      <c r="I73" s="34" t="s">
        <v>60</v>
      </c>
      <c r="J73" s="23"/>
      <c r="K73" s="34" t="s">
        <v>105</v>
      </c>
      <c r="L73" s="23"/>
      <c r="M73" s="34" t="s">
        <v>106</v>
      </c>
      <c r="N73" s="23"/>
      <c r="O73" s="33" t="str">
        <f>IF(OR(DOne="Knowledge Domain",DTwo="Knowledge Domain"),Level+1,Level)&amp;" minutes
1 minute/level"</f>
        <v>1 minutes
1 minute/level</v>
      </c>
      <c r="P73" s="23"/>
      <c r="Q73" s="34" t="s">
        <v>107</v>
      </c>
      <c r="R73" s="23"/>
      <c r="S73" s="34" t="s">
        <v>107</v>
      </c>
      <c r="T73" s="23"/>
      <c r="U73" s="58" t="s">
        <v>252</v>
      </c>
      <c r="V73" s="10"/>
      <c r="W73" s="10"/>
      <c r="X73" s="23"/>
    </row>
    <row r="74">
      <c r="B74" s="25">
        <v>2.0</v>
      </c>
      <c r="C74" s="26" t="s">
        <v>253</v>
      </c>
      <c r="D74" s="18"/>
      <c r="E74" s="27" t="s">
        <v>85</v>
      </c>
      <c r="F74" s="18"/>
      <c r="G74" s="28" t="s">
        <v>119</v>
      </c>
      <c r="H74" s="18"/>
      <c r="I74" s="27" t="s">
        <v>60</v>
      </c>
      <c r="J74" s="18"/>
      <c r="K74" s="27" t="s">
        <v>66</v>
      </c>
      <c r="L74" s="18"/>
      <c r="M74" s="27" t="s">
        <v>254</v>
      </c>
      <c r="N74" s="18"/>
      <c r="O74" s="27" t="str">
        <f>Level&amp;" days
1 day/level"</f>
        <v>1 days
1 day/level</v>
      </c>
      <c r="P74" s="18"/>
      <c r="Q74" s="27" t="s">
        <v>101</v>
      </c>
      <c r="R74" s="18"/>
      <c r="S74" s="27" t="s">
        <v>102</v>
      </c>
      <c r="T74" s="18"/>
      <c r="U74" s="29" t="s">
        <v>255</v>
      </c>
      <c r="V74" s="4"/>
      <c r="W74" s="4"/>
      <c r="X74" s="18"/>
    </row>
    <row r="75">
      <c r="B75" s="43">
        <v>2.0</v>
      </c>
      <c r="C75" s="32" t="s">
        <v>256</v>
      </c>
      <c r="D75" s="23"/>
      <c r="E75" s="34" t="s">
        <v>124</v>
      </c>
      <c r="F75" s="23"/>
      <c r="G75" s="34" t="s">
        <v>119</v>
      </c>
      <c r="H75" s="23"/>
      <c r="I75" s="33" t="s">
        <v>60</v>
      </c>
      <c r="J75" s="23"/>
      <c r="K75" s="33" t="str">
        <f>medium</f>
        <v>Medium: 110 ft</v>
      </c>
      <c r="L75" s="23"/>
      <c r="M75" s="33" t="s">
        <v>257</v>
      </c>
      <c r="N75" s="23"/>
      <c r="O75" s="33" t="str">
        <f>Level&amp;" rounds (D)
1 round/level, see text"</f>
        <v>1 rounds (D)
1 round/level, see text</v>
      </c>
      <c r="P75" s="23"/>
      <c r="Q75" s="33" t="s">
        <v>250</v>
      </c>
      <c r="R75" s="23"/>
      <c r="S75" s="33" t="s">
        <v>82</v>
      </c>
      <c r="T75" s="23"/>
      <c r="U75" s="35" t="str">
        <f>"Paralyzes one humanoid for "&amp;Level&amp;" rounds, 1 round/level"</f>
        <v>Paralyzes one humanoid for 1 rounds, 1 round/level</v>
      </c>
      <c r="V75" s="10"/>
      <c r="W75" s="10"/>
      <c r="X75" s="23"/>
    </row>
    <row r="76">
      <c r="B76" s="25">
        <v>2.0</v>
      </c>
      <c r="C76" s="59" t="s">
        <v>258</v>
      </c>
      <c r="D76" s="18"/>
      <c r="E76" s="28" t="s">
        <v>85</v>
      </c>
      <c r="F76" s="18"/>
      <c r="G76" s="27" t="s">
        <v>59</v>
      </c>
      <c r="H76" s="18"/>
      <c r="I76" s="27" t="s">
        <v>60</v>
      </c>
      <c r="J76" s="18"/>
      <c r="K76" s="27" t="s">
        <v>66</v>
      </c>
      <c r="L76" s="18"/>
      <c r="M76" s="27" t="s">
        <v>67</v>
      </c>
      <c r="N76" s="18"/>
      <c r="O76" s="27" t="s">
        <v>61</v>
      </c>
      <c r="P76" s="18"/>
      <c r="Q76" s="28" t="s">
        <v>174</v>
      </c>
      <c r="R76" s="18"/>
      <c r="S76" s="28" t="s">
        <v>82</v>
      </c>
      <c r="T76" s="18"/>
      <c r="U76" s="29" t="str">
        <f>CONCAT("Touch attack deals 2d8+",CONCAT(MIN(Level,10)," damage, +1/level, max +10"))</f>
        <v>Touch attack deals 2d8+1 damage, +1/level, max +10</v>
      </c>
      <c r="V76" s="4"/>
      <c r="W76" s="4"/>
      <c r="X76" s="18"/>
    </row>
    <row r="77">
      <c r="B77" s="43">
        <v>2.0</v>
      </c>
      <c r="C77" s="57" t="s">
        <v>259</v>
      </c>
      <c r="D77" s="23"/>
      <c r="E77" s="34" t="s">
        <v>94</v>
      </c>
      <c r="F77" s="23"/>
      <c r="G77" s="34" t="s">
        <v>59</v>
      </c>
      <c r="H77" s="23"/>
      <c r="I77" s="33" t="s">
        <v>60</v>
      </c>
      <c r="J77" s="23"/>
      <c r="K77" s="33" t="str">
        <f>close</f>
        <v>Close: 25 ft</v>
      </c>
      <c r="L77" s="23"/>
      <c r="M77" s="33" t="str">
        <f>"One object of up to "&amp;Level*10&amp;" cu ft, 10 cu ft/ level
"</f>
        <v>One object of up to 10 cu ft, 10 cu ft/ level
</v>
      </c>
      <c r="N77" s="23"/>
      <c r="O77" s="34" t="s">
        <v>61</v>
      </c>
      <c r="P77" s="23"/>
      <c r="Q77" s="34" t="s">
        <v>97</v>
      </c>
      <c r="R77" s="23"/>
      <c r="S77" s="34" t="s">
        <v>98</v>
      </c>
      <c r="T77" s="23"/>
      <c r="U77" s="58" t="s">
        <v>260</v>
      </c>
      <c r="V77" s="10"/>
      <c r="W77" s="10"/>
      <c r="X77" s="23"/>
    </row>
    <row r="78">
      <c r="B78" s="25">
        <v>2.0</v>
      </c>
      <c r="C78" s="26" t="s">
        <v>261</v>
      </c>
      <c r="D78" s="18"/>
      <c r="E78" s="27" t="s">
        <v>94</v>
      </c>
      <c r="F78" s="18"/>
      <c r="G78" s="28" t="s">
        <v>119</v>
      </c>
      <c r="H78" s="18"/>
      <c r="I78" s="27" t="s">
        <v>60</v>
      </c>
      <c r="J78" s="18"/>
      <c r="K78" s="27" t="s">
        <v>66</v>
      </c>
      <c r="L78" s="18"/>
      <c r="M78" s="27" t="s">
        <v>166</v>
      </c>
      <c r="N78" s="18"/>
      <c r="O78" s="27" t="str">
        <f>CONCAT(Level, " minutes
1 minute/level")</f>
        <v>1 minutes
1 minute/level</v>
      </c>
      <c r="P78" s="18"/>
      <c r="Q78" s="27" t="s">
        <v>81</v>
      </c>
      <c r="R78" s="18"/>
      <c r="S78" s="27" t="s">
        <v>245</v>
      </c>
      <c r="T78" s="18"/>
      <c r="U78" s="29" t="str">
        <f>CONCAT("Subject gains +4 to Wis for ",CONCAT(Level," minutes, 1 minute/level"))</f>
        <v>Subject gains +4 to Wis for 1 minutes, 1 minute/level</v>
      </c>
      <c r="V78" s="4"/>
      <c r="W78" s="4"/>
      <c r="X78" s="18"/>
    </row>
    <row r="79">
      <c r="B79" s="43">
        <v>2.0</v>
      </c>
      <c r="C79" s="57" t="s">
        <v>262</v>
      </c>
      <c r="D79" s="23"/>
      <c r="E79" s="34" t="s">
        <v>65</v>
      </c>
      <c r="F79" s="23"/>
      <c r="G79" s="34" t="s">
        <v>59</v>
      </c>
      <c r="H79" s="23"/>
      <c r="I79" s="33" t="s">
        <v>60</v>
      </c>
      <c r="J79" s="23"/>
      <c r="K79" s="33" t="str">
        <f>CONCAT("Close: ", CONCAT(25+(5*FLOOR(IF(OR(DOne="Healing Domain",DTwo="Healing Domain"),Level+1,Level)/2,1)), " ft"))</f>
        <v>Close: 25 ft</v>
      </c>
      <c r="L79" s="23"/>
      <c r="M79" s="34" t="s">
        <v>263</v>
      </c>
      <c r="N79" s="23"/>
      <c r="O79" s="34" t="s">
        <v>61</v>
      </c>
      <c r="P79" s="23"/>
      <c r="Q79" s="33" t="s">
        <v>81</v>
      </c>
      <c r="R79" s="23"/>
      <c r="S79" s="34" t="s">
        <v>113</v>
      </c>
      <c r="T79" s="23"/>
      <c r="U79" s="58" t="s">
        <v>264</v>
      </c>
      <c r="V79" s="10"/>
      <c r="W79" s="10"/>
      <c r="X79" s="23"/>
    </row>
    <row r="80">
      <c r="B80" s="25">
        <v>2.0</v>
      </c>
      <c r="C80" s="26" t="s">
        <v>265</v>
      </c>
      <c r="D80" s="18"/>
      <c r="E80" s="27" t="s">
        <v>110</v>
      </c>
      <c r="F80" s="18"/>
      <c r="G80" s="27" t="s">
        <v>119</v>
      </c>
      <c r="H80" s="18"/>
      <c r="I80" s="27" t="s">
        <v>60</v>
      </c>
      <c r="J80" s="18"/>
      <c r="K80" s="27" t="s">
        <v>66</v>
      </c>
      <c r="L80" s="18"/>
      <c r="M80" s="27" t="s">
        <v>166</v>
      </c>
      <c r="N80" s="18"/>
      <c r="O80" s="27" t="str">
        <f>CONCAT(Level*10, " minutes
1 minute/level")</f>
        <v>10 minutes
1 minute/level</v>
      </c>
      <c r="P80" s="18"/>
      <c r="Q80" s="27" t="s">
        <v>239</v>
      </c>
      <c r="R80" s="18"/>
      <c r="S80" s="27" t="s">
        <v>113</v>
      </c>
      <c r="T80" s="18"/>
      <c r="U80" s="29" t="s">
        <v>266</v>
      </c>
      <c r="V80" s="4"/>
      <c r="W80" s="4"/>
      <c r="X80" s="18"/>
    </row>
    <row r="81">
      <c r="B81" s="43">
        <v>2.0</v>
      </c>
      <c r="C81" s="32" t="s">
        <v>267</v>
      </c>
      <c r="D81" s="23"/>
      <c r="E81" s="34" t="s">
        <v>65</v>
      </c>
      <c r="F81" s="23"/>
      <c r="G81" s="33" t="s">
        <v>59</v>
      </c>
      <c r="H81" s="23"/>
      <c r="I81" s="33" t="s">
        <v>268</v>
      </c>
      <c r="J81" s="23"/>
      <c r="K81" s="33" t="s">
        <v>66</v>
      </c>
      <c r="L81" s="23"/>
      <c r="M81" s="33" t="s">
        <v>166</v>
      </c>
      <c r="N81" s="23"/>
      <c r="O81" s="33" t="s">
        <v>61</v>
      </c>
      <c r="P81" s="23"/>
      <c r="Q81" s="33" t="s">
        <v>81</v>
      </c>
      <c r="R81" s="23"/>
      <c r="S81" s="33" t="s">
        <v>113</v>
      </c>
      <c r="T81" s="23"/>
      <c r="U81" s="35" t="s">
        <v>269</v>
      </c>
      <c r="V81" s="10"/>
      <c r="W81" s="10"/>
      <c r="X81" s="23"/>
    </row>
    <row r="82">
      <c r="B82" s="25">
        <v>2.0</v>
      </c>
      <c r="C82" s="26" t="s">
        <v>270</v>
      </c>
      <c r="D82" s="18"/>
      <c r="E82" s="28" t="s">
        <v>271</v>
      </c>
      <c r="F82" s="18"/>
      <c r="G82" s="28" t="s">
        <v>119</v>
      </c>
      <c r="H82" s="18"/>
      <c r="I82" s="27" t="s">
        <v>60</v>
      </c>
      <c r="J82" s="18"/>
      <c r="K82" s="27" t="str">
        <f>close</f>
        <v>Close: 25 ft</v>
      </c>
      <c r="L82" s="18"/>
      <c r="M82" s="28" t="s">
        <v>272</v>
      </c>
      <c r="N82" s="18"/>
      <c r="O82" s="27" t="s">
        <v>61</v>
      </c>
      <c r="P82" s="18"/>
      <c r="Q82" s="27" t="s">
        <v>273</v>
      </c>
      <c r="R82" s="18"/>
      <c r="S82" s="27" t="s">
        <v>102</v>
      </c>
      <c r="T82" s="18"/>
      <c r="U82" s="29" t="s">
        <v>274</v>
      </c>
      <c r="V82" s="4"/>
      <c r="W82" s="4"/>
      <c r="X82" s="18"/>
    </row>
    <row r="83">
      <c r="B83" s="43">
        <v>2.0</v>
      </c>
      <c r="C83" s="57" t="s">
        <v>275</v>
      </c>
      <c r="D83" s="23"/>
      <c r="E83" s="34" t="s">
        <v>110</v>
      </c>
      <c r="F83" s="23"/>
      <c r="G83" s="34" t="s">
        <v>276</v>
      </c>
      <c r="H83" s="23"/>
      <c r="I83" s="33" t="s">
        <v>60</v>
      </c>
      <c r="J83" s="23"/>
      <c r="K83" s="33" t="str">
        <f>close</f>
        <v>Close: 25 ft</v>
      </c>
      <c r="L83" s="23"/>
      <c r="M83" s="34" t="s">
        <v>277</v>
      </c>
      <c r="N83" s="23"/>
      <c r="O83" s="33" t="str">
        <f>Level&amp;" hours
1 hour/level"</f>
        <v>1 hours
1 hour/level</v>
      </c>
      <c r="P83" s="23"/>
      <c r="Q83" s="34" t="s">
        <v>81</v>
      </c>
      <c r="R83" s="23"/>
      <c r="S83" s="34" t="s">
        <v>113</v>
      </c>
      <c r="T83" s="23"/>
      <c r="U83" s="58" t="s">
        <v>278</v>
      </c>
      <c r="V83" s="10"/>
      <c r="W83" s="10"/>
      <c r="X83" s="23"/>
    </row>
    <row r="84">
      <c r="B84" s="25">
        <v>2.0</v>
      </c>
      <c r="C84" s="26" t="s">
        <v>279</v>
      </c>
      <c r="D84" s="18"/>
      <c r="E84" s="28" t="s">
        <v>280</v>
      </c>
      <c r="F84" s="18"/>
      <c r="G84" s="27" t="s">
        <v>59</v>
      </c>
      <c r="H84" s="18"/>
      <c r="I84" s="27" t="s">
        <v>60</v>
      </c>
      <c r="J84" s="18"/>
      <c r="K84" s="27" t="str">
        <f>long</f>
        <v>Long: 440 ft</v>
      </c>
      <c r="L84" s="18"/>
      <c r="M84" s="27" t="s">
        <v>281</v>
      </c>
      <c r="N84" s="18"/>
      <c r="O84" s="27" t="str">
        <f>Level&amp;" minutes (D)
1 minute/level"</f>
        <v>1 minutes (D)
1 minute/level</v>
      </c>
      <c r="P84" s="18"/>
      <c r="Q84" s="27" t="s">
        <v>282</v>
      </c>
      <c r="R84" s="18"/>
      <c r="S84" s="27" t="s">
        <v>283</v>
      </c>
      <c r="T84" s="18"/>
      <c r="U84" s="29" t="s">
        <v>284</v>
      </c>
      <c r="V84" s="4"/>
      <c r="W84" s="4"/>
      <c r="X84" s="18"/>
    </row>
    <row r="85">
      <c r="B85" s="43">
        <v>2.0</v>
      </c>
      <c r="C85" s="32" t="s">
        <v>285</v>
      </c>
      <c r="D85" s="23"/>
      <c r="E85" s="34" t="s">
        <v>271</v>
      </c>
      <c r="F85" s="23"/>
      <c r="G85" s="34" t="s">
        <v>119</v>
      </c>
      <c r="H85" s="23"/>
      <c r="I85" s="33" t="s">
        <v>60</v>
      </c>
      <c r="J85" s="23"/>
      <c r="K85" s="33" t="str">
        <f>close</f>
        <v>Close: 25 ft</v>
      </c>
      <c r="L85" s="23"/>
      <c r="M85" s="33" t="s">
        <v>286</v>
      </c>
      <c r="N85" s="23"/>
      <c r="O85" s="33" t="s">
        <v>61</v>
      </c>
      <c r="P85" s="23"/>
      <c r="Q85" s="33" t="s">
        <v>287</v>
      </c>
      <c r="R85" s="23"/>
      <c r="S85" s="33" t="s">
        <v>82</v>
      </c>
      <c r="T85" s="23"/>
      <c r="U85" s="35" t="s">
        <v>288</v>
      </c>
      <c r="V85" s="10"/>
      <c r="W85" s="10"/>
      <c r="X85" s="23"/>
    </row>
    <row r="86">
      <c r="B86" s="25">
        <v>2.0</v>
      </c>
      <c r="C86" s="59" t="s">
        <v>289</v>
      </c>
      <c r="D86" s="18"/>
      <c r="E86" s="28" t="s">
        <v>290</v>
      </c>
      <c r="F86" s="18"/>
      <c r="G86" s="28" t="s">
        <v>119</v>
      </c>
      <c r="H86" s="18"/>
      <c r="I86" s="27" t="s">
        <v>60</v>
      </c>
      <c r="J86" s="18"/>
      <c r="K86" s="27" t="str">
        <f>medium</f>
        <v>Medium: 110 ft</v>
      </c>
      <c r="L86" s="18"/>
      <c r="M86" s="28" t="s">
        <v>291</v>
      </c>
      <c r="N86" s="18"/>
      <c r="O86" s="27" t="str">
        <f>Level&amp;" rounds (D)
1 round/level"</f>
        <v>1 rounds (D)
1 round/level</v>
      </c>
      <c r="P86" s="18"/>
      <c r="Q86" s="28" t="s">
        <v>62</v>
      </c>
      <c r="R86" s="18"/>
      <c r="S86" s="27" t="s">
        <v>82</v>
      </c>
      <c r="T86" s="18"/>
      <c r="U86" s="60" t="s">
        <v>292</v>
      </c>
      <c r="V86" s="4"/>
      <c r="W86" s="4"/>
      <c r="X86" s="18"/>
    </row>
    <row r="87">
      <c r="B87" s="43">
        <v>2.0</v>
      </c>
      <c r="C87" s="57" t="s">
        <v>293</v>
      </c>
      <c r="D87" s="23"/>
      <c r="E87" s="34" t="s">
        <v>72</v>
      </c>
      <c r="F87" s="23"/>
      <c r="G87" s="34" t="s">
        <v>59</v>
      </c>
      <c r="H87" s="23"/>
      <c r="I87" s="33" t="s">
        <v>60</v>
      </c>
      <c r="J87" s="23"/>
      <c r="K87" s="34" t="s">
        <v>66</v>
      </c>
      <c r="L87" s="23"/>
      <c r="M87" s="34" t="str">
        <f>MAX(FLOOR(IF(OR(DOne="Knowledge Domain",DTwo="Knowledge Domain"),Level+1,Level)/3,1),1)&amp;" living creatures touched, 1 creature per 3 levels"</f>
        <v>1 living creatures touched, 1 creature per 3 levels</v>
      </c>
      <c r="N87" s="23"/>
      <c r="O87" s="33" t="str">
        <f>IF(OR(DOne="Knowledge Domain",DTwo="Knowledge Domain"),Level+1,Level)&amp;" hours
1 hour/level"</f>
        <v>1 hours
1 hour/level</v>
      </c>
      <c r="P87" s="23"/>
      <c r="Q87" s="34" t="s">
        <v>81</v>
      </c>
      <c r="R87" s="23"/>
      <c r="S87" s="34" t="s">
        <v>113</v>
      </c>
      <c r="T87" s="23"/>
      <c r="U87" s="58" t="s">
        <v>294</v>
      </c>
      <c r="V87" s="10"/>
      <c r="W87" s="10"/>
      <c r="X87" s="23"/>
    </row>
    <row r="88">
      <c r="B88" s="25">
        <v>2.0</v>
      </c>
      <c r="C88" s="26" t="s">
        <v>295</v>
      </c>
      <c r="D88" s="18"/>
      <c r="E88" s="28" t="s">
        <v>205</v>
      </c>
      <c r="F88" s="18"/>
      <c r="G88" s="28" t="s">
        <v>119</v>
      </c>
      <c r="H88" s="18"/>
      <c r="I88" s="27" t="s">
        <v>142</v>
      </c>
      <c r="J88" s="18"/>
      <c r="K88" s="27" t="str">
        <f>close</f>
        <v>Close: 25 ft</v>
      </c>
      <c r="L88" s="18"/>
      <c r="M88" s="27" t="s">
        <v>206</v>
      </c>
      <c r="N88" s="18"/>
      <c r="O88" s="27" t="str">
        <f>Level&amp;" rounds (D)
1 round/level"</f>
        <v>1 rounds (D)
1 round/level</v>
      </c>
      <c r="P88" s="18"/>
      <c r="Q88" s="27" t="s">
        <v>62</v>
      </c>
      <c r="R88" s="18"/>
      <c r="S88" s="27" t="s">
        <v>63</v>
      </c>
      <c r="T88" s="18"/>
      <c r="U88" s="29" t="s">
        <v>207</v>
      </c>
      <c r="V88" s="4"/>
      <c r="W88" s="4"/>
      <c r="X88" s="18"/>
    </row>
    <row r="89">
      <c r="B89" s="43">
        <v>2.0</v>
      </c>
      <c r="C89" s="32" t="s">
        <v>296</v>
      </c>
      <c r="D89" s="23"/>
      <c r="E89" s="33" t="s">
        <v>110</v>
      </c>
      <c r="F89" s="23"/>
      <c r="G89" s="33" t="s">
        <v>59</v>
      </c>
      <c r="H89" s="23"/>
      <c r="I89" s="33" t="s">
        <v>60</v>
      </c>
      <c r="J89" s="23"/>
      <c r="K89" s="33" t="str">
        <f>close</f>
        <v>Close: 25 ft</v>
      </c>
      <c r="L89" s="23"/>
      <c r="M89" s="33" t="s">
        <v>297</v>
      </c>
      <c r="N89" s="23"/>
      <c r="O89" s="33" t="s">
        <v>167</v>
      </c>
      <c r="P89" s="23"/>
      <c r="Q89" s="33" t="s">
        <v>101</v>
      </c>
      <c r="R89" s="23"/>
      <c r="S89" s="33" t="s">
        <v>102</v>
      </c>
      <c r="T89" s="23"/>
      <c r="U89" s="35" t="s">
        <v>298</v>
      </c>
      <c r="V89" s="10"/>
      <c r="W89" s="10"/>
      <c r="X89" s="23"/>
    </row>
    <row r="90">
      <c r="B90" s="25">
        <v>2.0</v>
      </c>
      <c r="C90" s="59" t="s">
        <v>299</v>
      </c>
      <c r="D90" s="18"/>
      <c r="E90" s="28" t="s">
        <v>124</v>
      </c>
      <c r="F90" s="18"/>
      <c r="G90" s="28" t="s">
        <v>119</v>
      </c>
      <c r="H90" s="18"/>
      <c r="I90" s="28" t="s">
        <v>60</v>
      </c>
      <c r="J90" s="18"/>
      <c r="K90" s="27" t="str">
        <f>close</f>
        <v>Close: 25 ft</v>
      </c>
      <c r="L90" s="18"/>
      <c r="M90" s="28" t="s">
        <v>226</v>
      </c>
      <c r="N90" s="18"/>
      <c r="O90" s="27" t="str">
        <f>Level&amp;" minutes
1 minute/level"</f>
        <v>1 minutes
1 minute/level</v>
      </c>
      <c r="P90" s="18"/>
      <c r="Q90" s="28" t="s">
        <v>86</v>
      </c>
      <c r="R90" s="18"/>
      <c r="S90" s="28" t="s">
        <v>82</v>
      </c>
      <c r="T90" s="18"/>
      <c r="U90" s="60" t="s">
        <v>300</v>
      </c>
      <c r="V90" s="4"/>
      <c r="W90" s="4"/>
      <c r="X90" s="18"/>
    </row>
    <row r="91">
      <c r="B91" s="43">
        <v>3.0</v>
      </c>
      <c r="C91" s="32" t="s">
        <v>301</v>
      </c>
      <c r="D91" s="23"/>
      <c r="E91" s="34" t="s">
        <v>148</v>
      </c>
      <c r="F91" s="23"/>
      <c r="G91" s="33" t="s">
        <v>302</v>
      </c>
      <c r="H91" s="23"/>
      <c r="I91" s="33" t="s">
        <v>60</v>
      </c>
      <c r="J91" s="23"/>
      <c r="K91" s="33" t="s">
        <v>66</v>
      </c>
      <c r="L91" s="23"/>
      <c r="M91" s="33" t="s">
        <v>303</v>
      </c>
      <c r="N91" s="23"/>
      <c r="O91" s="33" t="s">
        <v>61</v>
      </c>
      <c r="P91" s="23"/>
      <c r="Q91" s="33" t="s">
        <v>62</v>
      </c>
      <c r="R91" s="23"/>
      <c r="S91" s="33" t="s">
        <v>63</v>
      </c>
      <c r="T91" s="23"/>
      <c r="U91" s="35" t="s">
        <v>304</v>
      </c>
      <c r="V91" s="10"/>
      <c r="W91" s="10"/>
      <c r="X91" s="23"/>
    </row>
    <row r="92">
      <c r="B92" s="25">
        <v>3.0</v>
      </c>
      <c r="C92" s="26" t="s">
        <v>305</v>
      </c>
      <c r="D92" s="18"/>
      <c r="E92" s="27" t="s">
        <v>85</v>
      </c>
      <c r="F92" s="18"/>
      <c r="G92" s="27" t="s">
        <v>59</v>
      </c>
      <c r="H92" s="18"/>
      <c r="I92" s="27" t="s">
        <v>60</v>
      </c>
      <c r="J92" s="18"/>
      <c r="K92" s="27" t="s">
        <v>66</v>
      </c>
      <c r="L92" s="18"/>
      <c r="M92" s="27" t="s">
        <v>166</v>
      </c>
      <c r="N92" s="18"/>
      <c r="O92" s="27" t="s">
        <v>306</v>
      </c>
      <c r="P92" s="18"/>
      <c r="Q92" s="27" t="s">
        <v>86</v>
      </c>
      <c r="R92" s="18"/>
      <c r="S92" s="27" t="s">
        <v>82</v>
      </c>
      <c r="T92" s="18"/>
      <c r="U92" s="29" t="s">
        <v>307</v>
      </c>
      <c r="V92" s="4"/>
      <c r="W92" s="4"/>
      <c r="X92" s="18"/>
    </row>
    <row r="93">
      <c r="B93" s="43">
        <v>3.0</v>
      </c>
      <c r="C93" s="32" t="s">
        <v>308</v>
      </c>
      <c r="D93" s="23"/>
      <c r="E93" s="33" t="s">
        <v>85</v>
      </c>
      <c r="F93" s="23"/>
      <c r="G93" s="33" t="s">
        <v>140</v>
      </c>
      <c r="H93" s="23"/>
      <c r="I93" s="33" t="s">
        <v>60</v>
      </c>
      <c r="J93" s="23"/>
      <c r="K93" s="33" t="str">
        <f>medium</f>
        <v>Medium: 110 ft</v>
      </c>
      <c r="L93" s="23"/>
      <c r="M93" s="33" t="s">
        <v>141</v>
      </c>
      <c r="N93" s="23"/>
      <c r="O93" s="33" t="s">
        <v>309</v>
      </c>
      <c r="P93" s="23"/>
      <c r="Q93" s="33" t="s">
        <v>310</v>
      </c>
      <c r="R93" s="23"/>
      <c r="S93" s="33" t="s">
        <v>82</v>
      </c>
      <c r="T93" s="23"/>
      <c r="U93" s="35" t="s">
        <v>311</v>
      </c>
      <c r="V93" s="10"/>
      <c r="W93" s="10"/>
      <c r="X93" s="23"/>
    </row>
    <row r="94">
      <c r="B94" s="25">
        <v>3.0</v>
      </c>
      <c r="C94" s="26" t="s">
        <v>312</v>
      </c>
      <c r="D94" s="18"/>
      <c r="E94" s="28" t="s">
        <v>148</v>
      </c>
      <c r="F94" s="18"/>
      <c r="G94" s="27" t="s">
        <v>59</v>
      </c>
      <c r="H94" s="18"/>
      <c r="I94" s="27" t="s">
        <v>60</v>
      </c>
      <c r="J94" s="18"/>
      <c r="K94" s="27" t="s">
        <v>66</v>
      </c>
      <c r="L94" s="18"/>
      <c r="M94" s="27" t="s">
        <v>210</v>
      </c>
      <c r="N94" s="18"/>
      <c r="O94" s="27" t="s">
        <v>61</v>
      </c>
      <c r="P94" s="18"/>
      <c r="Q94" s="27" t="s">
        <v>310</v>
      </c>
      <c r="R94" s="18"/>
      <c r="S94" s="27" t="s">
        <v>82</v>
      </c>
      <c r="T94" s="18"/>
      <c r="U94" s="29" t="s">
        <v>313</v>
      </c>
      <c r="V94" s="4"/>
      <c r="W94" s="4"/>
      <c r="X94" s="18"/>
    </row>
    <row r="95">
      <c r="B95" s="43">
        <v>3.0</v>
      </c>
      <c r="C95" s="32" t="s">
        <v>314</v>
      </c>
      <c r="D95" s="23"/>
      <c r="E95" s="34" t="s">
        <v>89</v>
      </c>
      <c r="F95" s="23"/>
      <c r="G95" s="33" t="s">
        <v>315</v>
      </c>
      <c r="H95" s="23"/>
      <c r="I95" s="33" t="s">
        <v>60</v>
      </c>
      <c r="J95" s="23"/>
      <c r="K95" s="33" t="s">
        <v>66</v>
      </c>
      <c r="L95" s="23"/>
      <c r="M95" s="33" t="s">
        <v>316</v>
      </c>
      <c r="N95" s="23"/>
      <c r="O95" s="33" t="s">
        <v>306</v>
      </c>
      <c r="P95" s="23"/>
      <c r="Q95" s="33" t="s">
        <v>62</v>
      </c>
      <c r="R95" s="23"/>
      <c r="S95" s="33" t="s">
        <v>63</v>
      </c>
      <c r="T95" s="23"/>
      <c r="U95" s="35" t="s">
        <v>317</v>
      </c>
      <c r="V95" s="10"/>
      <c r="W95" s="10"/>
      <c r="X95" s="23"/>
    </row>
    <row r="96">
      <c r="B96" s="25">
        <v>3.0</v>
      </c>
      <c r="C96" s="59" t="s">
        <v>318</v>
      </c>
      <c r="D96" s="18"/>
      <c r="E96" s="28" t="s">
        <v>183</v>
      </c>
      <c r="F96" s="18"/>
      <c r="G96" s="28" t="s">
        <v>59</v>
      </c>
      <c r="H96" s="18"/>
      <c r="I96" s="28" t="s">
        <v>319</v>
      </c>
      <c r="J96" s="18"/>
      <c r="K96" s="27" t="str">
        <f>close</f>
        <v>Close: 25 ft</v>
      </c>
      <c r="L96" s="18"/>
      <c r="M96" s="27" t="str">
        <f>"Food and water to sustain "&amp;Level*3&amp;" humans or "&amp;Level&amp;" horses for 24 hours, 3 humans or 1 horse/level"</f>
        <v>Food and water to sustain 3 humans or 1 horses for 24 hours, 3 humans or 1 horse/level</v>
      </c>
      <c r="N96" s="18"/>
      <c r="O96" s="28" t="s">
        <v>320</v>
      </c>
      <c r="P96" s="18"/>
      <c r="Q96" s="27" t="s">
        <v>62</v>
      </c>
      <c r="R96" s="18"/>
      <c r="S96" s="27" t="s">
        <v>63</v>
      </c>
      <c r="T96" s="18"/>
      <c r="U96" s="29" t="str">
        <f>"Feeds "&amp;Level*3&amp;" humans (or "&amp;Level&amp;" horses), 3 humans or 1 horse/level"</f>
        <v>Feeds 3 humans (or 1 horses), 3 humans or 1 horse/level</v>
      </c>
      <c r="V96" s="4"/>
      <c r="W96" s="4"/>
      <c r="X96" s="18"/>
    </row>
    <row r="97">
      <c r="B97" s="43">
        <v>3.0</v>
      </c>
      <c r="C97" s="32" t="s">
        <v>321</v>
      </c>
      <c r="D97" s="23"/>
      <c r="E97" s="34" t="s">
        <v>65</v>
      </c>
      <c r="F97" s="23"/>
      <c r="G97" s="33" t="s">
        <v>59</v>
      </c>
      <c r="H97" s="23"/>
      <c r="I97" s="33" t="s">
        <v>60</v>
      </c>
      <c r="J97" s="23"/>
      <c r="K97" s="33" t="s">
        <v>66</v>
      </c>
      <c r="L97" s="23"/>
      <c r="M97" s="33" t="s">
        <v>67</v>
      </c>
      <c r="N97" s="23"/>
      <c r="O97" s="33" t="s">
        <v>61</v>
      </c>
      <c r="P97" s="23"/>
      <c r="Q97" s="33" t="s">
        <v>68</v>
      </c>
      <c r="R97" s="23"/>
      <c r="S97" s="33" t="s">
        <v>69</v>
      </c>
      <c r="T97" s="23"/>
      <c r="U97" s="35" t="str">
        <f>CONCAT("Cures 3d8+",CONCAT(MIN(IF(OR(DOne="Healing Domain",DTwo="Healing Domain"),Level+1,Level),15)," damage, +1/level, max +15"))</f>
        <v>Cures 3d8+1 damage, +1/level, max +15</v>
      </c>
      <c r="V97" s="10"/>
      <c r="W97" s="10"/>
      <c r="X97" s="23"/>
    </row>
    <row r="98">
      <c r="B98" s="25">
        <v>3.0</v>
      </c>
      <c r="C98" s="26" t="s">
        <v>322</v>
      </c>
      <c r="D98" s="18"/>
      <c r="E98" s="28" t="s">
        <v>89</v>
      </c>
      <c r="F98" s="18"/>
      <c r="G98" s="27" t="s">
        <v>59</v>
      </c>
      <c r="H98" s="18"/>
      <c r="I98" s="27" t="s">
        <v>60</v>
      </c>
      <c r="J98" s="18"/>
      <c r="K98" s="27" t="s">
        <v>66</v>
      </c>
      <c r="L98" s="18"/>
      <c r="M98" s="27" t="s">
        <v>232</v>
      </c>
      <c r="N98" s="18"/>
      <c r="O98" s="27" t="str">
        <f>CONCAT(Level, " days (D)
1 day/level")</f>
        <v>1 days (D)
1 day/level</v>
      </c>
      <c r="P98" s="18"/>
      <c r="Q98" s="27" t="s">
        <v>62</v>
      </c>
      <c r="R98" s="18"/>
      <c r="S98" s="27" t="s">
        <v>63</v>
      </c>
      <c r="T98" s="18"/>
      <c r="U98" s="29" t="s">
        <v>323</v>
      </c>
      <c r="V98" s="4"/>
      <c r="W98" s="4"/>
      <c r="X98" s="18"/>
    </row>
    <row r="99">
      <c r="B99" s="43">
        <v>3.0</v>
      </c>
      <c r="C99" s="57" t="s">
        <v>324</v>
      </c>
      <c r="D99" s="23"/>
      <c r="E99" s="34" t="s">
        <v>230</v>
      </c>
      <c r="F99" s="23"/>
      <c r="G99" s="34" t="s">
        <v>231</v>
      </c>
      <c r="H99" s="23"/>
      <c r="I99" s="33" t="s">
        <v>60</v>
      </c>
      <c r="J99" s="23"/>
      <c r="K99" s="33" t="s">
        <v>66</v>
      </c>
      <c r="L99" s="23"/>
      <c r="M99" s="33" t="s">
        <v>232</v>
      </c>
      <c r="N99" s="23"/>
      <c r="O99" s="33" t="str">
        <f>Level*10&amp;" minutes (D)
10 minutes/level"</f>
        <v>10 minutes (D)
10 minutes/level</v>
      </c>
      <c r="P99" s="23"/>
      <c r="Q99" s="33" t="s">
        <v>62</v>
      </c>
      <c r="R99" s="23"/>
      <c r="S99" s="33" t="s">
        <v>63</v>
      </c>
      <c r="T99" s="23"/>
      <c r="U99" s="58" t="s">
        <v>325</v>
      </c>
      <c r="V99" s="10"/>
      <c r="W99" s="10"/>
      <c r="X99" s="23"/>
    </row>
    <row r="100">
      <c r="B100" s="25">
        <v>3.0</v>
      </c>
      <c r="C100" s="26" t="s">
        <v>326</v>
      </c>
      <c r="D100" s="18"/>
      <c r="E100" s="27" t="s">
        <v>110</v>
      </c>
      <c r="F100" s="18"/>
      <c r="G100" s="27" t="s">
        <v>59</v>
      </c>
      <c r="H100" s="18"/>
      <c r="I100" s="27" t="s">
        <v>60</v>
      </c>
      <c r="J100" s="18"/>
      <c r="K100" s="27" t="str">
        <f>CONCAT("Medium: ", CONCAT(100+(10*Level), " ft"))</f>
        <v>Medium: 110 ft</v>
      </c>
      <c r="L100" s="18"/>
      <c r="M100" s="27" t="s">
        <v>327</v>
      </c>
      <c r="N100" s="18"/>
      <c r="O100" s="27" t="s">
        <v>61</v>
      </c>
      <c r="P100" s="18"/>
      <c r="Q100" s="27" t="s">
        <v>62</v>
      </c>
      <c r="R100" s="18"/>
      <c r="S100" s="27" t="s">
        <v>63</v>
      </c>
      <c r="T100" s="18"/>
      <c r="U100" s="29" t="s">
        <v>328</v>
      </c>
      <c r="V100" s="4"/>
      <c r="W100" s="4"/>
      <c r="X100" s="18"/>
    </row>
    <row r="101">
      <c r="B101" s="43">
        <v>3.0</v>
      </c>
      <c r="C101" s="57" t="s">
        <v>329</v>
      </c>
      <c r="D101" s="23"/>
      <c r="E101" s="33" t="s">
        <v>110</v>
      </c>
      <c r="F101" s="23"/>
      <c r="G101" s="34" t="s">
        <v>330</v>
      </c>
      <c r="H101" s="23"/>
      <c r="I101" s="34" t="s">
        <v>319</v>
      </c>
      <c r="J101" s="23"/>
      <c r="K101" s="34" t="s">
        <v>66</v>
      </c>
      <c r="L101" s="23"/>
      <c r="M101" s="33" t="str">
        <f>"Object touched or up to "&amp;Level*5&amp;" sq ft, 5 sq ft/level"</f>
        <v>Object touched or up to 5 sq ft, 5 sq ft/level</v>
      </c>
      <c r="N101" s="23"/>
      <c r="O101" s="34" t="s">
        <v>331</v>
      </c>
      <c r="P101" s="23"/>
      <c r="Q101" s="34" t="s">
        <v>332</v>
      </c>
      <c r="R101" s="23"/>
      <c r="S101" s="34" t="s">
        <v>333</v>
      </c>
      <c r="T101" s="23"/>
      <c r="U101" s="58" t="s">
        <v>334</v>
      </c>
      <c r="V101" s="10"/>
      <c r="W101" s="10"/>
      <c r="X101" s="23"/>
    </row>
    <row r="102">
      <c r="B102" s="25">
        <v>3.0</v>
      </c>
      <c r="C102" s="59" t="s">
        <v>335</v>
      </c>
      <c r="D102" s="18"/>
      <c r="E102" s="28" t="s">
        <v>162</v>
      </c>
      <c r="F102" s="18"/>
      <c r="G102" s="28" t="s">
        <v>119</v>
      </c>
      <c r="H102" s="18"/>
      <c r="I102" s="28" t="s">
        <v>60</v>
      </c>
      <c r="J102" s="18"/>
      <c r="K102" s="28" t="s">
        <v>336</v>
      </c>
      <c r="L102" s="18"/>
      <c r="M102" s="28" t="s">
        <v>337</v>
      </c>
      <c r="N102" s="18"/>
      <c r="O102" s="28" t="str">
        <f>Level&amp;" hours
1 hour/level"</f>
        <v>1 hours
1 hour/level</v>
      </c>
      <c r="P102" s="18"/>
      <c r="Q102" s="28" t="s">
        <v>62</v>
      </c>
      <c r="R102" s="18"/>
      <c r="S102" s="28" t="s">
        <v>63</v>
      </c>
      <c r="T102" s="18"/>
      <c r="U102" s="60" t="s">
        <v>338</v>
      </c>
      <c r="V102" s="4"/>
      <c r="W102" s="4"/>
      <c r="X102" s="18"/>
    </row>
    <row r="103">
      <c r="B103" s="43">
        <v>3.0</v>
      </c>
      <c r="C103" s="57" t="s">
        <v>339</v>
      </c>
      <c r="D103" s="23"/>
      <c r="E103" s="34" t="s">
        <v>85</v>
      </c>
      <c r="F103" s="23"/>
      <c r="G103" s="33" t="s">
        <v>59</v>
      </c>
      <c r="H103" s="23"/>
      <c r="I103" s="33" t="s">
        <v>60</v>
      </c>
      <c r="J103" s="23"/>
      <c r="K103" s="33" t="s">
        <v>66</v>
      </c>
      <c r="L103" s="23"/>
      <c r="M103" s="33" t="s">
        <v>67</v>
      </c>
      <c r="N103" s="23"/>
      <c r="O103" s="33" t="s">
        <v>61</v>
      </c>
      <c r="P103" s="23"/>
      <c r="Q103" s="34" t="s">
        <v>174</v>
      </c>
      <c r="R103" s="23"/>
      <c r="S103" s="34" t="s">
        <v>82</v>
      </c>
      <c r="T103" s="23"/>
      <c r="U103" s="35" t="str">
        <f>CONCAT("Touch attack deals 3d8+",CONCAT(MIN(Level,15)," damage, +1/level, max +15"))</f>
        <v>Touch attack deals 3d8+1 damage, +1/level, max +15</v>
      </c>
      <c r="V103" s="10"/>
      <c r="W103" s="10"/>
      <c r="X103" s="23"/>
    </row>
    <row r="104">
      <c r="B104" s="25">
        <v>3.0</v>
      </c>
      <c r="C104" s="59" t="s">
        <v>340</v>
      </c>
      <c r="D104" s="18"/>
      <c r="E104" s="28" t="s">
        <v>162</v>
      </c>
      <c r="F104" s="18"/>
      <c r="G104" s="27" t="s">
        <v>59</v>
      </c>
      <c r="H104" s="18"/>
      <c r="I104" s="27" t="s">
        <v>60</v>
      </c>
      <c r="J104" s="18"/>
      <c r="K104" s="28" t="s">
        <v>105</v>
      </c>
      <c r="L104" s="18"/>
      <c r="M104" s="28" t="s">
        <v>106</v>
      </c>
      <c r="N104" s="18"/>
      <c r="O104" s="27" t="str">
        <f>Level&amp;" minutes (D)
1 minute/level"</f>
        <v>1 minutes (D)
1 minute/level</v>
      </c>
      <c r="P104" s="18"/>
      <c r="Q104" s="28" t="s">
        <v>107</v>
      </c>
      <c r="R104" s="18"/>
      <c r="S104" s="28" t="s">
        <v>107</v>
      </c>
      <c r="T104" s="18"/>
      <c r="U104" s="29" t="str">
        <f>"Dispels invisibility within "&amp;Level*5&amp;" ft, 5 ft/level"</f>
        <v>Dispels invisibility within 5 ft, 5 ft/level</v>
      </c>
      <c r="V104" s="4"/>
      <c r="W104" s="4"/>
      <c r="X104" s="18"/>
    </row>
    <row r="105">
      <c r="B105" s="43">
        <v>3.0</v>
      </c>
      <c r="C105" s="32" t="s">
        <v>341</v>
      </c>
      <c r="D105" s="23"/>
      <c r="E105" s="33" t="s">
        <v>72</v>
      </c>
      <c r="F105" s="23"/>
      <c r="G105" s="34" t="s">
        <v>119</v>
      </c>
      <c r="H105" s="23"/>
      <c r="I105" s="33" t="s">
        <v>60</v>
      </c>
      <c r="J105" s="23"/>
      <c r="K105" s="33" t="str">
        <f>"Long: "&amp; 400+40*IF(OR(DOne="Knowledge Domain",DTwo="Knowledge Domain"),Level+1,Level) &amp; " ft"</f>
        <v>Long: 440 ft</v>
      </c>
      <c r="L105" s="23"/>
      <c r="M105" s="33" t="str">
        <f>"Circle, centered on you, with a radius of "&amp;400+IF(OR(DOne="Knowledge Domain",DTwo="Knowledge Domain"),Level+1,Level)*40&amp;" ft, 400+40 ft/level"</f>
        <v>Circle, centered on you, with a radius of 440 ft, 400+40 ft/level</v>
      </c>
      <c r="N105" s="23"/>
      <c r="O105" s="33" t="str">
        <f>IF(OR(DOne="Knowledge Domain",DTwo="Knowledge Domain"),Level+1,Level)&amp;" minutes
1 minute/level"</f>
        <v>1 minutes
1 minute/level</v>
      </c>
      <c r="P105" s="23"/>
      <c r="Q105" s="33" t="s">
        <v>62</v>
      </c>
      <c r="R105" s="23"/>
      <c r="S105" s="33" t="s">
        <v>63</v>
      </c>
      <c r="T105" s="23"/>
      <c r="U105" s="35" t="s">
        <v>342</v>
      </c>
      <c r="V105" s="10"/>
      <c r="W105" s="10"/>
      <c r="X105" s="23"/>
    </row>
    <row r="106">
      <c r="B106" s="25">
        <v>3.0</v>
      </c>
      <c r="C106" s="26" t="s">
        <v>343</v>
      </c>
      <c r="D106" s="18"/>
      <c r="E106" s="28" t="s">
        <v>188</v>
      </c>
      <c r="F106" s="18"/>
      <c r="G106" s="28" t="s">
        <v>119</v>
      </c>
      <c r="H106" s="18"/>
      <c r="I106" s="27" t="s">
        <v>60</v>
      </c>
      <c r="J106" s="18"/>
      <c r="K106" s="27" t="s">
        <v>66</v>
      </c>
      <c r="L106" s="18"/>
      <c r="M106" s="27" t="s">
        <v>344</v>
      </c>
      <c r="N106" s="18"/>
      <c r="O106" s="27" t="str">
        <f>CONCAT(IF(OR(DOne="Lawful Domain",DTwo="Lawful Domain"),Level+1,Level)*10, " minutes
10 minutes/level")</f>
        <v>10 minutes
10 minutes/level</v>
      </c>
      <c r="P106" s="18"/>
      <c r="Q106" s="27" t="s">
        <v>81</v>
      </c>
      <c r="R106" s="18"/>
      <c r="S106" s="27" t="s">
        <v>189</v>
      </c>
      <c r="T106" s="18"/>
      <c r="U106" s="29" t="str">
        <f>"As protection spells, but 10 ft radius and "&amp;10*IF(OR(DOne="Lawful Domain",DTwo="Lawful Domain"),Level+1,Level)&amp;" minutes, 10 minutes/level"</f>
        <v>As protection spells, but 10 ft radius and 10 minutes, 10 minutes/level</v>
      </c>
      <c r="V106" s="4"/>
      <c r="W106" s="4"/>
      <c r="X106" s="18"/>
    </row>
    <row r="107">
      <c r="B107" s="43">
        <v>3.0</v>
      </c>
      <c r="C107" s="32" t="s">
        <v>345</v>
      </c>
      <c r="D107" s="23"/>
      <c r="E107" s="34" t="s">
        <v>192</v>
      </c>
      <c r="F107" s="23"/>
      <c r="G107" s="34" t="s">
        <v>119</v>
      </c>
      <c r="H107" s="23"/>
      <c r="I107" s="33" t="s">
        <v>60</v>
      </c>
      <c r="J107" s="23"/>
      <c r="K107" s="33" t="s">
        <v>66</v>
      </c>
      <c r="L107" s="23"/>
      <c r="M107" s="33" t="s">
        <v>344</v>
      </c>
      <c r="N107" s="23"/>
      <c r="O107" s="33" t="str">
        <f>CONCAT(IF(OR(DOne="Good Domain",DTwo="Good Domain"),Level+1,Level)*10, " minutes
10 minutes/level")</f>
        <v>10 minutes
10 minutes/level</v>
      </c>
      <c r="P107" s="23"/>
      <c r="Q107" s="33" t="s">
        <v>81</v>
      </c>
      <c r="R107" s="23"/>
      <c r="S107" s="33" t="s">
        <v>189</v>
      </c>
      <c r="T107" s="23"/>
      <c r="U107" s="35" t="str">
        <f>"As protection spells, but 10 ft radius and "&amp;10*IF(OR(DOne="Good Domain",DTwo="Good Domain"),Level+1,Level)&amp;" minutes, 10 minutes/level"</f>
        <v>As protection spells, but 10 ft radius and 10 minutes, 10 minutes/level</v>
      </c>
      <c r="V107" s="10"/>
      <c r="W107" s="10"/>
      <c r="X107" s="23"/>
    </row>
    <row r="108">
      <c r="B108" s="25">
        <v>3.0</v>
      </c>
      <c r="C108" s="26" t="s">
        <v>346</v>
      </c>
      <c r="D108" s="18"/>
      <c r="E108" s="28" t="s">
        <v>194</v>
      </c>
      <c r="F108" s="18"/>
      <c r="G108" s="28" t="s">
        <v>119</v>
      </c>
      <c r="H108" s="18"/>
      <c r="I108" s="27" t="s">
        <v>60</v>
      </c>
      <c r="J108" s="18"/>
      <c r="K108" s="27" t="s">
        <v>66</v>
      </c>
      <c r="L108" s="18"/>
      <c r="M108" s="27" t="s">
        <v>344</v>
      </c>
      <c r="N108" s="18"/>
      <c r="O108" s="27" t="str">
        <f>CONCAT(IF(OR(DOne="Evil Domain",DTwo="Evil Domain"),Level+1,Level)*10, " minutes
10 minutes/level")</f>
        <v>10 minutes
10 minutes/level</v>
      </c>
      <c r="P108" s="18"/>
      <c r="Q108" s="27" t="s">
        <v>81</v>
      </c>
      <c r="R108" s="18"/>
      <c r="S108" s="27" t="s">
        <v>189</v>
      </c>
      <c r="T108" s="18"/>
      <c r="U108" s="29" t="str">
        <f>"As protection spells, but 10 ft radius and "&amp;IF(OR(DOne="Evil Domain",DTwo="Evil Domain"),(Level+1)*10,Level*10)&amp;" minutes, 10 minutes/level"</f>
        <v>As protection spells, but 10 ft radius and 10 minutes, 10 minutes/level</v>
      </c>
      <c r="V108" s="4"/>
      <c r="W108" s="4"/>
      <c r="X108" s="18"/>
    </row>
    <row r="109">
      <c r="B109" s="43">
        <v>3.0</v>
      </c>
      <c r="C109" s="32" t="s">
        <v>347</v>
      </c>
      <c r="D109" s="23"/>
      <c r="E109" s="34" t="s">
        <v>196</v>
      </c>
      <c r="F109" s="23"/>
      <c r="G109" s="34" t="s">
        <v>119</v>
      </c>
      <c r="H109" s="23"/>
      <c r="I109" s="33" t="s">
        <v>60</v>
      </c>
      <c r="J109" s="23"/>
      <c r="K109" s="33" t="s">
        <v>66</v>
      </c>
      <c r="L109" s="23"/>
      <c r="M109" s="33" t="s">
        <v>344</v>
      </c>
      <c r="N109" s="23"/>
      <c r="O109" s="33" t="str">
        <f>CONCAT(IF(OR(DOne="Chaos Domain",DTwo="Chaos Domain"),(Level+1)*10,Level*10), " minutes
10 minutes/level")</f>
        <v>10 minutes
10 minutes/level</v>
      </c>
      <c r="P109" s="23"/>
      <c r="Q109" s="33" t="s">
        <v>81</v>
      </c>
      <c r="R109" s="23"/>
      <c r="S109" s="33" t="s">
        <v>189</v>
      </c>
      <c r="T109" s="23"/>
      <c r="U109" s="35" t="str">
        <f>"As protection spells, but 10 ft radius and "&amp;IF(OR(DOne="Chaos Domain",DTwo="Chaos Domain"),(Level+1)*10,Level*10)&amp;" minutes, 10 minutes/level"</f>
        <v>As protection spells, but 10 ft radius and 10 minutes, 10 minutes/level</v>
      </c>
      <c r="V109" s="10"/>
      <c r="W109" s="10"/>
      <c r="X109" s="23"/>
    </row>
    <row r="110">
      <c r="B110" s="25">
        <v>3.0</v>
      </c>
      <c r="C110" s="59" t="s">
        <v>348</v>
      </c>
      <c r="D110" s="18"/>
      <c r="E110" s="28" t="s">
        <v>94</v>
      </c>
      <c r="F110" s="18"/>
      <c r="G110" s="28" t="s">
        <v>119</v>
      </c>
      <c r="H110" s="18"/>
      <c r="I110" s="27" t="s">
        <v>60</v>
      </c>
      <c r="J110" s="18"/>
      <c r="K110" s="27" t="s">
        <v>66</v>
      </c>
      <c r="L110" s="18"/>
      <c r="M110" s="28" t="s">
        <v>349</v>
      </c>
      <c r="N110" s="18"/>
      <c r="O110" s="27" t="str">
        <f>Level&amp;" hours
1 hour/level"</f>
        <v>1 hours
1 hour/level</v>
      </c>
      <c r="P110" s="18"/>
      <c r="Q110" s="28" t="s">
        <v>97</v>
      </c>
      <c r="R110" s="18"/>
      <c r="S110" s="28" t="s">
        <v>98</v>
      </c>
      <c r="T110" s="18"/>
      <c r="U110" s="29" t="str">
        <f>"Armor or shield gains +"&amp;MAX(FLOOR(Level/4,1),1)&amp;" enhancement bonus, +1 per four levels"</f>
        <v>Armor or shield gains +1 enhancement bonus, +1 per four levels</v>
      </c>
      <c r="V110" s="4"/>
      <c r="W110" s="4"/>
      <c r="X110" s="18"/>
    </row>
    <row r="111">
      <c r="B111" s="43">
        <v>3.0</v>
      </c>
      <c r="C111" s="32" t="s">
        <v>350</v>
      </c>
      <c r="D111" s="23"/>
      <c r="E111" s="34" t="s">
        <v>351</v>
      </c>
      <c r="F111" s="23"/>
      <c r="G111" s="33" t="s">
        <v>119</v>
      </c>
      <c r="H111" s="23"/>
      <c r="I111" s="33" t="s">
        <v>60</v>
      </c>
      <c r="J111" s="23"/>
      <c r="K111" s="33" t="s">
        <v>105</v>
      </c>
      <c r="L111" s="23"/>
      <c r="M111" s="33" t="s">
        <v>106</v>
      </c>
      <c r="N111" s="23"/>
      <c r="O111" s="33" t="str">
        <f>CONCAT(Level*10, " minutes
10 minutes/level")</f>
        <v>10 minutes
10 minutes/level</v>
      </c>
      <c r="P111" s="23"/>
      <c r="Q111" s="33" t="s">
        <v>107</v>
      </c>
      <c r="R111" s="23"/>
      <c r="S111" s="33" t="s">
        <v>107</v>
      </c>
      <c r="T111" s="23"/>
      <c r="U111" s="35" t="s">
        <v>352</v>
      </c>
      <c r="V111" s="10"/>
      <c r="W111" s="10"/>
      <c r="X111" s="23"/>
    </row>
    <row r="112">
      <c r="B112" s="25">
        <v>3.0</v>
      </c>
      <c r="C112" s="26" t="s">
        <v>353</v>
      </c>
      <c r="D112" s="18"/>
      <c r="E112" s="27" t="s">
        <v>110</v>
      </c>
      <c r="F112" s="18"/>
      <c r="G112" s="28" t="s">
        <v>119</v>
      </c>
      <c r="H112" s="18"/>
      <c r="I112" s="27" t="s">
        <v>60</v>
      </c>
      <c r="J112" s="18"/>
      <c r="K112" s="27" t="s">
        <v>66</v>
      </c>
      <c r="L112" s="18"/>
      <c r="M112" s="27" t="str">
        <f>"One object touched of up to "&amp;Level*100&amp;" lbs, 100 lbs/level"</f>
        <v>One object touched of up to 100 lbs, 100 lbs/level</v>
      </c>
      <c r="N112" s="18"/>
      <c r="O112" s="27" t="s">
        <v>354</v>
      </c>
      <c r="P112" s="18"/>
      <c r="Q112" s="27" t="s">
        <v>101</v>
      </c>
      <c r="R112" s="18"/>
      <c r="S112" s="27" t="s">
        <v>102</v>
      </c>
      <c r="T112" s="18"/>
      <c r="U112" s="29" t="s">
        <v>355</v>
      </c>
      <c r="V112" s="4"/>
      <c r="W112" s="4"/>
      <c r="X112" s="18"/>
    </row>
    <row r="113">
      <c r="B113" s="43">
        <v>3.0</v>
      </c>
      <c r="C113" s="57" t="s">
        <v>356</v>
      </c>
      <c r="D113" s="23"/>
      <c r="E113" s="34" t="s">
        <v>124</v>
      </c>
      <c r="F113" s="23"/>
      <c r="G113" s="34" t="s">
        <v>119</v>
      </c>
      <c r="H113" s="23"/>
      <c r="I113" s="33" t="s">
        <v>60</v>
      </c>
      <c r="J113" s="23"/>
      <c r="K113" s="34" t="s">
        <v>357</v>
      </c>
      <c r="L113" s="23"/>
      <c r="M113" s="34" t="s">
        <v>358</v>
      </c>
      <c r="N113" s="23"/>
      <c r="O113" s="33" t="str">
        <f>Level&amp;" rounds
1 round/level"</f>
        <v>1 rounds
1 round/level</v>
      </c>
      <c r="P113" s="23"/>
      <c r="Q113" s="34" t="s">
        <v>62</v>
      </c>
      <c r="R113" s="23"/>
      <c r="S113" s="34" t="s">
        <v>82</v>
      </c>
      <c r="T113" s="23"/>
      <c r="U113" s="58" t="s">
        <v>359</v>
      </c>
      <c r="V113" s="10"/>
      <c r="W113" s="10"/>
      <c r="X113" s="23"/>
    </row>
    <row r="114">
      <c r="B114" s="25">
        <v>3.0</v>
      </c>
      <c r="C114" s="26" t="s">
        <v>360</v>
      </c>
      <c r="D114" s="18"/>
      <c r="E114" s="27" t="s">
        <v>110</v>
      </c>
      <c r="F114" s="18"/>
      <c r="G114" s="27" t="s">
        <v>119</v>
      </c>
      <c r="H114" s="18"/>
      <c r="I114" s="27" t="s">
        <v>60</v>
      </c>
      <c r="J114" s="18"/>
      <c r="K114" s="27" t="s">
        <v>66</v>
      </c>
      <c r="L114" s="18"/>
      <c r="M114" s="27" t="s">
        <v>166</v>
      </c>
      <c r="N114" s="18"/>
      <c r="O114" s="27" t="str">
        <f>CONCAT(Level*10, " minutes or until discharged
10 minutes/level")</f>
        <v>10 minutes or until discharged
10 minutes/level</v>
      </c>
      <c r="P114" s="18"/>
      <c r="Q114" s="27" t="s">
        <v>239</v>
      </c>
      <c r="R114" s="18"/>
      <c r="S114" s="27" t="s">
        <v>113</v>
      </c>
      <c r="T114" s="18"/>
      <c r="U114" s="29" t="str">
        <f>CONCAT("Absorb ",CONCAT(MIN(Level*12, 120)," points of damage from one kind of energy, 12 points/level"))</f>
        <v>Absorb 12 points of damage from one kind of energy, 12 points/level</v>
      </c>
      <c r="V114" s="4"/>
      <c r="W114" s="4"/>
      <c r="X114" s="18"/>
    </row>
    <row r="115">
      <c r="B115" s="43">
        <v>3.0</v>
      </c>
      <c r="C115" s="57" t="s">
        <v>361</v>
      </c>
      <c r="D115" s="23"/>
      <c r="E115" s="34" t="s">
        <v>65</v>
      </c>
      <c r="F115" s="23"/>
      <c r="G115" s="34" t="s">
        <v>59</v>
      </c>
      <c r="H115" s="23"/>
      <c r="I115" s="33" t="s">
        <v>60</v>
      </c>
      <c r="J115" s="23"/>
      <c r="K115" s="34" t="s">
        <v>66</v>
      </c>
      <c r="L115" s="23"/>
      <c r="M115" s="34" t="s">
        <v>166</v>
      </c>
      <c r="N115" s="23"/>
      <c r="O115" s="34" t="s">
        <v>61</v>
      </c>
      <c r="P115" s="23"/>
      <c r="Q115" s="34" t="s">
        <v>239</v>
      </c>
      <c r="R115" s="23"/>
      <c r="S115" s="34" t="s">
        <v>113</v>
      </c>
      <c r="T115" s="23"/>
      <c r="U115" s="58" t="s">
        <v>362</v>
      </c>
      <c r="V115" s="10"/>
      <c r="W115" s="10"/>
      <c r="X115" s="23"/>
    </row>
    <row r="116">
      <c r="B116" s="25">
        <v>3.0</v>
      </c>
      <c r="C116" s="26" t="s">
        <v>363</v>
      </c>
      <c r="D116" s="18"/>
      <c r="E116" s="27" t="s">
        <v>110</v>
      </c>
      <c r="F116" s="18"/>
      <c r="G116" s="27" t="s">
        <v>59</v>
      </c>
      <c r="H116" s="18"/>
      <c r="I116" s="27" t="s">
        <v>60</v>
      </c>
      <c r="J116" s="18"/>
      <c r="K116" s="27" t="s">
        <v>66</v>
      </c>
      <c r="L116" s="18"/>
      <c r="M116" s="27" t="s">
        <v>364</v>
      </c>
      <c r="N116" s="18"/>
      <c r="O116" s="27" t="s">
        <v>61</v>
      </c>
      <c r="P116" s="18"/>
      <c r="Q116" s="27" t="s">
        <v>81</v>
      </c>
      <c r="R116" s="18"/>
      <c r="S116" s="27" t="s">
        <v>113</v>
      </c>
      <c r="T116" s="18"/>
      <c r="U116" s="29" t="s">
        <v>365</v>
      </c>
      <c r="V116" s="4"/>
      <c r="W116" s="4"/>
      <c r="X116" s="18"/>
    </row>
    <row r="117">
      <c r="B117" s="43">
        <v>3.0</v>
      </c>
      <c r="C117" s="32" t="s">
        <v>366</v>
      </c>
      <c r="D117" s="23"/>
      <c r="E117" s="34" t="s">
        <v>65</v>
      </c>
      <c r="F117" s="23"/>
      <c r="G117" s="33" t="s">
        <v>59</v>
      </c>
      <c r="H117" s="23"/>
      <c r="I117" s="33" t="s">
        <v>60</v>
      </c>
      <c r="J117" s="23"/>
      <c r="K117" s="33" t="s">
        <v>66</v>
      </c>
      <c r="L117" s="23"/>
      <c r="M117" s="33" t="s">
        <v>166</v>
      </c>
      <c r="N117" s="23"/>
      <c r="O117" s="33" t="s">
        <v>61</v>
      </c>
      <c r="P117" s="23"/>
      <c r="Q117" s="33" t="s">
        <v>239</v>
      </c>
      <c r="R117" s="23"/>
      <c r="S117" s="33" t="s">
        <v>113</v>
      </c>
      <c r="T117" s="23"/>
      <c r="U117" s="35" t="s">
        <v>367</v>
      </c>
      <c r="V117" s="10"/>
      <c r="W117" s="10"/>
      <c r="X117" s="23"/>
    </row>
    <row r="118">
      <c r="B118" s="25">
        <v>3.0</v>
      </c>
      <c r="C118" s="59" t="s">
        <v>368</v>
      </c>
      <c r="D118" s="18"/>
      <c r="E118" s="28" t="s">
        <v>162</v>
      </c>
      <c r="F118" s="18"/>
      <c r="G118" s="27" t="s">
        <v>59</v>
      </c>
      <c r="H118" s="18"/>
      <c r="I118" s="27" t="s">
        <v>60</v>
      </c>
      <c r="J118" s="18"/>
      <c r="K118" s="27" t="str">
        <f>medium</f>
        <v>Medium: 110 ft</v>
      </c>
      <c r="L118" s="18"/>
      <c r="M118" s="28" t="s">
        <v>369</v>
      </c>
      <c r="N118" s="18"/>
      <c r="O118" s="27" t="s">
        <v>61</v>
      </c>
      <c r="P118" s="18"/>
      <c r="Q118" s="28" t="s">
        <v>62</v>
      </c>
      <c r="R118" s="18"/>
      <c r="S118" s="28" t="s">
        <v>82</v>
      </c>
      <c r="T118" s="18"/>
      <c r="U118" s="29" t="str">
        <f>"Ray deals "&amp;MAX(FLOOR(Level/2,1),1)&amp;"d8 damage, 1d8/two levels, more against undead"</f>
        <v>Ray deals 1d8 damage, 1d8/two levels, more against undead</v>
      </c>
      <c r="V118" s="4"/>
      <c r="W118" s="4"/>
      <c r="X118" s="18"/>
    </row>
    <row r="119">
      <c r="B119" s="43">
        <v>3.0</v>
      </c>
      <c r="C119" s="57" t="s">
        <v>370</v>
      </c>
      <c r="D119" s="23"/>
      <c r="E119" s="34" t="s">
        <v>371</v>
      </c>
      <c r="F119" s="23"/>
      <c r="G119" s="34" t="s">
        <v>119</v>
      </c>
      <c r="H119" s="23"/>
      <c r="I119" s="34" t="s">
        <v>319</v>
      </c>
      <c r="J119" s="23"/>
      <c r="K119" s="34" t="s">
        <v>95</v>
      </c>
      <c r="L119" s="23"/>
      <c r="M119" s="34" t="s">
        <v>372</v>
      </c>
      <c r="N119" s="23"/>
      <c r="O119" s="33" t="str">
        <f>Level&amp;" minutes
1 minute/level"</f>
        <v>1 minutes
1 minute/level</v>
      </c>
      <c r="P119" s="23"/>
      <c r="Q119" s="34" t="s">
        <v>250</v>
      </c>
      <c r="R119" s="23"/>
      <c r="S119" s="34" t="s">
        <v>63</v>
      </c>
      <c r="T119" s="23"/>
      <c r="U119" s="35" t="str">
        <f>"Corpse answers "&amp;MAX(FLOOR(Level/2,1),1)&amp;" question, 1 question per 2 levels"</f>
        <v>Corpse answers 1 question, 1 question per 2 levels</v>
      </c>
      <c r="V119" s="10"/>
      <c r="W119" s="10"/>
      <c r="X119" s="23"/>
    </row>
    <row r="120">
      <c r="B120" s="25">
        <v>3.0</v>
      </c>
      <c r="C120" s="26" t="s">
        <v>373</v>
      </c>
      <c r="D120" s="18"/>
      <c r="E120" s="28" t="s">
        <v>351</v>
      </c>
      <c r="F120" s="18"/>
      <c r="G120" s="28" t="s">
        <v>119</v>
      </c>
      <c r="H120" s="18"/>
      <c r="I120" s="27" t="s">
        <v>60</v>
      </c>
      <c r="J120" s="18"/>
      <c r="K120" s="27" t="s">
        <v>66</v>
      </c>
      <c r="L120" s="18"/>
      <c r="M120" s="27" t="str">
        <f>CONCAT("Stone or stone object touched, up to ",CONCAT(Level+10," cu ft, 10+1 cu ft/level"))</f>
        <v>Stone or stone object touched, up to 11 cu ft, 10+1 cu ft/level</v>
      </c>
      <c r="N120" s="18"/>
      <c r="O120" s="27" t="s">
        <v>61</v>
      </c>
      <c r="P120" s="18"/>
      <c r="Q120" s="27" t="s">
        <v>62</v>
      </c>
      <c r="R120" s="18"/>
      <c r="S120" s="27" t="s">
        <v>63</v>
      </c>
      <c r="T120" s="18"/>
      <c r="U120" s="29" t="s">
        <v>374</v>
      </c>
      <c r="V120" s="4"/>
      <c r="W120" s="4"/>
      <c r="X120" s="18"/>
    </row>
    <row r="121">
      <c r="B121" s="43">
        <v>3.0</v>
      </c>
      <c r="C121" s="32" t="s">
        <v>375</v>
      </c>
      <c r="D121" s="23"/>
      <c r="E121" s="34" t="s">
        <v>205</v>
      </c>
      <c r="F121" s="23"/>
      <c r="G121" s="34" t="s">
        <v>119</v>
      </c>
      <c r="H121" s="23"/>
      <c r="I121" s="33" t="s">
        <v>142</v>
      </c>
      <c r="J121" s="23"/>
      <c r="K121" s="33" t="str">
        <f>close</f>
        <v>Close: 25 ft</v>
      </c>
      <c r="L121" s="23"/>
      <c r="M121" s="33" t="s">
        <v>206</v>
      </c>
      <c r="N121" s="23"/>
      <c r="O121" s="33" t="str">
        <f>Level&amp;" rounds (D)
1 round/level"</f>
        <v>1 rounds (D)
1 round/level</v>
      </c>
      <c r="P121" s="23"/>
      <c r="Q121" s="33" t="s">
        <v>62</v>
      </c>
      <c r="R121" s="23"/>
      <c r="S121" s="33" t="s">
        <v>63</v>
      </c>
      <c r="T121" s="23"/>
      <c r="U121" s="35" t="s">
        <v>207</v>
      </c>
      <c r="V121" s="10"/>
      <c r="W121" s="10"/>
      <c r="X121" s="23"/>
    </row>
    <row r="122">
      <c r="B122" s="25">
        <v>3.0</v>
      </c>
      <c r="C122" s="26" t="s">
        <v>376</v>
      </c>
      <c r="D122" s="18"/>
      <c r="E122" s="27" t="s">
        <v>94</v>
      </c>
      <c r="F122" s="18"/>
      <c r="G122" s="28" t="s">
        <v>111</v>
      </c>
      <c r="H122" s="18"/>
      <c r="I122" s="27" t="s">
        <v>60</v>
      </c>
      <c r="J122" s="18"/>
      <c r="K122" s="27" t="s">
        <v>66</v>
      </c>
      <c r="L122" s="18"/>
      <c r="M122" s="27" t="s">
        <v>377</v>
      </c>
      <c r="N122" s="18"/>
      <c r="O122" s="27" t="str">
        <f>CONCAT((Level)*2, " hours
2 hours/level
see text")</f>
        <v>2 hours
2 hours/level
see text</v>
      </c>
      <c r="P122" s="18"/>
      <c r="Q122" s="27" t="s">
        <v>81</v>
      </c>
      <c r="R122" s="18"/>
      <c r="S122" s="27" t="s">
        <v>113</v>
      </c>
      <c r="T122" s="18"/>
      <c r="U122" s="29" t="s">
        <v>378</v>
      </c>
      <c r="V122" s="4"/>
      <c r="W122" s="4"/>
      <c r="X122" s="18"/>
    </row>
    <row r="123">
      <c r="B123" s="43">
        <v>3.0</v>
      </c>
      <c r="C123" s="57" t="s">
        <v>379</v>
      </c>
      <c r="D123" s="23"/>
      <c r="E123" s="34" t="s">
        <v>380</v>
      </c>
      <c r="F123" s="23"/>
      <c r="G123" s="34" t="s">
        <v>111</v>
      </c>
      <c r="H123" s="23"/>
      <c r="I123" s="33" t="s">
        <v>60</v>
      </c>
      <c r="J123" s="23"/>
      <c r="K123" s="33" t="s">
        <v>66</v>
      </c>
      <c r="L123" s="23"/>
      <c r="M123" s="33" t="str">
        <f>Level&amp;" touched creatures, 1 creature/level"</f>
        <v>1 touched creatures, 1 creature/level</v>
      </c>
      <c r="N123" s="23"/>
      <c r="O123" s="33" t="str">
        <f>CONCAT(Level*10, " minutes (D)
10 minutes/level")</f>
        <v>10 minutes (D)
10 minutes/level</v>
      </c>
      <c r="P123" s="23"/>
      <c r="Q123" s="33" t="s">
        <v>81</v>
      </c>
      <c r="R123" s="23"/>
      <c r="S123" s="33" t="s">
        <v>113</v>
      </c>
      <c r="T123" s="23"/>
      <c r="U123" s="58" t="s">
        <v>381</v>
      </c>
      <c r="V123" s="10"/>
      <c r="W123" s="10"/>
      <c r="X123" s="23"/>
    </row>
    <row r="124">
      <c r="B124" s="25">
        <v>3.0</v>
      </c>
      <c r="C124" s="26" t="s">
        <v>382</v>
      </c>
      <c r="D124" s="18"/>
      <c r="E124" s="28" t="s">
        <v>383</v>
      </c>
      <c r="F124" s="18"/>
      <c r="G124" s="28" t="s">
        <v>111</v>
      </c>
      <c r="H124" s="18"/>
      <c r="I124" s="27" t="s">
        <v>60</v>
      </c>
      <c r="J124" s="18"/>
      <c r="K124" s="27" t="str">
        <f>CONCAT("Medium: ", CONCAT(100+(10*Level), " ft"))</f>
        <v>Medium: 110 ft</v>
      </c>
      <c r="L124" s="18"/>
      <c r="M124" s="27" t="str">
        <f>CONCAT("Wall up to ",CONCAT(Level*10,CONCAT(" ft long, 10 ft/level, and ",CONCAT(Level*5, " ft high, 5 ft/level"))))</f>
        <v>Wall up to 10 ft long, 10 ft/level, and 5 ft high, 5 ft/level</v>
      </c>
      <c r="N124" s="18"/>
      <c r="O124" s="27" t="str">
        <f>CONCAT(Level, " rounds
1 round/level")</f>
        <v>1 rounds
1 round/level</v>
      </c>
      <c r="P124" s="18"/>
      <c r="Q124" s="27" t="s">
        <v>384</v>
      </c>
      <c r="R124" s="18"/>
      <c r="S124" s="27" t="s">
        <v>82</v>
      </c>
      <c r="T124" s="18"/>
      <c r="U124" s="29" t="s">
        <v>385</v>
      </c>
      <c r="V124" s="4"/>
      <c r="W124" s="4"/>
      <c r="X124" s="18"/>
    </row>
    <row r="125">
      <c r="B125" s="43">
        <v>4.0</v>
      </c>
      <c r="C125" s="32" t="s">
        <v>386</v>
      </c>
      <c r="D125" s="23"/>
      <c r="E125" s="34" t="s">
        <v>387</v>
      </c>
      <c r="F125" s="23"/>
      <c r="G125" s="33" t="s">
        <v>111</v>
      </c>
      <c r="H125" s="23"/>
      <c r="I125" s="33" t="s">
        <v>60</v>
      </c>
      <c r="J125" s="23"/>
      <c r="K125" s="33" t="s">
        <v>66</v>
      </c>
      <c r="L125" s="23"/>
      <c r="M125" s="33" t="s">
        <v>388</v>
      </c>
      <c r="N125" s="23"/>
      <c r="O125" s="33" t="str">
        <f>CONCAT(Level*10, " minutes
10 minutes/level")</f>
        <v>10 minutes
10 minutes/level</v>
      </c>
      <c r="P125" s="23"/>
      <c r="Q125" s="33" t="s">
        <v>62</v>
      </c>
      <c r="R125" s="23"/>
      <c r="S125" s="33" t="s">
        <v>113</v>
      </c>
      <c r="T125" s="23"/>
      <c r="U125" s="35" t="s">
        <v>389</v>
      </c>
      <c r="V125" s="10"/>
      <c r="W125" s="10"/>
      <c r="X125" s="23"/>
    </row>
    <row r="126">
      <c r="B126" s="25">
        <v>4.0</v>
      </c>
      <c r="C126" s="26" t="s">
        <v>390</v>
      </c>
      <c r="D126" s="18"/>
      <c r="E126" s="28" t="s">
        <v>380</v>
      </c>
      <c r="F126" s="18"/>
      <c r="G126" s="28" t="s">
        <v>111</v>
      </c>
      <c r="H126" s="18"/>
      <c r="I126" s="27" t="s">
        <v>60</v>
      </c>
      <c r="J126" s="18"/>
      <c r="K126" s="27" t="str">
        <f>CONCAT("Long: ", CONCAT(400+(40*Level), " ft"))</f>
        <v>Long: 440 ft</v>
      </c>
      <c r="L126" s="18"/>
      <c r="M126" s="27" t="str">
        <f>CONCAT("Water in a volume of ",CONCAT(Level*10,CONCAT(" ft by ",CONCAT(Level*10, CONCAT(" ft by ",CONCAT(Level*2, " ft, 10 by 10 by 2 ft/level"))))))</f>
        <v>Water in a volume of 10 ft by 10 ft by 2 ft, 10 by 10 by 2 ft/level</v>
      </c>
      <c r="N126" s="18"/>
      <c r="O126" s="27" t="str">
        <f>CONCAT(Level*10, " minutes (D)
10 minutes/level")</f>
        <v>10 minutes (D)
10 minutes/level</v>
      </c>
      <c r="P126" s="18"/>
      <c r="Q126" s="27" t="s">
        <v>384</v>
      </c>
      <c r="R126" s="18"/>
      <c r="S126" s="27" t="s">
        <v>63</v>
      </c>
      <c r="T126" s="18"/>
      <c r="U126" s="29" t="s">
        <v>391</v>
      </c>
      <c r="V126" s="4"/>
      <c r="W126" s="4"/>
      <c r="X126" s="18"/>
    </row>
    <row r="127">
      <c r="B127" s="43">
        <v>4.0</v>
      </c>
      <c r="C127" s="32" t="s">
        <v>392</v>
      </c>
      <c r="D127" s="23"/>
      <c r="E127" s="34" t="s">
        <v>65</v>
      </c>
      <c r="F127" s="23"/>
      <c r="G127" s="33" t="s">
        <v>59</v>
      </c>
      <c r="H127" s="23"/>
      <c r="I127" s="33" t="s">
        <v>60</v>
      </c>
      <c r="J127" s="23"/>
      <c r="K127" s="33" t="s">
        <v>66</v>
      </c>
      <c r="L127" s="23"/>
      <c r="M127" s="33" t="s">
        <v>166</v>
      </c>
      <c r="N127" s="23"/>
      <c r="O127" s="33" t="s">
        <v>61</v>
      </c>
      <c r="P127" s="23"/>
      <c r="Q127" s="33" t="s">
        <v>68</v>
      </c>
      <c r="R127" s="23"/>
      <c r="S127" s="33" t="s">
        <v>69</v>
      </c>
      <c r="T127" s="23"/>
      <c r="U127" s="35" t="str">
        <f>CONCAT("Cures 4d8+",CONCAT(MIN(IF(OR(DOne="Healing Domain",DTwo="Healing Domain"),Level+1,Level),20)," damage, +1/level, max +20"))</f>
        <v>Cures 4d8+1 damage, +1/level, max +20</v>
      </c>
      <c r="V127" s="10"/>
      <c r="W127" s="10"/>
      <c r="X127" s="23"/>
    </row>
    <row r="128">
      <c r="B128" s="25">
        <v>4.0</v>
      </c>
      <c r="C128" s="26" t="s">
        <v>393</v>
      </c>
      <c r="D128" s="18"/>
      <c r="E128" s="27" t="s">
        <v>85</v>
      </c>
      <c r="F128" s="18"/>
      <c r="G128" s="27" t="s">
        <v>119</v>
      </c>
      <c r="H128" s="18"/>
      <c r="I128" s="27" t="s">
        <v>60</v>
      </c>
      <c r="J128" s="18"/>
      <c r="K128" s="27" t="s">
        <v>66</v>
      </c>
      <c r="L128" s="18"/>
      <c r="M128" s="27" t="s">
        <v>210</v>
      </c>
      <c r="N128" s="18"/>
      <c r="O128" s="27" t="str">
        <f>CONCAT(Level, " minutes
1 minute/level")</f>
        <v>1 minutes
1 minute/level</v>
      </c>
      <c r="P128" s="18"/>
      <c r="Q128" s="27" t="s">
        <v>68</v>
      </c>
      <c r="R128" s="18"/>
      <c r="S128" s="27" t="s">
        <v>69</v>
      </c>
      <c r="T128" s="18"/>
      <c r="U128" s="29" t="s">
        <v>394</v>
      </c>
      <c r="V128" s="4"/>
      <c r="W128" s="4"/>
      <c r="X128" s="18"/>
    </row>
    <row r="129">
      <c r="B129" s="43">
        <v>4.0</v>
      </c>
      <c r="C129" s="32" t="s">
        <v>395</v>
      </c>
      <c r="D129" s="23"/>
      <c r="E129" s="33" t="s">
        <v>110</v>
      </c>
      <c r="F129" s="23"/>
      <c r="G129" s="33" t="s">
        <v>59</v>
      </c>
      <c r="H129" s="23"/>
      <c r="I129" s="33" t="s">
        <v>60</v>
      </c>
      <c r="J129" s="23"/>
      <c r="K129" s="33" t="str">
        <f>medium</f>
        <v>Medium: 110 ft</v>
      </c>
      <c r="L129" s="23"/>
      <c r="M129" s="33" t="s">
        <v>369</v>
      </c>
      <c r="N129" s="23"/>
      <c r="O129" s="33" t="str">
        <f>Level&amp;" minutes
1 minute/level"</f>
        <v>1 minutes
1 minute/level</v>
      </c>
      <c r="P129" s="23"/>
      <c r="Q129" s="33" t="s">
        <v>62</v>
      </c>
      <c r="R129" s="23"/>
      <c r="S129" s="33" t="s">
        <v>102</v>
      </c>
      <c r="T129" s="23"/>
      <c r="U129" s="35" t="s">
        <v>396</v>
      </c>
      <c r="V129" s="10"/>
      <c r="W129" s="10"/>
      <c r="X129" s="23"/>
    </row>
    <row r="130">
      <c r="B130" s="25">
        <v>4.0</v>
      </c>
      <c r="C130" s="59" t="s">
        <v>397</v>
      </c>
      <c r="D130" s="18"/>
      <c r="E130" s="28" t="s">
        <v>72</v>
      </c>
      <c r="F130" s="18"/>
      <c r="G130" s="28" t="s">
        <v>119</v>
      </c>
      <c r="H130" s="18"/>
      <c r="I130" s="27" t="s">
        <v>60</v>
      </c>
      <c r="J130" s="18"/>
      <c r="K130" s="27" t="str">
        <f>CONCAT("Close: ", CONCAT(25+(5*FLOOR(IF(OR(DOne="Knowledge Domain",DTwo="Knowledge Domain"),Level+1,Level)/2,1)), " ft"))</f>
        <v>Close: 25 ft</v>
      </c>
      <c r="L130" s="18"/>
      <c r="M130" s="27" t="str">
        <f>IF(OR(DOne="Knowledge Domain",DTwo="Knowledge Domain"),Level+1,Level)&amp;" creatures, 1 creature/level, no 2 of which can be more than 30 ft apart"</f>
        <v>1 creatures, 1 creature/level, no 2 of which can be more than 30 ft apart</v>
      </c>
      <c r="N130" s="18"/>
      <c r="O130" s="28" t="str">
        <f>"Concentration, up to "&amp;IF(OR(DOne="Knowledge Domain",DTwo="Knowledge Domain"),Level+1,Level)&amp;" rounds
1 round/level"</f>
        <v>Concentration, up to 1 rounds
1 round/level</v>
      </c>
      <c r="P130" s="18"/>
      <c r="Q130" s="28" t="s">
        <v>86</v>
      </c>
      <c r="R130" s="18"/>
      <c r="S130" s="28" t="s">
        <v>63</v>
      </c>
      <c r="T130" s="18"/>
      <c r="U130" s="60" t="s">
        <v>398</v>
      </c>
      <c r="V130" s="4"/>
      <c r="W130" s="4"/>
      <c r="X130" s="18"/>
    </row>
    <row r="131">
      <c r="B131" s="43">
        <v>4.0</v>
      </c>
      <c r="C131" s="32" t="s">
        <v>399</v>
      </c>
      <c r="D131" s="23"/>
      <c r="E131" s="33" t="s">
        <v>110</v>
      </c>
      <c r="F131" s="23"/>
      <c r="G131" s="34" t="s">
        <v>119</v>
      </c>
      <c r="H131" s="23"/>
      <c r="I131" s="33" t="s">
        <v>60</v>
      </c>
      <c r="J131" s="23"/>
      <c r="K131" s="33" t="str">
        <f>close</f>
        <v>Close: 25 ft</v>
      </c>
      <c r="L131" s="23"/>
      <c r="M131" s="33" t="s">
        <v>400</v>
      </c>
      <c r="N131" s="23"/>
      <c r="O131" s="33" t="s">
        <v>61</v>
      </c>
      <c r="P131" s="23"/>
      <c r="Q131" s="33" t="s">
        <v>250</v>
      </c>
      <c r="R131" s="23"/>
      <c r="S131" s="33" t="s">
        <v>82</v>
      </c>
      <c r="T131" s="23"/>
      <c r="U131" s="35" t="s">
        <v>401</v>
      </c>
      <c r="V131" s="10"/>
      <c r="W131" s="10"/>
      <c r="X131" s="23"/>
    </row>
    <row r="132">
      <c r="B132" s="25">
        <v>4.0</v>
      </c>
      <c r="C132" s="59" t="s">
        <v>72</v>
      </c>
      <c r="D132" s="18"/>
      <c r="E132" s="28" t="s">
        <v>72</v>
      </c>
      <c r="F132" s="18"/>
      <c r="G132" s="28" t="s">
        <v>129</v>
      </c>
      <c r="H132" s="18"/>
      <c r="I132" s="28" t="s">
        <v>319</v>
      </c>
      <c r="J132" s="18"/>
      <c r="K132" s="28" t="s">
        <v>105</v>
      </c>
      <c r="L132" s="18"/>
      <c r="M132" s="28" t="s">
        <v>106</v>
      </c>
      <c r="N132" s="18"/>
      <c r="O132" s="27" t="s">
        <v>61</v>
      </c>
      <c r="P132" s="18"/>
      <c r="Q132" s="28" t="s">
        <v>107</v>
      </c>
      <c r="R132" s="18"/>
      <c r="S132" s="28" t="s">
        <v>107</v>
      </c>
      <c r="T132" s="18"/>
      <c r="U132" s="60" t="s">
        <v>402</v>
      </c>
      <c r="V132" s="4"/>
      <c r="W132" s="4"/>
      <c r="X132" s="18"/>
    </row>
    <row r="133">
      <c r="B133" s="43">
        <v>4.0</v>
      </c>
      <c r="C133" s="57" t="s">
        <v>403</v>
      </c>
      <c r="D133" s="23"/>
      <c r="E133" s="34" t="s">
        <v>162</v>
      </c>
      <c r="F133" s="23"/>
      <c r="G133" s="34" t="s">
        <v>119</v>
      </c>
      <c r="H133" s="23"/>
      <c r="I133" s="34" t="s">
        <v>60</v>
      </c>
      <c r="J133" s="23"/>
      <c r="K133" s="34" t="s">
        <v>105</v>
      </c>
      <c r="L133" s="23"/>
      <c r="M133" s="34" t="s">
        <v>106</v>
      </c>
      <c r="N133" s="23"/>
      <c r="O133" s="33" t="str">
        <f>Level&amp;" rounds
1 round/level"</f>
        <v>1 rounds
1 round/level</v>
      </c>
      <c r="P133" s="23"/>
      <c r="Q133" s="34" t="s">
        <v>107</v>
      </c>
      <c r="R133" s="23"/>
      <c r="S133" s="34" t="s">
        <v>107</v>
      </c>
      <c r="T133" s="23"/>
      <c r="U133" s="58" t="str">
        <f>"You gain attack bonus, +6 to Str, and "&amp;Level&amp;" hp, 1 hp/level"</f>
        <v>You gain attack bonus, +6 to Str, and 1 hp, 1 hp/level</v>
      </c>
      <c r="V133" s="10"/>
      <c r="W133" s="10"/>
      <c r="X133" s="23"/>
    </row>
    <row r="134">
      <c r="B134" s="25">
        <v>4.0</v>
      </c>
      <c r="C134" s="26" t="s">
        <v>404</v>
      </c>
      <c r="D134" s="18"/>
      <c r="E134" s="27" t="s">
        <v>110</v>
      </c>
      <c r="F134" s="18"/>
      <c r="G134" s="27" t="s">
        <v>405</v>
      </c>
      <c r="H134" s="18"/>
      <c r="I134" s="27" t="s">
        <v>60</v>
      </c>
      <c r="J134" s="18"/>
      <c r="K134" s="27" t="s">
        <v>406</v>
      </c>
      <c r="L134" s="18"/>
      <c r="M134" s="27" t="s">
        <v>407</v>
      </c>
      <c r="N134" s="18"/>
      <c r="O134" s="27" t="str">
        <f>CONCAT(Level*10, " minutes
10 minutes/level")</f>
        <v>10 minutes
10 minutes/level</v>
      </c>
      <c r="P134" s="18"/>
      <c r="Q134" s="27" t="s">
        <v>81</v>
      </c>
      <c r="R134" s="18"/>
      <c r="S134" s="27" t="s">
        <v>113</v>
      </c>
      <c r="T134" s="18"/>
      <c r="U134" s="29" t="s">
        <v>408</v>
      </c>
      <c r="V134" s="4"/>
      <c r="W134" s="4"/>
      <c r="X134" s="18"/>
    </row>
    <row r="135">
      <c r="B135" s="43">
        <v>4.0</v>
      </c>
      <c r="C135" s="32" t="s">
        <v>409</v>
      </c>
      <c r="D135" s="23"/>
      <c r="E135" s="33" t="s">
        <v>94</v>
      </c>
      <c r="F135" s="23"/>
      <c r="G135" s="33" t="s">
        <v>119</v>
      </c>
      <c r="H135" s="23"/>
      <c r="I135" s="33" t="s">
        <v>60</v>
      </c>
      <c r="J135" s="23"/>
      <c r="K135" s="33" t="str">
        <f>CONCAT("Close: ", CONCAT(25+(5*FLOOR(Level/2,1)), " ft"))</f>
        <v>Close: 25 ft</v>
      </c>
      <c r="L135" s="23"/>
      <c r="M135" s="33" t="s">
        <v>410</v>
      </c>
      <c r="N135" s="23"/>
      <c r="O135" s="33" t="str">
        <f>CONCAT(Level, " minutes
1 minute/level")</f>
        <v>1 minutes
1 minute/level</v>
      </c>
      <c r="P135" s="23"/>
      <c r="Q135" s="33" t="s">
        <v>62</v>
      </c>
      <c r="R135" s="23"/>
      <c r="S135" s="33" t="s">
        <v>82</v>
      </c>
      <c r="T135" s="23"/>
      <c r="U135" s="35" t="s">
        <v>411</v>
      </c>
      <c r="V135" s="10"/>
      <c r="W135" s="10"/>
      <c r="X135" s="23"/>
    </row>
    <row r="136">
      <c r="B136" s="25">
        <v>4.0</v>
      </c>
      <c r="C136" s="59" t="s">
        <v>412</v>
      </c>
      <c r="D136" s="18"/>
      <c r="E136" s="28" t="s">
        <v>162</v>
      </c>
      <c r="F136" s="18"/>
      <c r="G136" s="27" t="s">
        <v>119</v>
      </c>
      <c r="H136" s="18"/>
      <c r="I136" s="28" t="s">
        <v>319</v>
      </c>
      <c r="J136" s="18"/>
      <c r="K136" s="28" t="s">
        <v>66</v>
      </c>
      <c r="L136" s="18"/>
      <c r="M136" s="28" t="s">
        <v>413</v>
      </c>
      <c r="N136" s="18"/>
      <c r="O136" s="28" t="s">
        <v>414</v>
      </c>
      <c r="P136" s="18"/>
      <c r="Q136" s="28" t="s">
        <v>81</v>
      </c>
      <c r="R136" s="18"/>
      <c r="S136" s="28" t="s">
        <v>113</v>
      </c>
      <c r="T136" s="18"/>
      <c r="U136" s="60" t="s">
        <v>415</v>
      </c>
      <c r="V136" s="4"/>
      <c r="W136" s="4"/>
      <c r="X136" s="18"/>
    </row>
    <row r="137">
      <c r="B137" s="43">
        <v>4.0</v>
      </c>
      <c r="C137" s="57" t="s">
        <v>416</v>
      </c>
      <c r="D137" s="23"/>
      <c r="E137" s="34" t="s">
        <v>85</v>
      </c>
      <c r="F137" s="23"/>
      <c r="G137" s="33" t="s">
        <v>59</v>
      </c>
      <c r="H137" s="23"/>
      <c r="I137" s="33" t="s">
        <v>60</v>
      </c>
      <c r="J137" s="23"/>
      <c r="K137" s="33" t="s">
        <v>66</v>
      </c>
      <c r="L137" s="23"/>
      <c r="M137" s="33" t="s">
        <v>67</v>
      </c>
      <c r="N137" s="23"/>
      <c r="O137" s="33" t="s">
        <v>61</v>
      </c>
      <c r="P137" s="23"/>
      <c r="Q137" s="34" t="s">
        <v>174</v>
      </c>
      <c r="R137" s="23"/>
      <c r="S137" s="34" t="s">
        <v>82</v>
      </c>
      <c r="T137" s="23"/>
      <c r="U137" s="35" t="str">
        <f>CONCAT("Touch attack deals 4d8+",CONCAT(MIN(Level,20)," damage, +1/level, max +20"))</f>
        <v>Touch attack deals 4d8+1 damage, +1/level, max +20</v>
      </c>
      <c r="V137" s="10"/>
      <c r="W137" s="10"/>
      <c r="X137" s="23"/>
    </row>
    <row r="138">
      <c r="B138" s="25">
        <v>4.0</v>
      </c>
      <c r="C138" s="26" t="s">
        <v>417</v>
      </c>
      <c r="D138" s="18"/>
      <c r="E138" s="27" t="s">
        <v>94</v>
      </c>
      <c r="F138" s="18"/>
      <c r="G138" s="28" t="s">
        <v>119</v>
      </c>
      <c r="H138" s="18"/>
      <c r="I138" s="27" t="s">
        <v>60</v>
      </c>
      <c r="J138" s="18"/>
      <c r="K138" s="27" t="str">
        <f>close</f>
        <v>Close: 25 ft</v>
      </c>
      <c r="L138" s="18"/>
      <c r="M138" s="27" t="s">
        <v>418</v>
      </c>
      <c r="N138" s="18"/>
      <c r="O138" s="27" t="str">
        <f>CONCAT(Level, " hours 
1 hour/level")</f>
        <v>1 hours 
1 hour/level</v>
      </c>
      <c r="P138" s="18"/>
      <c r="Q138" s="27" t="s">
        <v>97</v>
      </c>
      <c r="R138" s="18"/>
      <c r="S138" s="27" t="s">
        <v>98</v>
      </c>
      <c r="T138" s="18"/>
      <c r="U138" s="29" t="str">
        <f>CONCAT("Weapon recieves +",CONCAT(MAX(FLOOR((Level+1)/4,1),1)," bonus, +1/four levels (max +5)."))</f>
        <v>Weapon recieves +1 bonus, +1/four levels (max +5).</v>
      </c>
      <c r="V138" s="4"/>
      <c r="W138" s="4"/>
      <c r="X138" s="18"/>
    </row>
    <row r="139">
      <c r="B139" s="43">
        <v>4.0</v>
      </c>
      <c r="C139" s="32" t="s">
        <v>419</v>
      </c>
      <c r="D139" s="23"/>
      <c r="E139" s="34" t="s">
        <v>65</v>
      </c>
      <c r="F139" s="23"/>
      <c r="G139" s="34" t="s">
        <v>119</v>
      </c>
      <c r="H139" s="23"/>
      <c r="I139" s="33" t="s">
        <v>60</v>
      </c>
      <c r="J139" s="23"/>
      <c r="K139" s="33" t="s">
        <v>66</v>
      </c>
      <c r="L139" s="23"/>
      <c r="M139" s="33" t="str">
        <f>CONCAT("Creature or object of up to ",CONCAT(IF(OR(DOne="Healing Domain",DTwo="Healing Domain"),Level+1,Level)," cu ft touched, 1 cu ft per level"))</f>
        <v>Creature or object of up to 1 cu ft touched, 1 cu ft per level</v>
      </c>
      <c r="N139" s="23"/>
      <c r="O139" s="33" t="str">
        <f>CONCAT(IF(OR(DOne="Healing Domain",DTwo="Healing Domain"),Level+1,Level)*10, " minutes
10 minutes/level")</f>
        <v>10 minutes
10 minutes/level</v>
      </c>
      <c r="P139" s="23"/>
      <c r="Q139" s="33" t="s">
        <v>420</v>
      </c>
      <c r="R139" s="23"/>
      <c r="S139" s="33" t="s">
        <v>421</v>
      </c>
      <c r="T139" s="23"/>
      <c r="U139" s="35" t="s">
        <v>422</v>
      </c>
      <c r="V139" s="10"/>
      <c r="W139" s="10"/>
      <c r="X139" s="23"/>
    </row>
    <row r="140">
      <c r="B140" s="25">
        <v>4.0</v>
      </c>
      <c r="C140" s="59" t="s">
        <v>423</v>
      </c>
      <c r="D140" s="18"/>
      <c r="E140" s="28" t="s">
        <v>424</v>
      </c>
      <c r="F140" s="18"/>
      <c r="G140" s="28" t="s">
        <v>425</v>
      </c>
      <c r="H140" s="18"/>
      <c r="I140" s="28" t="s">
        <v>319</v>
      </c>
      <c r="J140" s="18"/>
      <c r="K140" s="27" t="str">
        <f>close</f>
        <v>Close: 25 ft</v>
      </c>
      <c r="L140" s="18"/>
      <c r="M140" s="28" t="s">
        <v>426</v>
      </c>
      <c r="N140" s="18"/>
      <c r="O140" s="28" t="s">
        <v>61</v>
      </c>
      <c r="P140" s="18"/>
      <c r="Q140" s="28" t="s">
        <v>62</v>
      </c>
      <c r="R140" s="18"/>
      <c r="S140" s="28" t="s">
        <v>63</v>
      </c>
      <c r="T140" s="18"/>
      <c r="U140" s="60" t="s">
        <v>427</v>
      </c>
      <c r="V140" s="4"/>
      <c r="W140" s="4"/>
      <c r="X140" s="18"/>
    </row>
    <row r="141">
      <c r="B141" s="43">
        <v>4.0</v>
      </c>
      <c r="C141" s="32" t="s">
        <v>428</v>
      </c>
      <c r="D141" s="23"/>
      <c r="E141" s="33" t="s">
        <v>85</v>
      </c>
      <c r="F141" s="23"/>
      <c r="G141" s="33" t="s">
        <v>119</v>
      </c>
      <c r="H141" s="23"/>
      <c r="I141" s="33" t="s">
        <v>60</v>
      </c>
      <c r="J141" s="23"/>
      <c r="K141" s="33" t="s">
        <v>66</v>
      </c>
      <c r="L141" s="23"/>
      <c r="M141" s="33" t="s">
        <v>210</v>
      </c>
      <c r="N141" s="23"/>
      <c r="O141" s="33" t="s">
        <v>429</v>
      </c>
      <c r="P141" s="23"/>
      <c r="Q141" s="33" t="s">
        <v>430</v>
      </c>
      <c r="R141" s="23"/>
      <c r="S141" s="33" t="s">
        <v>82</v>
      </c>
      <c r="T141" s="23"/>
      <c r="U141" s="35" t="s">
        <v>431</v>
      </c>
      <c r="V141" s="10"/>
      <c r="W141" s="10"/>
      <c r="X141" s="23"/>
    </row>
    <row r="142">
      <c r="B142" s="25">
        <v>4.0</v>
      </c>
      <c r="C142" s="26" t="s">
        <v>432</v>
      </c>
      <c r="D142" s="18"/>
      <c r="E142" s="27" t="s">
        <v>110</v>
      </c>
      <c r="F142" s="18"/>
      <c r="G142" s="27" t="s">
        <v>119</v>
      </c>
      <c r="H142" s="18"/>
      <c r="I142" s="27" t="s">
        <v>60</v>
      </c>
      <c r="J142" s="18"/>
      <c r="K142" s="27" t="s">
        <v>95</v>
      </c>
      <c r="L142" s="18"/>
      <c r="M142" s="27" t="s">
        <v>433</v>
      </c>
      <c r="N142" s="18"/>
      <c r="O142" s="27" t="str">
        <f>CONCAT(Level*10, " minutes (D)
10 minutes/level")</f>
        <v>10 minutes (D)
10 minutes/level</v>
      </c>
      <c r="P142" s="18"/>
      <c r="Q142" s="27" t="s">
        <v>434</v>
      </c>
      <c r="R142" s="18"/>
      <c r="S142" s="27" t="s">
        <v>82</v>
      </c>
      <c r="T142" s="18"/>
      <c r="U142" s="29" t="s">
        <v>435</v>
      </c>
      <c r="V142" s="4"/>
      <c r="W142" s="4"/>
      <c r="X142" s="18"/>
    </row>
    <row r="143">
      <c r="B143" s="43">
        <v>4.0</v>
      </c>
      <c r="C143" s="57" t="s">
        <v>436</v>
      </c>
      <c r="D143" s="23"/>
      <c r="E143" s="34" t="s">
        <v>65</v>
      </c>
      <c r="F143" s="23"/>
      <c r="G143" s="34" t="s">
        <v>437</v>
      </c>
      <c r="H143" s="23"/>
      <c r="I143" s="33" t="s">
        <v>268</v>
      </c>
      <c r="J143" s="23"/>
      <c r="K143" s="33" t="s">
        <v>66</v>
      </c>
      <c r="L143" s="23"/>
      <c r="M143" s="33" t="s">
        <v>166</v>
      </c>
      <c r="N143" s="23"/>
      <c r="O143" s="33" t="s">
        <v>61</v>
      </c>
      <c r="P143" s="23"/>
      <c r="Q143" s="33" t="s">
        <v>81</v>
      </c>
      <c r="R143" s="23"/>
      <c r="S143" s="33" t="s">
        <v>113</v>
      </c>
      <c r="T143" s="23"/>
      <c r="U143" s="58" t="s">
        <v>438</v>
      </c>
      <c r="V143" s="10"/>
      <c r="W143" s="10"/>
      <c r="X143" s="23"/>
    </row>
    <row r="144">
      <c r="B144" s="25">
        <v>4.0</v>
      </c>
      <c r="C144" s="26" t="s">
        <v>439</v>
      </c>
      <c r="D144" s="18"/>
      <c r="E144" s="27" t="s">
        <v>162</v>
      </c>
      <c r="F144" s="18"/>
      <c r="G144" s="28" t="s">
        <v>119</v>
      </c>
      <c r="H144" s="18"/>
      <c r="I144" s="27" t="s">
        <v>319</v>
      </c>
      <c r="J144" s="18"/>
      <c r="K144" s="27" t="s">
        <v>332</v>
      </c>
      <c r="L144" s="18"/>
      <c r="M144" s="27" t="s">
        <v>277</v>
      </c>
      <c r="N144" s="18"/>
      <c r="O144" s="27" t="s">
        <v>440</v>
      </c>
      <c r="P144" s="18"/>
      <c r="Q144" s="27" t="s">
        <v>62</v>
      </c>
      <c r="R144" s="18"/>
      <c r="S144" s="27" t="s">
        <v>63</v>
      </c>
      <c r="T144" s="18"/>
      <c r="U144" s="29" t="s">
        <v>441</v>
      </c>
      <c r="V144" s="4"/>
      <c r="W144" s="4"/>
      <c r="X144" s="18"/>
    </row>
    <row r="145">
      <c r="B145" s="43">
        <v>4.0</v>
      </c>
      <c r="C145" s="57" t="s">
        <v>442</v>
      </c>
      <c r="D145" s="23"/>
      <c r="E145" s="34" t="s">
        <v>110</v>
      </c>
      <c r="F145" s="23"/>
      <c r="G145" s="34" t="s">
        <v>119</v>
      </c>
      <c r="H145" s="23"/>
      <c r="I145" s="34" t="s">
        <v>60</v>
      </c>
      <c r="J145" s="23"/>
      <c r="K145" s="34" t="s">
        <v>66</v>
      </c>
      <c r="L145" s="23"/>
      <c r="M145" s="34" t="s">
        <v>166</v>
      </c>
      <c r="N145" s="23"/>
      <c r="O145" s="33" t="str">
        <f>CONCAT(Level*10, " minutes
10 minutes/level")</f>
        <v>10 minutes
10 minutes/level</v>
      </c>
      <c r="P145" s="23"/>
      <c r="Q145" s="34" t="s">
        <v>81</v>
      </c>
      <c r="R145" s="23"/>
      <c r="S145" s="34" t="s">
        <v>113</v>
      </c>
      <c r="T145" s="23"/>
      <c r="U145" s="35" t="str">
        <f>"Subject is immune to "&amp;MAX(FLOOR(Level/4,1),1)&amp;" spell, 1 spell per 4 levels"</f>
        <v>Subject is immune to 1 spell, 1 spell per 4 levels</v>
      </c>
      <c r="V145" s="10"/>
      <c r="W145" s="10"/>
      <c r="X145" s="23"/>
    </row>
    <row r="146">
      <c r="B146" s="25">
        <v>4.0</v>
      </c>
      <c r="C146" s="26" t="s">
        <v>443</v>
      </c>
      <c r="D146" s="18"/>
      <c r="E146" s="28" t="s">
        <v>205</v>
      </c>
      <c r="F146" s="18"/>
      <c r="G146" s="28" t="s">
        <v>119</v>
      </c>
      <c r="H146" s="18"/>
      <c r="I146" s="27" t="s">
        <v>142</v>
      </c>
      <c r="J146" s="18"/>
      <c r="K146" s="27" t="str">
        <f>close</f>
        <v>Close: 25 ft</v>
      </c>
      <c r="L146" s="18"/>
      <c r="M146" s="27" t="s">
        <v>206</v>
      </c>
      <c r="N146" s="18"/>
      <c r="O146" s="27" t="str">
        <f>Level&amp;" rounds (D)
1 round/level"</f>
        <v>1 rounds (D)
1 round/level</v>
      </c>
      <c r="P146" s="18"/>
      <c r="Q146" s="27" t="s">
        <v>62</v>
      </c>
      <c r="R146" s="18"/>
      <c r="S146" s="27" t="s">
        <v>63</v>
      </c>
      <c r="T146" s="18"/>
      <c r="U146" s="29" t="s">
        <v>207</v>
      </c>
      <c r="V146" s="4"/>
      <c r="W146" s="4"/>
      <c r="X146" s="18"/>
    </row>
    <row r="147">
      <c r="B147" s="43">
        <v>4.0</v>
      </c>
      <c r="C147" s="32" t="s">
        <v>444</v>
      </c>
      <c r="D147" s="23"/>
      <c r="E147" s="33" t="s">
        <v>72</v>
      </c>
      <c r="F147" s="23"/>
      <c r="G147" s="34" t="s">
        <v>231</v>
      </c>
      <c r="H147" s="23"/>
      <c r="I147" s="33" t="s">
        <v>60</v>
      </c>
      <c r="J147" s="23"/>
      <c r="K147" s="33" t="s">
        <v>66</v>
      </c>
      <c r="L147" s="23"/>
      <c r="M147" s="33" t="s">
        <v>166</v>
      </c>
      <c r="N147" s="23"/>
      <c r="O147" s="33" t="str">
        <f>IF(OR(DOne="Knowledge Domain",DTwo="Knowledge Domain"),Level+1,Level)*10&amp;" minutes
10 minutes/level"</f>
        <v>10 minutes
10 minutes/level</v>
      </c>
      <c r="P147" s="23"/>
      <c r="Q147" s="33" t="s">
        <v>81</v>
      </c>
      <c r="R147" s="23"/>
      <c r="S147" s="33" t="s">
        <v>63</v>
      </c>
      <c r="T147" s="23"/>
      <c r="U147" s="35" t="s">
        <v>445</v>
      </c>
      <c r="V147" s="10"/>
      <c r="W147" s="10"/>
      <c r="X147" s="23"/>
    </row>
    <row r="148">
      <c r="B148" s="25">
        <v>5.0</v>
      </c>
      <c r="C148" s="26" t="s">
        <v>446</v>
      </c>
      <c r="D148" s="18"/>
      <c r="E148" s="27" t="s">
        <v>110</v>
      </c>
      <c r="F148" s="18"/>
      <c r="G148" s="28" t="s">
        <v>447</v>
      </c>
      <c r="H148" s="18"/>
      <c r="I148" s="27" t="s">
        <v>448</v>
      </c>
      <c r="J148" s="18"/>
      <c r="K148" s="27" t="s">
        <v>66</v>
      </c>
      <c r="L148" s="18"/>
      <c r="M148" s="27" t="s">
        <v>210</v>
      </c>
      <c r="N148" s="18"/>
      <c r="O148" s="27" t="s">
        <v>61</v>
      </c>
      <c r="P148" s="18"/>
      <c r="Q148" s="27" t="s">
        <v>62</v>
      </c>
      <c r="R148" s="18"/>
      <c r="S148" s="27" t="s">
        <v>82</v>
      </c>
      <c r="T148" s="18"/>
      <c r="U148" s="29" t="s">
        <v>449</v>
      </c>
      <c r="V148" s="4"/>
      <c r="W148" s="4"/>
      <c r="X148" s="18"/>
    </row>
    <row r="149">
      <c r="B149" s="43">
        <v>5.0</v>
      </c>
      <c r="C149" s="32" t="s">
        <v>450</v>
      </c>
      <c r="D149" s="23"/>
      <c r="E149" s="33" t="s">
        <v>110</v>
      </c>
      <c r="F149" s="23"/>
      <c r="G149" s="33" t="s">
        <v>59</v>
      </c>
      <c r="H149" s="23"/>
      <c r="I149" s="33" t="s">
        <v>112</v>
      </c>
      <c r="J149" s="23"/>
      <c r="K149" s="33" t="str">
        <f>close</f>
        <v>Close: 25 ft</v>
      </c>
      <c r="L149" s="23"/>
      <c r="M149" s="33" t="str">
        <f>"Up to "&amp;Level&amp;" creatures, 1 creature/level, all within 30 ft of each other"</f>
        <v>Up to 1 creatures, 1 creature/level, all within 30 ft of each other</v>
      </c>
      <c r="N149" s="23"/>
      <c r="O149" s="33" t="s">
        <v>61</v>
      </c>
      <c r="P149" s="23"/>
      <c r="Q149" s="33" t="s">
        <v>332</v>
      </c>
      <c r="R149" s="23"/>
      <c r="S149" s="33" t="s">
        <v>63</v>
      </c>
      <c r="T149" s="23"/>
      <c r="U149" s="35" t="s">
        <v>451</v>
      </c>
      <c r="V149" s="10"/>
      <c r="W149" s="10"/>
      <c r="X149" s="23"/>
    </row>
    <row r="150">
      <c r="B150" s="25">
        <v>5.0</v>
      </c>
      <c r="C150" s="59" t="s">
        <v>452</v>
      </c>
      <c r="D150" s="18"/>
      <c r="E150" s="28" t="s">
        <v>139</v>
      </c>
      <c r="F150" s="18"/>
      <c r="G150" s="28" t="s">
        <v>140</v>
      </c>
      <c r="H150" s="18"/>
      <c r="I150" s="27" t="s">
        <v>60</v>
      </c>
      <c r="J150" s="18"/>
      <c r="K150" s="27" t="str">
        <f>close</f>
        <v>Close: 25 ft</v>
      </c>
      <c r="L150" s="18"/>
      <c r="M150" s="28" t="str">
        <f>Level&amp;" creatures, 1 creature/level, no 2 of which can be more than 30 ft apart"</f>
        <v>1 creatures, 1 creature/level, no 2 of which can be more than 30 ft apart</v>
      </c>
      <c r="N150" s="18"/>
      <c r="O150" s="28" t="str">
        <f>Level&amp;" rounds
1 round/level"</f>
        <v>1 rounds
1 round/level</v>
      </c>
      <c r="P150" s="18"/>
      <c r="Q150" s="28" t="s">
        <v>86</v>
      </c>
      <c r="R150" s="18"/>
      <c r="S150" s="27" t="s">
        <v>82</v>
      </c>
      <c r="T150" s="18"/>
      <c r="U150" s="60" t="str">
        <f>"As command, but affects "&amp;Level&amp;" subjects, 1 subject/level"</f>
        <v>As command, but affects 1 subjects, 1 subject/level</v>
      </c>
      <c r="V150" s="4"/>
      <c r="W150" s="4"/>
      <c r="X150" s="18"/>
    </row>
    <row r="151">
      <c r="B151" s="43">
        <v>5.0</v>
      </c>
      <c r="C151" s="57" t="s">
        <v>453</v>
      </c>
      <c r="D151" s="23"/>
      <c r="E151" s="34" t="s">
        <v>72</v>
      </c>
      <c r="F151" s="23"/>
      <c r="G151" s="34" t="s">
        <v>454</v>
      </c>
      <c r="H151" s="23"/>
      <c r="I151" s="34" t="s">
        <v>319</v>
      </c>
      <c r="J151" s="23"/>
      <c r="K151" s="34" t="s">
        <v>105</v>
      </c>
      <c r="L151" s="23"/>
      <c r="M151" s="34" t="s">
        <v>106</v>
      </c>
      <c r="N151" s="23"/>
      <c r="O151" s="34" t="str">
        <f>IF(OR(DOne="Knowledge Domain",DTwo="Knowledge Domain"),Level+1,Level)&amp;" rounds
1 round/level"</f>
        <v>1 rounds
1 round/level</v>
      </c>
      <c r="P151" s="23"/>
      <c r="Q151" s="34" t="s">
        <v>107</v>
      </c>
      <c r="R151" s="23"/>
      <c r="S151" s="34" t="s">
        <v>107</v>
      </c>
      <c r="T151" s="23"/>
      <c r="U151" s="58" t="str">
        <f>"Deity answers "&amp;Level&amp;" yes or no questions, 1 question/level"</f>
        <v>Deity answers 1 yes or no questions, 1 question/level</v>
      </c>
      <c r="V151" s="10"/>
      <c r="W151" s="10"/>
      <c r="X151" s="23"/>
    </row>
    <row r="152">
      <c r="B152" s="25">
        <v>5.0</v>
      </c>
      <c r="C152" s="26" t="s">
        <v>455</v>
      </c>
      <c r="D152" s="18"/>
      <c r="E152" s="28" t="s">
        <v>65</v>
      </c>
      <c r="F152" s="18"/>
      <c r="G152" s="27" t="s">
        <v>59</v>
      </c>
      <c r="H152" s="18"/>
      <c r="I152" s="27" t="s">
        <v>60</v>
      </c>
      <c r="J152" s="18"/>
      <c r="K152" s="27" t="str">
        <f>CONCAT("Close: ", CONCAT(25+(5*FLOOR(IF(OR(DOne="Healing Domain",DTwo="Healing Domain"),Level+1,Level)/2,1)), " ft"))</f>
        <v>Close: 25 ft</v>
      </c>
      <c r="L152" s="18"/>
      <c r="M152" s="27" t="str">
        <f>CONCAT(IF(OR(DOne="Healing Domain",DTwo="Healing Domain"),Level+1,Level)," creatures, 1 creature/level, no 2 of which can be more than 30 ft apart")</f>
        <v>1 creatures, 1 creature/level, no 2 of which can be more than 30 ft apart</v>
      </c>
      <c r="N152" s="18"/>
      <c r="O152" s="27" t="s">
        <v>61</v>
      </c>
      <c r="P152" s="18"/>
      <c r="Q152" s="27" t="s">
        <v>456</v>
      </c>
      <c r="R152" s="18"/>
      <c r="S152" s="27" t="s">
        <v>457</v>
      </c>
      <c r="T152" s="18"/>
      <c r="U152" s="29" t="str">
        <f>CONCAT("Cures 1d8+",CONCAT(MIN(IF(OR(DOne="Healing Domain",DTwo="Healing Domain"),Level+1,Level),25)," damage for many creatures, +1/level, max +25"))</f>
        <v>Cures 1d8+1 damage for many creatures, +1/level, max +25</v>
      </c>
      <c r="V152" s="4"/>
      <c r="W152" s="4"/>
      <c r="X152" s="18"/>
    </row>
    <row r="153">
      <c r="B153" s="43">
        <v>5.0</v>
      </c>
      <c r="C153" s="57" t="s">
        <v>458</v>
      </c>
      <c r="D153" s="23"/>
      <c r="E153" s="34" t="s">
        <v>188</v>
      </c>
      <c r="F153" s="23"/>
      <c r="G153" s="34" t="s">
        <v>119</v>
      </c>
      <c r="H153" s="23"/>
      <c r="I153" s="34" t="s">
        <v>60</v>
      </c>
      <c r="J153" s="23"/>
      <c r="K153" s="34" t="s">
        <v>66</v>
      </c>
      <c r="L153" s="23"/>
      <c r="M153" s="34" t="s">
        <v>459</v>
      </c>
      <c r="N153" s="23"/>
      <c r="O153" s="33" t="str">
        <f>IF(OR(DOne="Lawful Domain",DTwo="Lawful Domain"),Level+1,Level)&amp;" rounds or until discharged, whichever comes first
1 round/level"</f>
        <v>1 rounds or until discharged, whichever comes first
1 round/level</v>
      </c>
      <c r="P153" s="23"/>
      <c r="Q153" s="34" t="s">
        <v>332</v>
      </c>
      <c r="R153" s="23"/>
      <c r="S153" s="34" t="s">
        <v>332</v>
      </c>
      <c r="T153" s="23"/>
      <c r="U153" s="63" t="s">
        <v>460</v>
      </c>
      <c r="V153" s="10"/>
      <c r="W153" s="10"/>
      <c r="X153" s="23"/>
    </row>
    <row r="154">
      <c r="B154" s="25">
        <v>5.0</v>
      </c>
      <c r="C154" s="59" t="s">
        <v>461</v>
      </c>
      <c r="D154" s="18"/>
      <c r="E154" s="28" t="s">
        <v>192</v>
      </c>
      <c r="F154" s="18"/>
      <c r="G154" s="28" t="s">
        <v>119</v>
      </c>
      <c r="H154" s="18"/>
      <c r="I154" s="28" t="s">
        <v>60</v>
      </c>
      <c r="J154" s="18"/>
      <c r="K154" s="28" t="s">
        <v>66</v>
      </c>
      <c r="L154" s="18"/>
      <c r="M154" s="28" t="s">
        <v>462</v>
      </c>
      <c r="N154" s="18"/>
      <c r="O154" s="27" t="str">
        <f>IF(OR(DOne="Good Domain",DTwo="Good Domain"),Level+1,Level)&amp;" rounds or until discharged, whichever comes first
1 round/level"</f>
        <v>1 rounds or until discharged, whichever comes first
1 round/level</v>
      </c>
      <c r="P154" s="18"/>
      <c r="Q154" s="28" t="s">
        <v>332</v>
      </c>
      <c r="R154" s="18"/>
      <c r="S154" s="28" t="s">
        <v>332</v>
      </c>
      <c r="T154" s="18"/>
      <c r="U154" s="64" t="s">
        <v>460</v>
      </c>
      <c r="V154" s="4"/>
      <c r="W154" s="4"/>
      <c r="X154" s="18"/>
    </row>
    <row r="155">
      <c r="B155" s="43">
        <v>5.0</v>
      </c>
      <c r="C155" s="57" t="s">
        <v>463</v>
      </c>
      <c r="D155" s="23"/>
      <c r="E155" s="34" t="s">
        <v>194</v>
      </c>
      <c r="F155" s="23"/>
      <c r="G155" s="34" t="s">
        <v>119</v>
      </c>
      <c r="H155" s="23"/>
      <c r="I155" s="34" t="s">
        <v>60</v>
      </c>
      <c r="J155" s="23"/>
      <c r="K155" s="34" t="s">
        <v>66</v>
      </c>
      <c r="L155" s="23"/>
      <c r="M155" s="34" t="s">
        <v>464</v>
      </c>
      <c r="N155" s="23"/>
      <c r="O155" s="33" t="str">
        <f>IF(OR(DOne="Evil Domain",DTwo="Evil Domain"),Level+1,Level)&amp;" rounds or until discharged, whichever comes first
1 round/level"</f>
        <v>1 rounds or until discharged, whichever comes first
1 round/level</v>
      </c>
      <c r="P155" s="23"/>
      <c r="Q155" s="34" t="s">
        <v>332</v>
      </c>
      <c r="R155" s="23"/>
      <c r="S155" s="34" t="s">
        <v>332</v>
      </c>
      <c r="T155" s="23"/>
      <c r="U155" s="63" t="s">
        <v>460</v>
      </c>
      <c r="V155" s="10"/>
      <c r="W155" s="10"/>
      <c r="X155" s="23"/>
    </row>
    <row r="156">
      <c r="B156" s="25">
        <v>5.0</v>
      </c>
      <c r="C156" s="59" t="s">
        <v>465</v>
      </c>
      <c r="D156" s="18"/>
      <c r="E156" s="28" t="s">
        <v>196</v>
      </c>
      <c r="F156" s="18"/>
      <c r="G156" s="28" t="s">
        <v>119</v>
      </c>
      <c r="H156" s="18"/>
      <c r="I156" s="28" t="s">
        <v>60</v>
      </c>
      <c r="J156" s="18"/>
      <c r="K156" s="28" t="s">
        <v>66</v>
      </c>
      <c r="L156" s="18"/>
      <c r="M156" s="28" t="s">
        <v>466</v>
      </c>
      <c r="N156" s="18"/>
      <c r="O156" s="27" t="str">
        <f>IF(OR(DOne="Chaos Domain",DTwo="Chaos Domain"),Level+1,Level)&amp;" rounds or until discharged, whichever comes first
1 round/level"</f>
        <v>1 rounds or until discharged, whichever comes first
1 round/level</v>
      </c>
      <c r="P156" s="18"/>
      <c r="Q156" s="28" t="s">
        <v>332</v>
      </c>
      <c r="R156" s="18"/>
      <c r="S156" s="28" t="s">
        <v>332</v>
      </c>
      <c r="T156" s="18"/>
      <c r="U156" s="64" t="s">
        <v>460</v>
      </c>
      <c r="V156" s="4"/>
      <c r="W156" s="4"/>
      <c r="X156" s="18"/>
    </row>
    <row r="157">
      <c r="B157" s="43">
        <v>5.0</v>
      </c>
      <c r="C157" s="57" t="s">
        <v>467</v>
      </c>
      <c r="D157" s="23"/>
      <c r="E157" s="34" t="s">
        <v>94</v>
      </c>
      <c r="F157" s="23"/>
      <c r="G157" s="34" t="s">
        <v>59</v>
      </c>
      <c r="H157" s="23"/>
      <c r="I157" s="34" t="s">
        <v>60</v>
      </c>
      <c r="J157" s="23"/>
      <c r="K157" s="34" t="s">
        <v>66</v>
      </c>
      <c r="L157" s="23"/>
      <c r="M157" s="34" t="s">
        <v>468</v>
      </c>
      <c r="N157" s="23"/>
      <c r="O157" s="33" t="str">
        <f>Level&amp;" rounds
1 round/level"</f>
        <v>1 rounds
1 round/level</v>
      </c>
      <c r="P157" s="23"/>
      <c r="Q157" s="34" t="s">
        <v>469</v>
      </c>
      <c r="R157" s="23"/>
      <c r="S157" s="34" t="s">
        <v>98</v>
      </c>
      <c r="T157" s="23"/>
      <c r="U157" s="58" t="s">
        <v>470</v>
      </c>
      <c r="V157" s="10"/>
      <c r="W157" s="10"/>
      <c r="X157" s="23"/>
    </row>
    <row r="158">
      <c r="B158" s="25">
        <v>5.0</v>
      </c>
      <c r="C158" s="26" t="s">
        <v>471</v>
      </c>
      <c r="D158" s="18"/>
      <c r="E158" s="28" t="s">
        <v>472</v>
      </c>
      <c r="F158" s="18"/>
      <c r="G158" s="27" t="s">
        <v>111</v>
      </c>
      <c r="H158" s="18"/>
      <c r="I158" s="27" t="s">
        <v>60</v>
      </c>
      <c r="J158" s="18"/>
      <c r="K158" s="27" t="str">
        <f>CONCAT("Medium: ", CONCAT(100+(10*Level), " ft"))</f>
        <v>Medium: 110 ft</v>
      </c>
      <c r="L158" s="18"/>
      <c r="M158" s="27" t="s">
        <v>473</v>
      </c>
      <c r="N158" s="18"/>
      <c r="O158" s="27" t="s">
        <v>61</v>
      </c>
      <c r="P158" s="18"/>
      <c r="Q158" s="27" t="s">
        <v>474</v>
      </c>
      <c r="R158" s="18"/>
      <c r="S158" s="27" t="s">
        <v>82</v>
      </c>
      <c r="T158" s="18"/>
      <c r="U158" s="29" t="str">
        <f>CONCAT("Smite foes with divine fire (",CONCAT(MIN(Level, 15),"d6 damage, 1d6/level"))</f>
        <v>Smite foes with divine fire (1d6 damage, 1d6/level</v>
      </c>
      <c r="V158" s="4"/>
      <c r="W158" s="4"/>
      <c r="X158" s="18"/>
    </row>
    <row r="159">
      <c r="B159" s="43">
        <v>5.0</v>
      </c>
      <c r="C159" s="32" t="s">
        <v>475</v>
      </c>
      <c r="D159" s="23"/>
      <c r="E159" s="34" t="s">
        <v>224</v>
      </c>
      <c r="F159" s="23"/>
      <c r="G159" s="33" t="s">
        <v>476</v>
      </c>
      <c r="H159" s="23"/>
      <c r="I159" s="33" t="s">
        <v>167</v>
      </c>
      <c r="J159" s="23"/>
      <c r="K159" s="33" t="s">
        <v>66</v>
      </c>
      <c r="L159" s="23"/>
      <c r="M159" s="34" t="s">
        <v>477</v>
      </c>
      <c r="N159" s="23"/>
      <c r="O159" s="33" t="s">
        <v>61</v>
      </c>
      <c r="P159" s="23"/>
      <c r="Q159" s="33" t="s">
        <v>332</v>
      </c>
      <c r="R159" s="23"/>
      <c r="S159" s="33" t="s">
        <v>332</v>
      </c>
      <c r="T159" s="23"/>
      <c r="U159" s="35" t="s">
        <v>478</v>
      </c>
      <c r="V159" s="10"/>
      <c r="W159" s="10"/>
      <c r="X159" s="23"/>
    </row>
    <row r="160">
      <c r="B160" s="25">
        <v>5.0</v>
      </c>
      <c r="C160" s="59" t="s">
        <v>479</v>
      </c>
      <c r="D160" s="18"/>
      <c r="E160" s="28" t="s">
        <v>85</v>
      </c>
      <c r="F160" s="18"/>
      <c r="G160" s="27" t="s">
        <v>59</v>
      </c>
      <c r="H160" s="18"/>
      <c r="I160" s="27" t="s">
        <v>60</v>
      </c>
      <c r="J160" s="18"/>
      <c r="K160" s="27" t="str">
        <f>CONCAT("Close: ", CONCAT(25+(5*FLOOR(Level/2,1)), " ft"))</f>
        <v>Close: 25 ft</v>
      </c>
      <c r="L160" s="18"/>
      <c r="M160" s="27" t="str">
        <f>CONCAT(Level," creatures, 1 creature/level, no 2 of which can be more than 30 ft apart")</f>
        <v>1 creatures, 1 creature/level, no 2 of which can be more than 30 ft apart</v>
      </c>
      <c r="N160" s="18"/>
      <c r="O160" s="27" t="s">
        <v>61</v>
      </c>
      <c r="P160" s="18"/>
      <c r="Q160" s="28" t="s">
        <v>174</v>
      </c>
      <c r="R160" s="18"/>
      <c r="S160" s="28" t="s">
        <v>82</v>
      </c>
      <c r="T160" s="18"/>
      <c r="U160" s="29" t="str">
        <f>CONCAT("Deals 1d8+",CONCAT(MIN(Level,25)," damage to many creatures, +1/level, max +25"))</f>
        <v>Deals 1d8+1 damage to many creatures, +1/level, max +25</v>
      </c>
      <c r="V160" s="4"/>
      <c r="W160" s="4"/>
      <c r="X160" s="18"/>
    </row>
    <row r="161">
      <c r="B161" s="43">
        <v>5.0</v>
      </c>
      <c r="C161" s="32" t="s">
        <v>480</v>
      </c>
      <c r="D161" s="23"/>
      <c r="E161" s="34" t="s">
        <v>481</v>
      </c>
      <c r="F161" s="23"/>
      <c r="G161" s="33" t="s">
        <v>119</v>
      </c>
      <c r="H161" s="23"/>
      <c r="I161" s="33" t="s">
        <v>142</v>
      </c>
      <c r="J161" s="23"/>
      <c r="K161" s="33" t="str">
        <f>CONCAT("Long: ", CONCAT(400+(40*Level), " ft"))</f>
        <v>Long: 440 ft</v>
      </c>
      <c r="L161" s="23"/>
      <c r="M161" s="33" t="str">
        <f>CONCAT(MAX(FLOOR(Level/3,1),1), " swarms of locusts, 1 swarm per 3 levels, each of which must be adjacent to at least one other swarm")</f>
        <v>1 swarms of locusts, 1 swarm per 3 levels, each of which must be adjacent to at least one other swarm</v>
      </c>
      <c r="N161" s="23"/>
      <c r="O161" s="33" t="str">
        <f>CONCAT(Level, " minutes
1 minute/level")</f>
        <v>1 minutes
1 minute/level</v>
      </c>
      <c r="P161" s="23"/>
      <c r="Q161" s="33" t="s">
        <v>62</v>
      </c>
      <c r="R161" s="23"/>
      <c r="S161" s="33" t="s">
        <v>63</v>
      </c>
      <c r="T161" s="23"/>
      <c r="U161" s="35" t="s">
        <v>482</v>
      </c>
      <c r="V161" s="10"/>
      <c r="W161" s="10"/>
      <c r="X161" s="23"/>
    </row>
    <row r="162">
      <c r="B162" s="25">
        <v>5.0</v>
      </c>
      <c r="C162" s="59" t="s">
        <v>483</v>
      </c>
      <c r="D162" s="18"/>
      <c r="E162" s="28" t="s">
        <v>85</v>
      </c>
      <c r="F162" s="18"/>
      <c r="G162" s="27" t="s">
        <v>119</v>
      </c>
      <c r="H162" s="18"/>
      <c r="I162" s="28" t="s">
        <v>319</v>
      </c>
      <c r="J162" s="18"/>
      <c r="K162" s="28" t="s">
        <v>66</v>
      </c>
      <c r="L162" s="18"/>
      <c r="M162" s="28" t="s">
        <v>166</v>
      </c>
      <c r="N162" s="18"/>
      <c r="O162" s="28" t="s">
        <v>484</v>
      </c>
      <c r="P162" s="18"/>
      <c r="Q162" s="27" t="s">
        <v>62</v>
      </c>
      <c r="R162" s="18"/>
      <c r="S162" s="28" t="s">
        <v>82</v>
      </c>
      <c r="T162" s="18"/>
      <c r="U162" s="60" t="s">
        <v>485</v>
      </c>
      <c r="V162" s="4"/>
      <c r="W162" s="4"/>
      <c r="X162" s="18"/>
    </row>
    <row r="163">
      <c r="B163" s="43">
        <v>5.0</v>
      </c>
      <c r="C163" s="32" t="s">
        <v>486</v>
      </c>
      <c r="D163" s="23"/>
      <c r="E163" s="34" t="s">
        <v>487</v>
      </c>
      <c r="F163" s="23"/>
      <c r="G163" s="33" t="s">
        <v>104</v>
      </c>
      <c r="H163" s="23"/>
      <c r="I163" s="33" t="s">
        <v>60</v>
      </c>
      <c r="J163" s="23"/>
      <c r="K163" s="33" t="s">
        <v>66</v>
      </c>
      <c r="L163" s="23"/>
      <c r="M163" s="33" t="s">
        <v>488</v>
      </c>
      <c r="N163" s="23"/>
      <c r="O163" s="33" t="s">
        <v>61</v>
      </c>
      <c r="P163" s="23"/>
      <c r="Q163" s="33" t="s">
        <v>86</v>
      </c>
      <c r="R163" s="23"/>
      <c r="S163" s="33" t="s">
        <v>82</v>
      </c>
      <c r="T163" s="23"/>
      <c r="U163" s="35" t="s">
        <v>489</v>
      </c>
      <c r="V163" s="10"/>
      <c r="W163" s="10"/>
      <c r="X163" s="23"/>
    </row>
    <row r="164">
      <c r="B164" s="25">
        <v>5.0</v>
      </c>
      <c r="C164" s="59" t="s">
        <v>490</v>
      </c>
      <c r="D164" s="18"/>
      <c r="E164" s="28" t="s">
        <v>65</v>
      </c>
      <c r="F164" s="18"/>
      <c r="G164" s="28" t="s">
        <v>491</v>
      </c>
      <c r="H164" s="18"/>
      <c r="I164" s="28" t="s">
        <v>112</v>
      </c>
      <c r="J164" s="18"/>
      <c r="K164" s="28" t="s">
        <v>66</v>
      </c>
      <c r="L164" s="18"/>
      <c r="M164" s="28" t="s">
        <v>492</v>
      </c>
      <c r="N164" s="18"/>
      <c r="O164" s="28" t="s">
        <v>61</v>
      </c>
      <c r="P164" s="18"/>
      <c r="Q164" s="28" t="s">
        <v>384</v>
      </c>
      <c r="R164" s="18"/>
      <c r="S164" s="28" t="s">
        <v>113</v>
      </c>
      <c r="T164" s="18"/>
      <c r="U164" s="60" t="str">
        <f>"Restores life to subject who died as long as "&amp;IF(OR(DOne="Healing Domain",DTwo="Healing Domain"),Level+1,Level)&amp;" days ago, 1 day/level"</f>
        <v>Restores life to subject who died as long as 1 days ago, 1 day/level</v>
      </c>
      <c r="V164" s="4"/>
      <c r="W164" s="4"/>
      <c r="X164" s="18"/>
    </row>
    <row r="165">
      <c r="B165" s="43">
        <v>5.0</v>
      </c>
      <c r="C165" s="57" t="s">
        <v>493</v>
      </c>
      <c r="D165" s="23"/>
      <c r="E165" s="34" t="s">
        <v>94</v>
      </c>
      <c r="F165" s="23"/>
      <c r="G165" s="34" t="s">
        <v>119</v>
      </c>
      <c r="H165" s="23"/>
      <c r="I165" s="34" t="s">
        <v>60</v>
      </c>
      <c r="J165" s="23"/>
      <c r="K165" s="34" t="s">
        <v>105</v>
      </c>
      <c r="L165" s="23"/>
      <c r="M165" s="34" t="s">
        <v>106</v>
      </c>
      <c r="N165" s="23"/>
      <c r="O165" s="34" t="str">
        <f>Level&amp;" rounds (D)
1 round/level"</f>
        <v>1 rounds (D)
1 round/level</v>
      </c>
      <c r="P165" s="23"/>
      <c r="Q165" s="34" t="s">
        <v>107</v>
      </c>
      <c r="R165" s="23"/>
      <c r="S165" s="34" t="s">
        <v>107</v>
      </c>
      <c r="T165" s="23"/>
      <c r="U165" s="58" t="s">
        <v>494</v>
      </c>
      <c r="V165" s="10"/>
      <c r="W165" s="10"/>
      <c r="X165" s="23"/>
    </row>
    <row r="166">
      <c r="B166" s="25">
        <v>5.0</v>
      </c>
      <c r="C166" s="26" t="s">
        <v>495</v>
      </c>
      <c r="D166" s="18"/>
      <c r="E166" s="28" t="s">
        <v>496</v>
      </c>
      <c r="F166" s="18"/>
      <c r="G166" s="28" t="s">
        <v>497</v>
      </c>
      <c r="H166" s="18"/>
      <c r="I166" s="27" t="s">
        <v>448</v>
      </c>
      <c r="J166" s="18"/>
      <c r="K166" s="27" t="s">
        <v>332</v>
      </c>
      <c r="L166" s="18"/>
      <c r="M166" s="27" t="s">
        <v>498</v>
      </c>
      <c r="N166" s="18"/>
      <c r="O166" s="27" t="str">
        <f>CONCAT(IF(OR(DOne="Knowledge Domain",DTwo="Knowledge Domain"),Level+1,Level), " minutes
1 minute/level")</f>
        <v>1 minutes
1 minute/level</v>
      </c>
      <c r="P166" s="18"/>
      <c r="Q166" s="27" t="s">
        <v>86</v>
      </c>
      <c r="R166" s="18"/>
      <c r="S166" s="27" t="s">
        <v>82</v>
      </c>
      <c r="T166" s="18"/>
      <c r="U166" s="29" t="s">
        <v>499</v>
      </c>
      <c r="V166" s="4"/>
      <c r="W166" s="4"/>
      <c r="X166" s="18"/>
    </row>
    <row r="167">
      <c r="B167" s="43">
        <v>5.0</v>
      </c>
      <c r="C167" s="57" t="s">
        <v>500</v>
      </c>
      <c r="D167" s="23"/>
      <c r="E167" s="34" t="s">
        <v>501</v>
      </c>
      <c r="F167" s="23"/>
      <c r="G167" s="34" t="s">
        <v>59</v>
      </c>
      <c r="H167" s="23"/>
      <c r="I167" s="34" t="s">
        <v>60</v>
      </c>
      <c r="J167" s="23"/>
      <c r="K167" s="34" t="s">
        <v>66</v>
      </c>
      <c r="L167" s="23"/>
      <c r="M167" s="34" t="s">
        <v>210</v>
      </c>
      <c r="N167" s="23"/>
      <c r="O167" s="34" t="s">
        <v>61</v>
      </c>
      <c r="P167" s="23"/>
      <c r="Q167" s="34" t="s">
        <v>287</v>
      </c>
      <c r="R167" s="23"/>
      <c r="S167" s="33" t="s">
        <v>82</v>
      </c>
      <c r="T167" s="23"/>
      <c r="U167" s="58" t="s">
        <v>502</v>
      </c>
      <c r="V167" s="10"/>
      <c r="W167" s="10"/>
      <c r="X167" s="23"/>
    </row>
    <row r="168">
      <c r="B168" s="25">
        <v>5.0</v>
      </c>
      <c r="C168" s="59" t="s">
        <v>25</v>
      </c>
      <c r="D168" s="18"/>
      <c r="E168" s="28" t="s">
        <v>110</v>
      </c>
      <c r="F168" s="18"/>
      <c r="G168" s="28" t="s">
        <v>119</v>
      </c>
      <c r="H168" s="18"/>
      <c r="I168" s="28" t="s">
        <v>60</v>
      </c>
      <c r="J168" s="18"/>
      <c r="K168" s="28" t="s">
        <v>66</v>
      </c>
      <c r="L168" s="18"/>
      <c r="M168" s="28" t="s">
        <v>166</v>
      </c>
      <c r="N168" s="18"/>
      <c r="O168" s="28" t="str">
        <f>CONCAT(Level, " minutes
1 minute/level")</f>
        <v>1 minutes
1 minute/level</v>
      </c>
      <c r="P168" s="18"/>
      <c r="Q168" s="28" t="s">
        <v>81</v>
      </c>
      <c r="R168" s="18"/>
      <c r="S168" s="28" t="s">
        <v>113</v>
      </c>
      <c r="T168" s="18"/>
      <c r="U168" s="60" t="str">
        <f>"Subject gains SR "&amp;Level+12&amp;", 12 + level"</f>
        <v>Subject gains SR 13, 12 + level</v>
      </c>
      <c r="V168" s="4"/>
      <c r="W168" s="4"/>
      <c r="X168" s="18"/>
    </row>
    <row r="169">
      <c r="B169" s="43">
        <v>5.0</v>
      </c>
      <c r="C169" s="32" t="s">
        <v>503</v>
      </c>
      <c r="D169" s="23"/>
      <c r="E169" s="34" t="s">
        <v>205</v>
      </c>
      <c r="F169" s="23"/>
      <c r="G169" s="34" t="s">
        <v>119</v>
      </c>
      <c r="H169" s="23"/>
      <c r="I169" s="33" t="s">
        <v>142</v>
      </c>
      <c r="J169" s="23"/>
      <c r="K169" s="33" t="str">
        <f>close</f>
        <v>Close: 25 ft</v>
      </c>
      <c r="L169" s="23"/>
      <c r="M169" s="33" t="s">
        <v>206</v>
      </c>
      <c r="N169" s="23"/>
      <c r="O169" s="33" t="str">
        <f>Level&amp;" rounds (D)
1 round/level"</f>
        <v>1 rounds (D)
1 round/level</v>
      </c>
      <c r="P169" s="23"/>
      <c r="Q169" s="33" t="s">
        <v>62</v>
      </c>
      <c r="R169" s="23"/>
      <c r="S169" s="33" t="s">
        <v>63</v>
      </c>
      <c r="T169" s="23"/>
      <c r="U169" s="35" t="s">
        <v>207</v>
      </c>
      <c r="V169" s="10"/>
      <c r="W169" s="10"/>
      <c r="X169" s="23"/>
    </row>
    <row r="170">
      <c r="B170" s="25">
        <v>5.0</v>
      </c>
      <c r="C170" s="26" t="s">
        <v>504</v>
      </c>
      <c r="D170" s="18"/>
      <c r="E170" s="28" t="s">
        <v>148</v>
      </c>
      <c r="F170" s="18"/>
      <c r="G170" s="27" t="s">
        <v>505</v>
      </c>
      <c r="H170" s="18"/>
      <c r="I170" s="27" t="s">
        <v>319</v>
      </c>
      <c r="J170" s="18"/>
      <c r="K170" s="27" t="s">
        <v>506</v>
      </c>
      <c r="L170" s="18"/>
      <c r="M170" s="27" t="s">
        <v>507</v>
      </c>
      <c r="N170" s="18"/>
      <c r="O170" s="27" t="s">
        <v>332</v>
      </c>
      <c r="P170" s="18"/>
      <c r="Q170" s="27" t="s">
        <v>86</v>
      </c>
      <c r="R170" s="18"/>
      <c r="S170" s="27" t="s">
        <v>82</v>
      </c>
      <c r="T170" s="18"/>
      <c r="U170" s="29" t="s">
        <v>508</v>
      </c>
      <c r="V170" s="4"/>
      <c r="W170" s="4"/>
      <c r="X170" s="18"/>
    </row>
    <row r="171">
      <c r="B171" s="43">
        <v>5.0</v>
      </c>
      <c r="C171" s="32" t="s">
        <v>509</v>
      </c>
      <c r="D171" s="23"/>
      <c r="E171" s="34" t="s">
        <v>124</v>
      </c>
      <c r="F171" s="23"/>
      <c r="G171" s="33" t="s">
        <v>505</v>
      </c>
      <c r="H171" s="23"/>
      <c r="I171" s="33" t="s">
        <v>319</v>
      </c>
      <c r="J171" s="23"/>
      <c r="K171" s="33" t="s">
        <v>506</v>
      </c>
      <c r="L171" s="23"/>
      <c r="M171" s="33" t="s">
        <v>507</v>
      </c>
      <c r="N171" s="23"/>
      <c r="O171" s="33" t="s">
        <v>332</v>
      </c>
      <c r="P171" s="23"/>
      <c r="Q171" s="33" t="s">
        <v>86</v>
      </c>
      <c r="R171" s="23"/>
      <c r="S171" s="33" t="s">
        <v>82</v>
      </c>
      <c r="T171" s="23"/>
      <c r="U171" s="35" t="s">
        <v>510</v>
      </c>
      <c r="V171" s="10"/>
      <c r="W171" s="10"/>
      <c r="X171" s="23"/>
    </row>
    <row r="172">
      <c r="B172" s="25">
        <v>5.0</v>
      </c>
      <c r="C172" s="26" t="s">
        <v>511</v>
      </c>
      <c r="D172" s="18"/>
      <c r="E172" s="27" t="s">
        <v>72</v>
      </c>
      <c r="F172" s="18"/>
      <c r="G172" s="27" t="s">
        <v>512</v>
      </c>
      <c r="H172" s="18"/>
      <c r="I172" s="27" t="s">
        <v>60</v>
      </c>
      <c r="J172" s="18"/>
      <c r="K172" s="27" t="s">
        <v>66</v>
      </c>
      <c r="L172" s="18"/>
      <c r="M172" s="27" t="s">
        <v>166</v>
      </c>
      <c r="N172" s="18"/>
      <c r="O172" s="27" t="str">
        <f>CONCAT(IF(OR(DOne="Knowledge Domain",DTwo="Knowledge Domain"),Level+1,Level), " minutes
1 minute/level")</f>
        <v>1 minutes
1 minute/level</v>
      </c>
      <c r="P172" s="18"/>
      <c r="Q172" s="27" t="s">
        <v>513</v>
      </c>
      <c r="R172" s="18"/>
      <c r="S172" s="27" t="s">
        <v>514</v>
      </c>
      <c r="T172" s="18"/>
      <c r="U172" s="29" t="s">
        <v>515</v>
      </c>
      <c r="V172" s="4"/>
      <c r="W172" s="4"/>
      <c r="X172" s="18"/>
    </row>
    <row r="173">
      <c r="B173" s="43">
        <v>5.0</v>
      </c>
      <c r="C173" s="32" t="s">
        <v>516</v>
      </c>
      <c r="D173" s="23"/>
      <c r="E173" s="34" t="s">
        <v>241</v>
      </c>
      <c r="F173" s="23"/>
      <c r="G173" s="33" t="s">
        <v>517</v>
      </c>
      <c r="H173" s="23"/>
      <c r="I173" s="33" t="s">
        <v>167</v>
      </c>
      <c r="J173" s="23"/>
      <c r="K173" s="33" t="s">
        <v>66</v>
      </c>
      <c r="L173" s="23"/>
      <c r="M173" s="34" t="s">
        <v>518</v>
      </c>
      <c r="N173" s="23"/>
      <c r="O173" s="33" t="s">
        <v>61</v>
      </c>
      <c r="P173" s="23"/>
      <c r="Q173" s="33" t="s">
        <v>332</v>
      </c>
      <c r="R173" s="23"/>
      <c r="S173" s="33" t="s">
        <v>332</v>
      </c>
      <c r="T173" s="23"/>
      <c r="U173" s="35" t="s">
        <v>519</v>
      </c>
      <c r="V173" s="10"/>
      <c r="W173" s="10"/>
      <c r="X173" s="23"/>
    </row>
    <row r="174">
      <c r="B174" s="25">
        <v>5.0</v>
      </c>
      <c r="C174" s="26" t="s">
        <v>520</v>
      </c>
      <c r="D174" s="18"/>
      <c r="E174" s="28" t="s">
        <v>521</v>
      </c>
      <c r="F174" s="18"/>
      <c r="G174" s="28" t="s">
        <v>119</v>
      </c>
      <c r="H174" s="18"/>
      <c r="I174" s="27" t="s">
        <v>60</v>
      </c>
      <c r="J174" s="18"/>
      <c r="K174" s="27" t="str">
        <f>CONCAT("Medium: ", CONCAT(100+(10*Level), " ft"))</f>
        <v>Medium: 110 ft</v>
      </c>
      <c r="L174" s="18"/>
      <c r="M174" s="27" t="str">
        <f>CONCAT("Stone wall whose area is up to ",CONCAT(Level, " five ft sqaures, 1 five ft sqaure/level"))</f>
        <v>Stone wall whose area is up to 1 five ft sqaures, 1 five ft sqaure/level</v>
      </c>
      <c r="N174" s="18"/>
      <c r="O174" s="27" t="s">
        <v>61</v>
      </c>
      <c r="P174" s="18"/>
      <c r="Q174" s="27" t="s">
        <v>332</v>
      </c>
      <c r="R174" s="18"/>
      <c r="S174" s="27" t="s">
        <v>63</v>
      </c>
      <c r="T174" s="18"/>
      <c r="U174" s="29" t="s">
        <v>522</v>
      </c>
      <c r="V174" s="4"/>
      <c r="W174" s="4"/>
      <c r="X174" s="18"/>
    </row>
    <row r="175">
      <c r="B175" s="43">
        <v>6.0</v>
      </c>
      <c r="C175" s="32" t="s">
        <v>523</v>
      </c>
      <c r="D175" s="23"/>
      <c r="E175" s="33" t="s">
        <v>94</v>
      </c>
      <c r="F175" s="23"/>
      <c r="G175" s="33" t="s">
        <v>59</v>
      </c>
      <c r="H175" s="23"/>
      <c r="I175" s="33" t="s">
        <v>60</v>
      </c>
      <c r="J175" s="23"/>
      <c r="K175" s="33" t="str">
        <f>medium</f>
        <v>Medium: 110 ft</v>
      </c>
      <c r="L175" s="23"/>
      <c r="M175" s="33" t="str">
        <f>CONCAT(Level," small objects, 1 object/level, see text")</f>
        <v>1 small objects, 1 object/level, see text</v>
      </c>
      <c r="N175" s="23"/>
      <c r="O175" s="33" t="str">
        <f>CONCAT(Level, " rounds
1 round/level")</f>
        <v>1 rounds
1 round/level</v>
      </c>
      <c r="P175" s="23"/>
      <c r="Q175" s="33" t="s">
        <v>62</v>
      </c>
      <c r="R175" s="23"/>
      <c r="S175" s="33" t="s">
        <v>63</v>
      </c>
      <c r="T175" s="23"/>
      <c r="U175" s="35" t="s">
        <v>524</v>
      </c>
      <c r="V175" s="10"/>
      <c r="W175" s="10"/>
      <c r="X175" s="23"/>
    </row>
    <row r="176">
      <c r="B176" s="25">
        <v>6.0</v>
      </c>
      <c r="C176" s="26" t="s">
        <v>525</v>
      </c>
      <c r="D176" s="18"/>
      <c r="E176" s="27" t="s">
        <v>110</v>
      </c>
      <c r="F176" s="18"/>
      <c r="G176" s="27" t="s">
        <v>119</v>
      </c>
      <c r="H176" s="18"/>
      <c r="I176" s="27" t="s">
        <v>142</v>
      </c>
      <c r="J176" s="18"/>
      <c r="K176" s="27" t="s">
        <v>95</v>
      </c>
      <c r="L176" s="18"/>
      <c r="M176" s="27" t="s">
        <v>526</v>
      </c>
      <c r="N176" s="18"/>
      <c r="O176" s="27" t="str">
        <f>CONCAT(Level, " minutes (D)
1 minute/level")</f>
        <v>1 minutes (D)
1 minute/level</v>
      </c>
      <c r="P176" s="18"/>
      <c r="Q176" s="27" t="s">
        <v>62</v>
      </c>
      <c r="R176" s="18"/>
      <c r="S176" s="27" t="s">
        <v>82</v>
      </c>
      <c r="T176" s="18"/>
      <c r="U176" s="29" t="s">
        <v>527</v>
      </c>
      <c r="V176" s="4"/>
      <c r="W176" s="4"/>
      <c r="X176" s="18"/>
    </row>
    <row r="177">
      <c r="B177" s="43">
        <v>6.0</v>
      </c>
      <c r="C177" s="32" t="s">
        <v>528</v>
      </c>
      <c r="D177" s="23"/>
      <c r="E177" s="33" t="s">
        <v>110</v>
      </c>
      <c r="F177" s="23"/>
      <c r="G177" s="34" t="s">
        <v>59</v>
      </c>
      <c r="H177" s="23"/>
      <c r="I177" s="33" t="s">
        <v>60</v>
      </c>
      <c r="J177" s="23"/>
      <c r="K177" s="33" t="str">
        <f>close</f>
        <v>Close: 25 ft</v>
      </c>
      <c r="L177" s="23"/>
      <c r="M177" s="33" t="s">
        <v>529</v>
      </c>
      <c r="N177" s="23"/>
      <c r="O177" s="33" t="s">
        <v>61</v>
      </c>
      <c r="P177" s="23"/>
      <c r="Q177" s="33" t="s">
        <v>86</v>
      </c>
      <c r="R177" s="23"/>
      <c r="S177" s="33" t="s">
        <v>82</v>
      </c>
      <c r="T177" s="23"/>
      <c r="U177" s="35" t="str">
        <f>"Banishes "&amp;Level*2&amp;" HD of extraplanar creatures, 2 HD/level"</f>
        <v>Banishes 2 HD of extraplanar creatures, 2 HD/level</v>
      </c>
      <c r="V177" s="10"/>
      <c r="W177" s="10"/>
      <c r="X177" s="23"/>
    </row>
    <row r="178">
      <c r="B178" s="25">
        <v>6.0</v>
      </c>
      <c r="C178" s="26" t="s">
        <v>530</v>
      </c>
      <c r="D178" s="18"/>
      <c r="E178" s="27" t="s">
        <v>94</v>
      </c>
      <c r="F178" s="18"/>
      <c r="G178" s="27" t="s">
        <v>119</v>
      </c>
      <c r="H178" s="18"/>
      <c r="I178" s="27" t="s">
        <v>60</v>
      </c>
      <c r="J178" s="18"/>
      <c r="K178" s="27" t="str">
        <f>CONCAT("Close: ", CONCAT(25+(5*FLOOR(Level/2,1)), " ft"))</f>
        <v>Close: 25 ft</v>
      </c>
      <c r="L178" s="18"/>
      <c r="M178" s="27" t="str">
        <f>CONCAT(Level," creatures, 1 creature/level, no 2 of which can be more than 30 ft apart")</f>
        <v>1 creatures, 1 creature/level, no 2 of which can be more than 30 ft apart</v>
      </c>
      <c r="N178" s="18"/>
      <c r="O178" s="27" t="str">
        <f>CONCAT(Level, " minutes
1 minute/level")</f>
        <v>1 minutes
1 minute/level</v>
      </c>
      <c r="P178" s="18"/>
      <c r="Q178" s="27" t="s">
        <v>81</v>
      </c>
      <c r="R178" s="18"/>
      <c r="S178" s="27" t="s">
        <v>82</v>
      </c>
      <c r="T178" s="18"/>
      <c r="U178" s="29" t="str">
        <f>CONCAT("As Bear's Endurance, affects ",CONCAT(Level, " subjects, 1 subject/level."))</f>
        <v>As Bear's Endurance, affects 1 subjects, 1 subject/level.</v>
      </c>
      <c r="V178" s="4"/>
      <c r="W178" s="4"/>
      <c r="X178" s="18"/>
    </row>
    <row r="179">
      <c r="B179" s="43">
        <v>6.0</v>
      </c>
      <c r="C179" s="57" t="s">
        <v>531</v>
      </c>
      <c r="D179" s="23"/>
      <c r="E179" s="34" t="s">
        <v>290</v>
      </c>
      <c r="F179" s="23"/>
      <c r="G179" s="34" t="s">
        <v>59</v>
      </c>
      <c r="H179" s="23"/>
      <c r="I179" s="33" t="s">
        <v>60</v>
      </c>
      <c r="J179" s="23"/>
      <c r="K179" s="33" t="str">
        <f>medium</f>
        <v>Medium: 110 ft</v>
      </c>
      <c r="L179" s="23"/>
      <c r="M179" s="33" t="str">
        <f>CONCAT("Wall of whirling blades up to ",CONCAT(Level*20, CONCAT(" ft long, 20 ft/level, or a ringed wall of whirling blades with a radius of up to ",CONCAT(MAX(FLOOR(Level/2,1)*5,5), " ft, 5 ft per 2 levels, either form 20 ft high"))))</f>
        <v>Wall of whirling blades up to 20 ft long, 20 ft/level, or a ringed wall of whirling blades with a radius of up to 5 ft, 5 ft per 2 levels, either form 20 ft high</v>
      </c>
      <c r="N179" s="23"/>
      <c r="O179" s="33" t="str">
        <f>CONCAT(Level, " minutes (D)
1 minute/level")</f>
        <v>1 minutes (D)
1 minute/level</v>
      </c>
      <c r="P179" s="23"/>
      <c r="Q179" s="34" t="s">
        <v>532</v>
      </c>
      <c r="R179" s="23"/>
      <c r="S179" s="33" t="s">
        <v>82</v>
      </c>
      <c r="T179" s="23"/>
      <c r="U179" s="35" t="str">
        <f>"Wall of blades deals "&amp;Level&amp;"d6 damage, 1d6/level"</f>
        <v>Wall of blades deals 1d6 damage, 1d6/level</v>
      </c>
      <c r="V179" s="10"/>
      <c r="W179" s="10"/>
      <c r="X179" s="23"/>
    </row>
    <row r="180">
      <c r="B180" s="25">
        <v>6.0</v>
      </c>
      <c r="C180" s="26" t="s">
        <v>533</v>
      </c>
      <c r="D180" s="18"/>
      <c r="E180" s="27" t="s">
        <v>94</v>
      </c>
      <c r="F180" s="18"/>
      <c r="G180" s="28" t="s">
        <v>111</v>
      </c>
      <c r="H180" s="18"/>
      <c r="I180" s="27" t="s">
        <v>60</v>
      </c>
      <c r="J180" s="18"/>
      <c r="K180" s="27" t="str">
        <f>CONCAT("Close: ", CONCAT(25+(5*FLOOR(Level/2,1)), " ft"))</f>
        <v>Close: 25 ft</v>
      </c>
      <c r="L180" s="18"/>
      <c r="M180" s="27" t="str">
        <f>CONCAT(Level," creatures, 1 creature/level, no 2 of which can be more than 30 ft apart")</f>
        <v>1 creatures, 1 creature/level, no 2 of which can be more than 30 ft apart</v>
      </c>
      <c r="N180" s="18"/>
      <c r="O180" s="27" t="str">
        <f>CONCAT(Level, " minutes
1 minute/level")</f>
        <v>1 minutes
1 minute/level</v>
      </c>
      <c r="P180" s="18"/>
      <c r="Q180" s="27" t="s">
        <v>81</v>
      </c>
      <c r="R180" s="18"/>
      <c r="S180" s="27" t="s">
        <v>113</v>
      </c>
      <c r="T180" s="18"/>
      <c r="U180" s="29" t="str">
        <f>CONCAT("As Bull's Strength, affects ",CONCAT(Level, " subjects, 1 subject/level."))</f>
        <v>As Bull's Strength, affects 1 subjects, 1 subject/level.</v>
      </c>
      <c r="V180" s="4"/>
      <c r="W180" s="4"/>
      <c r="X180" s="18"/>
    </row>
    <row r="181">
      <c r="B181" s="43">
        <v>6.0</v>
      </c>
      <c r="C181" s="32" t="s">
        <v>534</v>
      </c>
      <c r="D181" s="23"/>
      <c r="E181" s="34" t="s">
        <v>148</v>
      </c>
      <c r="F181" s="23"/>
      <c r="G181" s="33" t="s">
        <v>535</v>
      </c>
      <c r="H181" s="23"/>
      <c r="I181" s="33" t="s">
        <v>448</v>
      </c>
      <c r="J181" s="23"/>
      <c r="K181" s="33" t="str">
        <f>close</f>
        <v>Close: 25 ft</v>
      </c>
      <c r="L181" s="23"/>
      <c r="M181" s="33" t="s">
        <v>536</v>
      </c>
      <c r="N181" s="23"/>
      <c r="O181" s="33" t="s">
        <v>61</v>
      </c>
      <c r="P181" s="23"/>
      <c r="Q181" s="33" t="s">
        <v>62</v>
      </c>
      <c r="R181" s="23"/>
      <c r="S181" s="33" t="s">
        <v>63</v>
      </c>
      <c r="T181" s="23"/>
      <c r="U181" s="35" t="s">
        <v>537</v>
      </c>
      <c r="V181" s="10"/>
      <c r="W181" s="10"/>
      <c r="X181" s="23"/>
    </row>
    <row r="182">
      <c r="B182" s="25">
        <v>6.0</v>
      </c>
      <c r="C182" s="26" t="s">
        <v>538</v>
      </c>
      <c r="D182" s="18"/>
      <c r="E182" s="28" t="s">
        <v>65</v>
      </c>
      <c r="F182" s="18"/>
      <c r="G182" s="27" t="s">
        <v>59</v>
      </c>
      <c r="H182" s="18"/>
      <c r="I182" s="27" t="s">
        <v>60</v>
      </c>
      <c r="J182" s="18"/>
      <c r="K182" s="27" t="str">
        <f>CONCAT("Close: ", CONCAT(25+(5*FLOOR(IF(OR(DOne="Healing Domain",DTwo="Healing Domain"),Level+1,Level)/2,1)), " ft"))</f>
        <v>Close: 25 ft</v>
      </c>
      <c r="L182" s="18"/>
      <c r="M182" s="27" t="str">
        <f>CONCAT(IF(OR(DOne="Healing Domain",DTwo="Healing Domain"),Level+1,Level)," creatures, 1 creature/level, no 2 of which can be more than 30 ft apart")</f>
        <v>1 creatures, 1 creature/level, no 2 of which can be more than 30 ft apart</v>
      </c>
      <c r="N182" s="18"/>
      <c r="O182" s="27" t="s">
        <v>61</v>
      </c>
      <c r="P182" s="18"/>
      <c r="Q182" s="27" t="s">
        <v>456</v>
      </c>
      <c r="R182" s="18"/>
      <c r="S182" s="27" t="s">
        <v>457</v>
      </c>
      <c r="T182" s="18"/>
      <c r="U182" s="29" t="str">
        <f>CONCAT("Cures 2d8+",CONCAT(MIN(IF(OR(DOne="Healing Domain",DTwo="Healing Domain"),Level+1,Level),30)," damage for many creatures, +1/level, max +30"))</f>
        <v>Cures 2d8+1 damage for many creatures, +1/level, max +30</v>
      </c>
      <c r="V182" s="4"/>
      <c r="W182" s="4"/>
      <c r="X182" s="18"/>
    </row>
    <row r="183">
      <c r="B183" s="43">
        <v>6.0</v>
      </c>
      <c r="C183" s="32" t="s">
        <v>539</v>
      </c>
      <c r="D183" s="23"/>
      <c r="E183" s="33" t="s">
        <v>110</v>
      </c>
      <c r="F183" s="23"/>
      <c r="G183" s="33" t="s">
        <v>59</v>
      </c>
      <c r="H183" s="23"/>
      <c r="I183" s="33" t="s">
        <v>60</v>
      </c>
      <c r="J183" s="23"/>
      <c r="K183" s="33" t="str">
        <f>CONCAT("Medium: ", CONCAT(100+(10*Level), " ft"))</f>
        <v>Medium: 110 ft</v>
      </c>
      <c r="L183" s="23"/>
      <c r="M183" s="33" t="s">
        <v>327</v>
      </c>
      <c r="N183" s="23"/>
      <c r="O183" s="33" t="s">
        <v>61</v>
      </c>
      <c r="P183" s="23"/>
      <c r="Q183" s="33" t="s">
        <v>62</v>
      </c>
      <c r="R183" s="23"/>
      <c r="S183" s="33" t="s">
        <v>63</v>
      </c>
      <c r="T183" s="23"/>
      <c r="U183" s="35" t="s">
        <v>540</v>
      </c>
      <c r="V183" s="10"/>
      <c r="W183" s="10"/>
      <c r="X183" s="23"/>
    </row>
    <row r="184">
      <c r="B184" s="25">
        <v>6.0</v>
      </c>
      <c r="C184" s="26" t="s">
        <v>541</v>
      </c>
      <c r="D184" s="18"/>
      <c r="E184" s="27" t="s">
        <v>94</v>
      </c>
      <c r="F184" s="18"/>
      <c r="G184" s="28" t="s">
        <v>542</v>
      </c>
      <c r="H184" s="18"/>
      <c r="I184" s="27" t="s">
        <v>60</v>
      </c>
      <c r="J184" s="18"/>
      <c r="K184" s="27" t="str">
        <f>CONCAT("Close: ", CONCAT(25+(5*FLOOR(Level/2,1)), " ft"))</f>
        <v>Close: 25 ft</v>
      </c>
      <c r="L184" s="18"/>
      <c r="M184" s="27" t="str">
        <f>CONCAT(Level," creatures, 1 creature/level, no 2 of which can be more than 30 ft apart")</f>
        <v>1 creatures, 1 creature/level, no 2 of which can be more than 30 ft apart</v>
      </c>
      <c r="N184" s="18"/>
      <c r="O184" s="27" t="str">
        <f>CONCAT(Level, " minutes
1 minute/level")</f>
        <v>1 minutes
1 minute/level</v>
      </c>
      <c r="P184" s="18"/>
      <c r="Q184" s="27" t="s">
        <v>81</v>
      </c>
      <c r="R184" s="18"/>
      <c r="S184" s="27" t="s">
        <v>245</v>
      </c>
      <c r="T184" s="18"/>
      <c r="U184" s="29" t="str">
        <f>CONCAT("As Eagle's Splendor, affects ",CONCAT(Level, " subjects, 1 subject/level."))</f>
        <v>As Eagle's Splendor, affects 1 subjects, 1 subject/level.</v>
      </c>
      <c r="V184" s="4"/>
      <c r="W184" s="4"/>
      <c r="X184" s="18"/>
    </row>
    <row r="185">
      <c r="B185" s="43">
        <v>6.0</v>
      </c>
      <c r="C185" s="32" t="s">
        <v>543</v>
      </c>
      <c r="D185" s="23"/>
      <c r="E185" s="33" t="s">
        <v>72</v>
      </c>
      <c r="F185" s="23"/>
      <c r="G185" s="33" t="s">
        <v>104</v>
      </c>
      <c r="H185" s="23"/>
      <c r="I185" s="33" t="s">
        <v>268</v>
      </c>
      <c r="J185" s="23"/>
      <c r="K185" s="33" t="s">
        <v>544</v>
      </c>
      <c r="L185" s="23"/>
      <c r="M185" s="33" t="s">
        <v>407</v>
      </c>
      <c r="N185" s="23"/>
      <c r="O185" s="33" t="str">
        <f>CONCAT(IF(OR(DOne="Knowledge Domain",DTwo="Knowledge Domain"),Level+1,Level), " minutes
1 minute/level")</f>
        <v>1 minutes
1 minute/level</v>
      </c>
      <c r="P185" s="23"/>
      <c r="Q185" s="33" t="s">
        <v>545</v>
      </c>
      <c r="R185" s="23"/>
      <c r="S185" s="33" t="s">
        <v>546</v>
      </c>
      <c r="T185" s="23"/>
      <c r="U185" s="35" t="s">
        <v>547</v>
      </c>
      <c r="V185" s="10"/>
      <c r="W185" s="10"/>
      <c r="X185" s="23"/>
    </row>
    <row r="186">
      <c r="B186" s="25">
        <v>6.0</v>
      </c>
      <c r="C186" s="59" t="s">
        <v>548</v>
      </c>
      <c r="D186" s="18"/>
      <c r="E186" s="28" t="s">
        <v>110</v>
      </c>
      <c r="F186" s="18"/>
      <c r="G186" s="28" t="s">
        <v>549</v>
      </c>
      <c r="H186" s="18"/>
      <c r="I186" s="28" t="s">
        <v>550</v>
      </c>
      <c r="J186" s="18"/>
      <c r="K186" s="27" t="str">
        <f>medium</f>
        <v>Medium: 110 ft</v>
      </c>
      <c r="L186" s="18"/>
      <c r="M186" s="27" t="str">
        <f>Level&amp;" sixty ft cubes, 1 cube/level"</f>
        <v>1 sixty ft cubes, 1 cube/level</v>
      </c>
      <c r="N186" s="18"/>
      <c r="O186" s="28" t="s">
        <v>306</v>
      </c>
      <c r="P186" s="18"/>
      <c r="Q186" s="28" t="s">
        <v>332</v>
      </c>
      <c r="R186" s="18"/>
      <c r="S186" s="28" t="s">
        <v>82</v>
      </c>
      <c r="T186" s="18"/>
      <c r="U186" s="60" t="s">
        <v>551</v>
      </c>
      <c r="V186" s="4"/>
      <c r="W186" s="4"/>
      <c r="X186" s="18"/>
    </row>
    <row r="187">
      <c r="B187" s="43">
        <v>6.0</v>
      </c>
      <c r="C187" s="32" t="s">
        <v>552</v>
      </c>
      <c r="D187" s="23"/>
      <c r="E187" s="34" t="s">
        <v>139</v>
      </c>
      <c r="F187" s="23"/>
      <c r="G187" s="33" t="s">
        <v>140</v>
      </c>
      <c r="H187" s="23"/>
      <c r="I187" s="33" t="s">
        <v>319</v>
      </c>
      <c r="J187" s="23"/>
      <c r="K187" s="33" t="str">
        <f>close</f>
        <v>Close: 25 ft</v>
      </c>
      <c r="L187" s="23"/>
      <c r="M187" s="33" t="s">
        <v>141</v>
      </c>
      <c r="N187" s="23"/>
      <c r="O187" s="33" t="str">
        <f>Level&amp;" days or until discharged (D)
1 day/level"</f>
        <v>1 days or until discharged (D)
1 day/level</v>
      </c>
      <c r="P187" s="23"/>
      <c r="Q187" s="33" t="s">
        <v>62</v>
      </c>
      <c r="R187" s="23"/>
      <c r="S187" s="33" t="s">
        <v>82</v>
      </c>
      <c r="T187" s="23"/>
      <c r="U187" s="35" t="s">
        <v>553</v>
      </c>
      <c r="V187" s="10"/>
      <c r="W187" s="10"/>
      <c r="X187" s="23"/>
    </row>
    <row r="188">
      <c r="B188" s="25">
        <v>6.0</v>
      </c>
      <c r="C188" s="59" t="s">
        <v>554</v>
      </c>
      <c r="D188" s="18"/>
      <c r="E188" s="27" t="s">
        <v>555</v>
      </c>
      <c r="F188" s="18"/>
      <c r="G188" s="28" t="s">
        <v>556</v>
      </c>
      <c r="H188" s="18"/>
      <c r="I188" s="28" t="s">
        <v>319</v>
      </c>
      <c r="J188" s="18"/>
      <c r="K188" s="28" t="s">
        <v>66</v>
      </c>
      <c r="L188" s="18"/>
      <c r="M188" s="27" t="str">
        <f>"Object touched or up to "&amp;Level*5&amp;" sq ft, 5 sq ft/level"</f>
        <v>Object touched or up to 5 sq ft, 5 sq ft/level</v>
      </c>
      <c r="N188" s="18"/>
      <c r="O188" s="28" t="s">
        <v>331</v>
      </c>
      <c r="P188" s="18"/>
      <c r="Q188" s="28" t="s">
        <v>332</v>
      </c>
      <c r="R188" s="18"/>
      <c r="S188" s="28" t="s">
        <v>333</v>
      </c>
      <c r="T188" s="18"/>
      <c r="U188" s="60" t="s">
        <v>557</v>
      </c>
      <c r="V188" s="4"/>
      <c r="W188" s="4"/>
      <c r="X188" s="18"/>
    </row>
    <row r="189">
      <c r="B189" s="43">
        <v>6.0</v>
      </c>
      <c r="C189" s="57" t="s">
        <v>558</v>
      </c>
      <c r="D189" s="23"/>
      <c r="E189" s="34" t="s">
        <v>85</v>
      </c>
      <c r="F189" s="23"/>
      <c r="G189" s="33" t="s">
        <v>59</v>
      </c>
      <c r="H189" s="23"/>
      <c r="I189" s="33" t="s">
        <v>60</v>
      </c>
      <c r="J189" s="23"/>
      <c r="K189" s="33" t="s">
        <v>66</v>
      </c>
      <c r="L189" s="23"/>
      <c r="M189" s="33" t="s">
        <v>166</v>
      </c>
      <c r="N189" s="23"/>
      <c r="O189" s="33" t="s">
        <v>61</v>
      </c>
      <c r="P189" s="23"/>
      <c r="Q189" s="34" t="s">
        <v>174</v>
      </c>
      <c r="R189" s="23"/>
      <c r="S189" s="34" t="s">
        <v>82</v>
      </c>
      <c r="T189" s="23"/>
      <c r="U189" s="35" t="str">
        <f>CONCAT("Deals ",CONCAT(Level*10," points of damage to target, 10 points/level"))</f>
        <v>Deals 10 points of damage to target, 10 points/level</v>
      </c>
      <c r="V189" s="10"/>
      <c r="W189" s="10"/>
      <c r="X189" s="23"/>
    </row>
    <row r="190">
      <c r="B190" s="25">
        <v>6.0</v>
      </c>
      <c r="C190" s="26" t="s">
        <v>559</v>
      </c>
      <c r="D190" s="18"/>
      <c r="E190" s="28" t="s">
        <v>65</v>
      </c>
      <c r="F190" s="18"/>
      <c r="G190" s="27" t="s">
        <v>59</v>
      </c>
      <c r="H190" s="18"/>
      <c r="I190" s="27" t="s">
        <v>60</v>
      </c>
      <c r="J190" s="18"/>
      <c r="K190" s="27" t="s">
        <v>66</v>
      </c>
      <c r="L190" s="18"/>
      <c r="M190" s="27" t="s">
        <v>166</v>
      </c>
      <c r="N190" s="18"/>
      <c r="O190" s="27" t="s">
        <v>61</v>
      </c>
      <c r="P190" s="18"/>
      <c r="Q190" s="27" t="s">
        <v>81</v>
      </c>
      <c r="R190" s="18"/>
      <c r="S190" s="27" t="s">
        <v>113</v>
      </c>
      <c r="T190" s="18"/>
      <c r="U190" s="29" t="str">
        <f>CONCAT("Cures ",CONCAT(IF(OR(DOne="Healing Domain",DTwo="Healing Domain"),Level+1,Level)*10," points of damage, 10 points/level, all diseases and medical conditions"))</f>
        <v>Cures 10 points of damage, 10 points/level, all diseases and medical conditions</v>
      </c>
      <c r="V190" s="4"/>
      <c r="W190" s="4"/>
      <c r="X190" s="18"/>
    </row>
    <row r="191">
      <c r="B191" s="43">
        <v>6.0</v>
      </c>
      <c r="C191" s="32" t="s">
        <v>560</v>
      </c>
      <c r="D191" s="23"/>
      <c r="E191" s="34" t="s">
        <v>183</v>
      </c>
      <c r="F191" s="23"/>
      <c r="G191" s="34" t="s">
        <v>119</v>
      </c>
      <c r="H191" s="23"/>
      <c r="I191" s="33" t="s">
        <v>319</v>
      </c>
      <c r="J191" s="23"/>
      <c r="K191" s="33" t="str">
        <f>close</f>
        <v>Close: 25 ft</v>
      </c>
      <c r="L191" s="23"/>
      <c r="M191" s="33" t="str">
        <f>"Feast for "&amp;Level&amp;" creatures, 1 creature/level"</f>
        <v>Feast for 1 creatures, 1 creature/level</v>
      </c>
      <c r="N191" s="23"/>
      <c r="O191" s="33" t="s">
        <v>561</v>
      </c>
      <c r="P191" s="23"/>
      <c r="Q191" s="33" t="s">
        <v>62</v>
      </c>
      <c r="R191" s="23"/>
      <c r="S191" s="33" t="s">
        <v>63</v>
      </c>
      <c r="T191" s="23"/>
      <c r="U191" s="35" t="str">
        <f>"Food for "&amp;Level&amp;" creatures, 1 creature/level, cures and grants combat bonuses"</f>
        <v>Food for 1 creatures, 1 creature/level, cures and grants combat bonuses</v>
      </c>
      <c r="V191" s="10"/>
      <c r="W191" s="10"/>
      <c r="X191" s="23"/>
    </row>
    <row r="192">
      <c r="B192" s="25">
        <v>6.0</v>
      </c>
      <c r="C192" s="59" t="s">
        <v>562</v>
      </c>
      <c r="D192" s="18"/>
      <c r="E192" s="28" t="s">
        <v>85</v>
      </c>
      <c r="F192" s="18"/>
      <c r="G192" s="27" t="s">
        <v>59</v>
      </c>
      <c r="H192" s="18"/>
      <c r="I192" s="27" t="s">
        <v>60</v>
      </c>
      <c r="J192" s="18"/>
      <c r="K192" s="27" t="str">
        <f>CONCAT("Close: ", CONCAT(25+(5*FLOOR(Level/2,1)), " ft"))</f>
        <v>Close: 25 ft</v>
      </c>
      <c r="L192" s="18"/>
      <c r="M192" s="27" t="str">
        <f>CONCAT(Level," creatures, 1 creature/level, no 2 of which can be more than 30 ft apart")</f>
        <v>1 creatures, 1 creature/level, no 2 of which can be more than 30 ft apart</v>
      </c>
      <c r="N192" s="18"/>
      <c r="O192" s="27" t="s">
        <v>61</v>
      </c>
      <c r="P192" s="18"/>
      <c r="Q192" s="28" t="s">
        <v>174</v>
      </c>
      <c r="R192" s="18"/>
      <c r="S192" s="28" t="s">
        <v>82</v>
      </c>
      <c r="T192" s="18"/>
      <c r="U192" s="29" t="str">
        <f>CONCAT("Deals 2d8+",CONCAT(MIN(Level,30)," damage to many creatures, +1/level, max +30"))</f>
        <v>Deals 2d8+1 damage to many creatures, +1/level, max +30</v>
      </c>
      <c r="V192" s="4"/>
      <c r="W192" s="4"/>
      <c r="X192" s="18"/>
    </row>
    <row r="193">
      <c r="B193" s="43">
        <v>6.0</v>
      </c>
      <c r="C193" s="32" t="s">
        <v>563</v>
      </c>
      <c r="D193" s="23"/>
      <c r="E193" s="33" t="s">
        <v>94</v>
      </c>
      <c r="F193" s="23"/>
      <c r="G193" s="34" t="s">
        <v>119</v>
      </c>
      <c r="H193" s="23"/>
      <c r="I193" s="33" t="s">
        <v>60</v>
      </c>
      <c r="J193" s="23"/>
      <c r="K193" s="33" t="str">
        <f>CONCAT("Close: ", CONCAT(25+(5*FLOOR(Level/2,1)), " ft"))</f>
        <v>Close: 25 ft</v>
      </c>
      <c r="L193" s="23"/>
      <c r="M193" s="33" t="str">
        <f>CONCAT(Level," creatures, 1 creature/level, no 2 of which can be more than 30 ft apart")</f>
        <v>1 creatures, 1 creature/level, no 2 of which can be more than 30 ft apart</v>
      </c>
      <c r="N193" s="23"/>
      <c r="O193" s="33" t="str">
        <f>CONCAT(Level, " minutes
1 minute/level")</f>
        <v>1 minutes
1 minute/level</v>
      </c>
      <c r="P193" s="23"/>
      <c r="Q193" s="33" t="s">
        <v>81</v>
      </c>
      <c r="R193" s="23"/>
      <c r="S193" s="33" t="s">
        <v>245</v>
      </c>
      <c r="T193" s="23"/>
      <c r="U193" s="35" t="str">
        <f>CONCAT("As Owl's Wisdom, affects ",CONCAT(Level, " subjects, 1 subject/level."))</f>
        <v>As Owl's Wisdom, affects 1 subjects, 1 subject/level.</v>
      </c>
      <c r="V193" s="10"/>
      <c r="W193" s="10"/>
      <c r="X193" s="23"/>
    </row>
    <row r="194">
      <c r="B194" s="25">
        <v>6.0</v>
      </c>
      <c r="C194" s="59" t="s">
        <v>564</v>
      </c>
      <c r="D194" s="18"/>
      <c r="E194" s="28" t="s">
        <v>424</v>
      </c>
      <c r="F194" s="18"/>
      <c r="G194" s="28" t="s">
        <v>425</v>
      </c>
      <c r="H194" s="18"/>
      <c r="I194" s="28" t="s">
        <v>319</v>
      </c>
      <c r="J194" s="18"/>
      <c r="K194" s="27" t="str">
        <f>close</f>
        <v>Close: 25 ft</v>
      </c>
      <c r="L194" s="18"/>
      <c r="M194" s="28" t="s">
        <v>565</v>
      </c>
      <c r="N194" s="18"/>
      <c r="O194" s="28" t="s">
        <v>61</v>
      </c>
      <c r="P194" s="18"/>
      <c r="Q194" s="28" t="s">
        <v>62</v>
      </c>
      <c r="R194" s="18"/>
      <c r="S194" s="28" t="s">
        <v>63</v>
      </c>
      <c r="T194" s="18"/>
      <c r="U194" s="60" t="s">
        <v>566</v>
      </c>
      <c r="V194" s="4"/>
      <c r="W194" s="4"/>
      <c r="X194" s="18"/>
    </row>
    <row r="195">
      <c r="B195" s="43">
        <v>6.0</v>
      </c>
      <c r="C195" s="32" t="s">
        <v>567</v>
      </c>
      <c r="D195" s="23"/>
      <c r="E195" s="34" t="s">
        <v>205</v>
      </c>
      <c r="F195" s="23"/>
      <c r="G195" s="34" t="s">
        <v>119</v>
      </c>
      <c r="H195" s="23"/>
      <c r="I195" s="33" t="s">
        <v>142</v>
      </c>
      <c r="J195" s="23"/>
      <c r="K195" s="33" t="str">
        <f>close</f>
        <v>Close: 25 ft</v>
      </c>
      <c r="L195" s="23"/>
      <c r="M195" s="33" t="s">
        <v>206</v>
      </c>
      <c r="N195" s="23"/>
      <c r="O195" s="33" t="str">
        <f>Level&amp;" rounds (D)
1 round/level"</f>
        <v>1 rounds (D)
1 round/level</v>
      </c>
      <c r="P195" s="23"/>
      <c r="Q195" s="33" t="s">
        <v>62</v>
      </c>
      <c r="R195" s="23"/>
      <c r="S195" s="33" t="s">
        <v>63</v>
      </c>
      <c r="T195" s="23"/>
      <c r="U195" s="35" t="s">
        <v>207</v>
      </c>
      <c r="V195" s="10"/>
      <c r="W195" s="10"/>
      <c r="X195" s="23"/>
    </row>
    <row r="196">
      <c r="B196" s="25">
        <v>6.0</v>
      </c>
      <c r="C196" s="26" t="s">
        <v>568</v>
      </c>
      <c r="D196" s="18"/>
      <c r="E196" s="28" t="s">
        <v>133</v>
      </c>
      <c r="F196" s="18"/>
      <c r="G196" s="27" t="s">
        <v>505</v>
      </c>
      <c r="H196" s="18"/>
      <c r="I196" s="27" t="s">
        <v>319</v>
      </c>
      <c r="J196" s="18"/>
      <c r="K196" s="27" t="s">
        <v>506</v>
      </c>
      <c r="L196" s="18"/>
      <c r="M196" s="27" t="s">
        <v>507</v>
      </c>
      <c r="N196" s="18"/>
      <c r="O196" s="27" t="s">
        <v>332</v>
      </c>
      <c r="P196" s="18"/>
      <c r="Q196" s="27" t="s">
        <v>86</v>
      </c>
      <c r="R196" s="18"/>
      <c r="S196" s="27" t="s">
        <v>82</v>
      </c>
      <c r="T196" s="18"/>
      <c r="U196" s="29" t="s">
        <v>569</v>
      </c>
      <c r="V196" s="4"/>
      <c r="W196" s="4"/>
      <c r="X196" s="18"/>
    </row>
    <row r="197">
      <c r="B197" s="43">
        <v>6.0</v>
      </c>
      <c r="C197" s="32" t="s">
        <v>570</v>
      </c>
      <c r="D197" s="23"/>
      <c r="E197" s="34" t="s">
        <v>571</v>
      </c>
      <c r="F197" s="23"/>
      <c r="G197" s="33" t="s">
        <v>572</v>
      </c>
      <c r="H197" s="23"/>
      <c r="I197" s="33" t="s">
        <v>319</v>
      </c>
      <c r="J197" s="23"/>
      <c r="K197" s="33" t="s">
        <v>506</v>
      </c>
      <c r="L197" s="23"/>
      <c r="M197" s="33" t="s">
        <v>507</v>
      </c>
      <c r="N197" s="23"/>
      <c r="O197" s="33" t="s">
        <v>332</v>
      </c>
      <c r="P197" s="23"/>
      <c r="Q197" s="33" t="s">
        <v>86</v>
      </c>
      <c r="R197" s="23"/>
      <c r="S197" s="33" t="s">
        <v>82</v>
      </c>
      <c r="T197" s="23"/>
      <c r="U197" s="35" t="s">
        <v>573</v>
      </c>
      <c r="V197" s="10"/>
      <c r="W197" s="10"/>
      <c r="X197" s="23"/>
    </row>
    <row r="198">
      <c r="B198" s="25">
        <v>6.0</v>
      </c>
      <c r="C198" s="26" t="s">
        <v>574</v>
      </c>
      <c r="D198" s="18"/>
      <c r="E198" s="27" t="s">
        <v>85</v>
      </c>
      <c r="F198" s="18"/>
      <c r="G198" s="28" t="s">
        <v>119</v>
      </c>
      <c r="H198" s="18"/>
      <c r="I198" s="27" t="s">
        <v>60</v>
      </c>
      <c r="J198" s="18"/>
      <c r="K198" s="27" t="str">
        <f>medium</f>
        <v>Medium: 110 ft</v>
      </c>
      <c r="L198" s="18"/>
      <c r="M198" s="27" t="s">
        <v>575</v>
      </c>
      <c r="N198" s="18"/>
      <c r="O198" s="27" t="s">
        <v>61</v>
      </c>
      <c r="P198" s="18"/>
      <c r="Q198" s="27" t="s">
        <v>86</v>
      </c>
      <c r="R198" s="18"/>
      <c r="S198" s="27" t="s">
        <v>82</v>
      </c>
      <c r="T198" s="18"/>
      <c r="U198" s="29" t="str">
        <f>"Destroys "&amp;MIN(Level,20)&amp;"d4 HD of undead, 1d4 HD/level, max 20d4"</f>
        <v>Destroys 1d4 HD of undead, 1d4 HD/level, max 20d4</v>
      </c>
      <c r="V198" s="4"/>
      <c r="W198" s="4"/>
      <c r="X198" s="18"/>
    </row>
    <row r="199">
      <c r="B199" s="43">
        <v>6.0</v>
      </c>
      <c r="C199" s="32" t="s">
        <v>576</v>
      </c>
      <c r="D199" s="23"/>
      <c r="E199" s="34" t="s">
        <v>387</v>
      </c>
      <c r="F199" s="23"/>
      <c r="G199" s="33" t="s">
        <v>119</v>
      </c>
      <c r="H199" s="23"/>
      <c r="I199" s="33" t="s">
        <v>60</v>
      </c>
      <c r="J199" s="23"/>
      <c r="K199" s="33" t="s">
        <v>66</v>
      </c>
      <c r="L199" s="23"/>
      <c r="M199" s="33" t="str">
        <f>CONCAT("You and ",CONCAT(MAX(FLOOR(Level/3,1),1), " touched creatures, 1 creature per 3 levels"))</f>
        <v>You and 1 touched creatures, 1 creature per 3 levels</v>
      </c>
      <c r="N199" s="23"/>
      <c r="O199" s="33" t="str">
        <f>CONCAT(Level, " hours (D)
1 hour/level
see text")</f>
        <v>1 hours (D)
1 hour/level
see text</v>
      </c>
      <c r="P199" s="23"/>
      <c r="Q199" s="33" t="s">
        <v>577</v>
      </c>
      <c r="R199" s="23"/>
      <c r="S199" s="33" t="s">
        <v>578</v>
      </c>
      <c r="T199" s="23"/>
      <c r="U199" s="35" t="s">
        <v>579</v>
      </c>
      <c r="V199" s="10"/>
      <c r="W199" s="10"/>
      <c r="X199" s="23"/>
    </row>
    <row r="200">
      <c r="B200" s="25">
        <v>6.0</v>
      </c>
      <c r="C200" s="26" t="s">
        <v>580</v>
      </c>
      <c r="D200" s="18"/>
      <c r="E200" s="28" t="s">
        <v>487</v>
      </c>
      <c r="F200" s="18"/>
      <c r="G200" s="27" t="s">
        <v>140</v>
      </c>
      <c r="H200" s="18"/>
      <c r="I200" s="27" t="s">
        <v>60</v>
      </c>
      <c r="J200" s="18"/>
      <c r="K200" s="27" t="s">
        <v>581</v>
      </c>
      <c r="L200" s="18"/>
      <c r="M200" s="27" t="s">
        <v>582</v>
      </c>
      <c r="N200" s="18"/>
      <c r="O200" s="27" t="s">
        <v>61</v>
      </c>
      <c r="P200" s="18"/>
      <c r="Q200" s="27" t="s">
        <v>583</v>
      </c>
      <c r="R200" s="18"/>
      <c r="S200" s="27" t="s">
        <v>584</v>
      </c>
      <c r="T200" s="18"/>
      <c r="U200" s="29" t="s">
        <v>585</v>
      </c>
      <c r="V200" s="4"/>
      <c r="W200" s="4"/>
      <c r="X200" s="18"/>
    </row>
    <row r="201">
      <c r="B201" s="43">
        <v>7.0</v>
      </c>
      <c r="C201" s="57" t="s">
        <v>586</v>
      </c>
      <c r="D201" s="23"/>
      <c r="E201" s="34" t="s">
        <v>587</v>
      </c>
      <c r="F201" s="23"/>
      <c r="G201" s="34" t="s">
        <v>140</v>
      </c>
      <c r="H201" s="23"/>
      <c r="I201" s="34" t="s">
        <v>60</v>
      </c>
      <c r="J201" s="23"/>
      <c r="K201" s="34" t="s">
        <v>357</v>
      </c>
      <c r="L201" s="23"/>
      <c r="M201" s="34" t="s">
        <v>588</v>
      </c>
      <c r="N201" s="23"/>
      <c r="O201" s="34" t="s">
        <v>61</v>
      </c>
      <c r="P201" s="23"/>
      <c r="Q201" s="34" t="s">
        <v>434</v>
      </c>
      <c r="R201" s="23"/>
      <c r="S201" s="34" t="s">
        <v>82</v>
      </c>
      <c r="T201" s="23"/>
      <c r="U201" s="58" t="s">
        <v>589</v>
      </c>
      <c r="V201" s="10"/>
      <c r="W201" s="10"/>
      <c r="X201" s="23"/>
    </row>
    <row r="202">
      <c r="B202" s="25">
        <v>7.0</v>
      </c>
      <c r="C202" s="26" t="s">
        <v>590</v>
      </c>
      <c r="D202" s="18"/>
      <c r="E202" s="27" t="s">
        <v>94</v>
      </c>
      <c r="F202" s="18"/>
      <c r="G202" s="27" t="s">
        <v>59</v>
      </c>
      <c r="H202" s="18"/>
      <c r="I202" s="27" t="s">
        <v>198</v>
      </c>
      <c r="J202" s="18"/>
      <c r="K202" s="27" t="s">
        <v>591</v>
      </c>
      <c r="L202" s="18"/>
      <c r="M202" s="27" t="s">
        <v>592</v>
      </c>
      <c r="N202" s="18"/>
      <c r="O202" s="27" t="s">
        <v>593</v>
      </c>
      <c r="P202" s="18"/>
      <c r="Q202" s="27" t="s">
        <v>62</v>
      </c>
      <c r="R202" s="18"/>
      <c r="S202" s="27" t="s">
        <v>63</v>
      </c>
      <c r="T202" s="18"/>
      <c r="U202" s="29" t="s">
        <v>594</v>
      </c>
      <c r="V202" s="4"/>
      <c r="W202" s="4"/>
      <c r="X202" s="18"/>
    </row>
    <row r="203">
      <c r="B203" s="43">
        <v>7.0</v>
      </c>
      <c r="C203" s="32" t="s">
        <v>595</v>
      </c>
      <c r="D203" s="23"/>
      <c r="E203" s="34" t="s">
        <v>65</v>
      </c>
      <c r="F203" s="23"/>
      <c r="G203" s="33" t="s">
        <v>59</v>
      </c>
      <c r="H203" s="23"/>
      <c r="I203" s="33" t="s">
        <v>60</v>
      </c>
      <c r="J203" s="23"/>
      <c r="K203" s="33" t="str">
        <f>CONCAT("Close: ", CONCAT(25+(5*FLOOR(IF(OR(DOne="Healing Domain",DTwo="Healing Domain"),Level+1,Level)/2,1)), " ft"))</f>
        <v>Close: 25 ft</v>
      </c>
      <c r="L203" s="23"/>
      <c r="M203" s="33" t="str">
        <f>CONCAT(IF(OR(DOne="Healing Domain",DTwo="Healing Domain"),Level+1,Level)," creatures, 1 creature/level, no 2 of which can be more than 30 ft apart")</f>
        <v>1 creatures, 1 creature/level, no 2 of which can be more than 30 ft apart</v>
      </c>
      <c r="N203" s="23"/>
      <c r="O203" s="33" t="s">
        <v>61</v>
      </c>
      <c r="P203" s="23"/>
      <c r="Q203" s="33" t="s">
        <v>456</v>
      </c>
      <c r="R203" s="23"/>
      <c r="S203" s="33" t="s">
        <v>457</v>
      </c>
      <c r="T203" s="23"/>
      <c r="U203" s="35" t="str">
        <f>CONCAT("Cures 3d8+",CONCAT(MIN(IF(OR(DOne="Healing Domain",DTwo="Healing Domain"),Level+1,Level),35)," damage for many creatures, +1/level, max +35"))</f>
        <v>Cures 3d8+1 damage for many creatures, +1/level, max +35</v>
      </c>
      <c r="V203" s="10"/>
      <c r="W203" s="10"/>
      <c r="X203" s="23"/>
    </row>
    <row r="204">
      <c r="B204" s="25">
        <v>7.0</v>
      </c>
      <c r="C204" s="59" t="s">
        <v>596</v>
      </c>
      <c r="D204" s="18"/>
      <c r="E204" s="28" t="s">
        <v>501</v>
      </c>
      <c r="F204" s="18"/>
      <c r="G204" s="28" t="s">
        <v>597</v>
      </c>
      <c r="H204" s="18"/>
      <c r="I204" s="27" t="s">
        <v>60</v>
      </c>
      <c r="J204" s="18"/>
      <c r="K204" s="27" t="str">
        <f>close</f>
        <v>Close: 25 ft</v>
      </c>
      <c r="L204" s="18"/>
      <c r="M204" s="28" t="s">
        <v>277</v>
      </c>
      <c r="N204" s="18"/>
      <c r="O204" s="28" t="s">
        <v>61</v>
      </c>
      <c r="P204" s="18"/>
      <c r="Q204" s="28" t="s">
        <v>287</v>
      </c>
      <c r="R204" s="18"/>
      <c r="S204" s="28" t="s">
        <v>82</v>
      </c>
      <c r="T204" s="18"/>
      <c r="U204" s="60" t="s">
        <v>598</v>
      </c>
      <c r="V204" s="4"/>
      <c r="W204" s="4"/>
      <c r="X204" s="18"/>
    </row>
    <row r="205">
      <c r="B205" s="43">
        <v>7.0</v>
      </c>
      <c r="C205" s="57" t="s">
        <v>599</v>
      </c>
      <c r="D205" s="23"/>
      <c r="E205" s="34" t="s">
        <v>600</v>
      </c>
      <c r="F205" s="23"/>
      <c r="G205" s="34" t="s">
        <v>140</v>
      </c>
      <c r="H205" s="23"/>
      <c r="I205" s="33" t="s">
        <v>60</v>
      </c>
      <c r="J205" s="23"/>
      <c r="K205" s="34" t="s">
        <v>357</v>
      </c>
      <c r="L205" s="23"/>
      <c r="M205" s="34" t="s">
        <v>601</v>
      </c>
      <c r="N205" s="23"/>
      <c r="O205" s="34" t="s">
        <v>61</v>
      </c>
      <c r="P205" s="23"/>
      <c r="Q205" s="34" t="s">
        <v>434</v>
      </c>
      <c r="R205" s="23"/>
      <c r="S205" s="34" t="s">
        <v>82</v>
      </c>
      <c r="T205" s="23"/>
      <c r="U205" s="58" t="s">
        <v>602</v>
      </c>
      <c r="V205" s="10"/>
      <c r="W205" s="10"/>
      <c r="X205" s="23"/>
    </row>
    <row r="206">
      <c r="B206" s="25">
        <v>7.0</v>
      </c>
      <c r="C206" s="26" t="s">
        <v>603</v>
      </c>
      <c r="D206" s="18"/>
      <c r="E206" s="27" t="s">
        <v>94</v>
      </c>
      <c r="F206" s="18"/>
      <c r="G206" s="27" t="s">
        <v>59</v>
      </c>
      <c r="H206" s="18"/>
      <c r="I206" s="27" t="s">
        <v>60</v>
      </c>
      <c r="J206" s="18"/>
      <c r="K206" s="27" t="s">
        <v>105</v>
      </c>
      <c r="L206" s="18"/>
      <c r="M206" s="27" t="s">
        <v>106</v>
      </c>
      <c r="N206" s="18"/>
      <c r="O206" s="27" t="str">
        <f>Level&amp;" rounds (D)
1 round/level"</f>
        <v>1 rounds (D)
1 round/level</v>
      </c>
      <c r="P206" s="18"/>
      <c r="Q206" s="27" t="s">
        <v>107</v>
      </c>
      <c r="R206" s="18"/>
      <c r="S206" s="27" t="s">
        <v>107</v>
      </c>
      <c r="T206" s="18"/>
      <c r="U206" s="29" t="str">
        <f>"You become ethereal for "&amp;Level&amp;" rounds, 1 round/level"</f>
        <v>You become ethereal for 1 rounds, 1 round/level</v>
      </c>
      <c r="V206" s="4"/>
      <c r="W206" s="4"/>
      <c r="X206" s="18"/>
    </row>
    <row r="207">
      <c r="B207" s="43">
        <v>7.0</v>
      </c>
      <c r="C207" s="57" t="s">
        <v>604</v>
      </c>
      <c r="D207" s="23"/>
      <c r="E207" s="34" t="s">
        <v>605</v>
      </c>
      <c r="F207" s="23"/>
      <c r="G207" s="34" t="s">
        <v>140</v>
      </c>
      <c r="H207" s="23"/>
      <c r="I207" s="33" t="s">
        <v>60</v>
      </c>
      <c r="J207" s="23"/>
      <c r="K207" s="34" t="s">
        <v>357</v>
      </c>
      <c r="L207" s="23"/>
      <c r="M207" s="34" t="s">
        <v>606</v>
      </c>
      <c r="N207" s="23"/>
      <c r="O207" s="34" t="s">
        <v>61</v>
      </c>
      <c r="P207" s="23"/>
      <c r="Q207" s="34" t="s">
        <v>434</v>
      </c>
      <c r="R207" s="23"/>
      <c r="S207" s="34" t="s">
        <v>82</v>
      </c>
      <c r="T207" s="23"/>
      <c r="U207" s="58" t="s">
        <v>607</v>
      </c>
      <c r="V207" s="10"/>
      <c r="W207" s="10"/>
      <c r="X207" s="23"/>
    </row>
    <row r="208">
      <c r="B208" s="25">
        <v>7.0</v>
      </c>
      <c r="C208" s="59" t="s">
        <v>608</v>
      </c>
      <c r="D208" s="18"/>
      <c r="E208" s="28" t="s">
        <v>85</v>
      </c>
      <c r="F208" s="18"/>
      <c r="G208" s="27" t="s">
        <v>59</v>
      </c>
      <c r="H208" s="18"/>
      <c r="I208" s="27" t="s">
        <v>60</v>
      </c>
      <c r="J208" s="18"/>
      <c r="K208" s="27" t="str">
        <f>CONCAT("Close: ", CONCAT(25+(5*FLOOR(Level/2,1)), " ft"))</f>
        <v>Close: 25 ft</v>
      </c>
      <c r="L208" s="18"/>
      <c r="M208" s="27" t="str">
        <f>CONCAT(Level," creatures, 1 creature/level, no 2 of which can be more than 30 ft apart")</f>
        <v>1 creatures, 1 creature/level, no 2 of which can be more than 30 ft apart</v>
      </c>
      <c r="N208" s="18"/>
      <c r="O208" s="27" t="s">
        <v>61</v>
      </c>
      <c r="P208" s="18"/>
      <c r="Q208" s="28" t="s">
        <v>174</v>
      </c>
      <c r="R208" s="18"/>
      <c r="S208" s="28" t="s">
        <v>82</v>
      </c>
      <c r="T208" s="18"/>
      <c r="U208" s="29" t="str">
        <f>CONCAT("Deals 3d8+",CONCAT(MIN(Level,35)," damage to many creatures, +1/level, max +35"))</f>
        <v>Deals 3d8+1 damage to many creatures, +1/level, max +35</v>
      </c>
      <c r="V208" s="4"/>
      <c r="W208" s="4"/>
      <c r="X208" s="18"/>
    </row>
    <row r="209">
      <c r="B209" s="43">
        <v>7.0</v>
      </c>
      <c r="C209" s="32" t="s">
        <v>609</v>
      </c>
      <c r="D209" s="23"/>
      <c r="E209" s="34" t="s">
        <v>487</v>
      </c>
      <c r="F209" s="23"/>
      <c r="G209" s="33" t="s">
        <v>610</v>
      </c>
      <c r="H209" s="23"/>
      <c r="I209" s="33" t="s">
        <v>60</v>
      </c>
      <c r="J209" s="23"/>
      <c r="K209" s="33" t="s">
        <v>66</v>
      </c>
      <c r="L209" s="23"/>
      <c r="M209" s="33" t="s">
        <v>611</v>
      </c>
      <c r="N209" s="23"/>
      <c r="O209" s="33" t="s">
        <v>612</v>
      </c>
      <c r="P209" s="23"/>
      <c r="Q209" s="33" t="s">
        <v>62</v>
      </c>
      <c r="R209" s="23"/>
      <c r="S209" s="33" t="s">
        <v>63</v>
      </c>
      <c r="T209" s="23"/>
      <c r="U209" s="35" t="s">
        <v>613</v>
      </c>
      <c r="V209" s="10"/>
      <c r="W209" s="10"/>
      <c r="X209" s="23"/>
    </row>
    <row r="210">
      <c r="B210" s="25">
        <v>7.0</v>
      </c>
      <c r="C210" s="26" t="s">
        <v>614</v>
      </c>
      <c r="D210" s="18"/>
      <c r="E210" s="28" t="s">
        <v>65</v>
      </c>
      <c r="F210" s="18"/>
      <c r="G210" s="27" t="s">
        <v>119</v>
      </c>
      <c r="H210" s="18"/>
      <c r="I210" s="27" t="s">
        <v>615</v>
      </c>
      <c r="J210" s="18"/>
      <c r="K210" s="27" t="s">
        <v>66</v>
      </c>
      <c r="L210" s="18"/>
      <c r="M210" s="27" t="s">
        <v>210</v>
      </c>
      <c r="N210" s="18"/>
      <c r="O210" s="27" t="s">
        <v>61</v>
      </c>
      <c r="P210" s="18"/>
      <c r="Q210" s="27" t="s">
        <v>239</v>
      </c>
      <c r="R210" s="18"/>
      <c r="S210" s="27" t="s">
        <v>113</v>
      </c>
      <c r="T210" s="18"/>
      <c r="U210" s="29" t="str">
        <f>CONCAT("Subject's severed limbs grow back, cures 4d8+",CONCAT(MIN(IF(OR(DOne="Healing Domain",DTwo="Healing Domain"),Level+1,Level),35)," damage, +1/level, max +35"))</f>
        <v>Subject's severed limbs grow back, cures 4d8+1 damage, +1/level, max +35</v>
      </c>
      <c r="V210" s="4"/>
      <c r="W210" s="4"/>
      <c r="X210" s="18"/>
    </row>
    <row r="211">
      <c r="B211" s="43">
        <v>7.0</v>
      </c>
      <c r="C211" s="32" t="s">
        <v>616</v>
      </c>
      <c r="D211" s="23"/>
      <c r="E211" s="33" t="s">
        <v>110</v>
      </c>
      <c r="F211" s="23"/>
      <c r="G211" s="33" t="s">
        <v>617</v>
      </c>
      <c r="H211" s="23"/>
      <c r="I211" s="33" t="s">
        <v>60</v>
      </c>
      <c r="J211" s="23"/>
      <c r="K211" s="33" t="str">
        <f>"Up to "&amp;Level*10&amp;" ft
10 ft/level"</f>
        <v>Up to 10 ft
10 ft/level</v>
      </c>
      <c r="L211" s="23"/>
      <c r="M211" s="33" t="str">
        <f>"Up to "&amp;Level*10&amp;" ft radius emanation centered on you, 10 ft/level"</f>
        <v>Up to 10 ft radius emanation centered on you, 10 ft/level</v>
      </c>
      <c r="N211" s="23"/>
      <c r="O211" s="33" t="str">
        <f>CONCAT(Level, " rounds (D)
1 round/level")</f>
        <v>1 rounds (D)
1 round/level</v>
      </c>
      <c r="P211" s="23"/>
      <c r="Q211" s="33" t="s">
        <v>86</v>
      </c>
      <c r="R211" s="23"/>
      <c r="S211" s="33" t="s">
        <v>82</v>
      </c>
      <c r="T211" s="23"/>
      <c r="U211" s="35" t="s">
        <v>618</v>
      </c>
      <c r="V211" s="10"/>
      <c r="W211" s="10"/>
      <c r="X211" s="23"/>
    </row>
    <row r="212">
      <c r="B212" s="25">
        <v>7.0</v>
      </c>
      <c r="C212" s="59" t="s">
        <v>619</v>
      </c>
      <c r="D212" s="18"/>
      <c r="E212" s="28" t="s">
        <v>65</v>
      </c>
      <c r="F212" s="18"/>
      <c r="G212" s="28" t="s">
        <v>620</v>
      </c>
      <c r="H212" s="18"/>
      <c r="I212" s="28" t="s">
        <v>319</v>
      </c>
      <c r="J212" s="18"/>
      <c r="K212" s="27" t="s">
        <v>66</v>
      </c>
      <c r="L212" s="18"/>
      <c r="M212" s="27" t="s">
        <v>166</v>
      </c>
      <c r="N212" s="18"/>
      <c r="O212" s="27" t="s">
        <v>61</v>
      </c>
      <c r="P212" s="18"/>
      <c r="Q212" s="27" t="s">
        <v>81</v>
      </c>
      <c r="R212" s="18"/>
      <c r="S212" s="27" t="s">
        <v>113</v>
      </c>
      <c r="T212" s="18"/>
      <c r="U212" s="60" t="s">
        <v>621</v>
      </c>
      <c r="V212" s="4"/>
      <c r="W212" s="4"/>
      <c r="X212" s="18"/>
    </row>
    <row r="213">
      <c r="B213" s="43">
        <v>7.0</v>
      </c>
      <c r="C213" s="57" t="s">
        <v>622</v>
      </c>
      <c r="D213" s="23"/>
      <c r="E213" s="34" t="s">
        <v>65</v>
      </c>
      <c r="F213" s="23"/>
      <c r="G213" s="34" t="s">
        <v>623</v>
      </c>
      <c r="H213" s="23"/>
      <c r="I213" s="34" t="s">
        <v>319</v>
      </c>
      <c r="J213" s="23"/>
      <c r="K213" s="34" t="s">
        <v>66</v>
      </c>
      <c r="L213" s="23"/>
      <c r="M213" s="34" t="s">
        <v>492</v>
      </c>
      <c r="N213" s="23"/>
      <c r="O213" s="34" t="s">
        <v>61</v>
      </c>
      <c r="P213" s="23"/>
      <c r="Q213" s="34" t="s">
        <v>384</v>
      </c>
      <c r="R213" s="23"/>
      <c r="S213" s="34" t="s">
        <v>113</v>
      </c>
      <c r="T213" s="23"/>
      <c r="U213" s="58" t="s">
        <v>624</v>
      </c>
      <c r="V213" s="10"/>
      <c r="W213" s="10"/>
      <c r="X213" s="23"/>
    </row>
    <row r="214">
      <c r="B214" s="25">
        <v>7.0</v>
      </c>
      <c r="C214" s="26" t="s">
        <v>625</v>
      </c>
      <c r="D214" s="18"/>
      <c r="E214" s="28" t="s">
        <v>496</v>
      </c>
      <c r="F214" s="18"/>
      <c r="G214" s="27" t="s">
        <v>59</v>
      </c>
      <c r="H214" s="18"/>
      <c r="I214" s="27" t="s">
        <v>60</v>
      </c>
      <c r="J214" s="18"/>
      <c r="K214" s="27" t="s">
        <v>332</v>
      </c>
      <c r="L214" s="18"/>
      <c r="M214" s="27" t="s">
        <v>498</v>
      </c>
      <c r="N214" s="18"/>
      <c r="O214" s="27" t="str">
        <f>CONCAT(IF(OR(DOne="Knowledge Domain",DTwo="Knowledge Domain"),Level+1,Level), " hours
1 hour/level")</f>
        <v>1 hours
1 hour/level</v>
      </c>
      <c r="P214" s="18"/>
      <c r="Q214" s="27" t="s">
        <v>86</v>
      </c>
      <c r="R214" s="18"/>
      <c r="S214" s="27" t="s">
        <v>82</v>
      </c>
      <c r="T214" s="18"/>
      <c r="U214" s="29" t="s">
        <v>626</v>
      </c>
      <c r="V214" s="4"/>
      <c r="W214" s="4"/>
      <c r="X214" s="18"/>
    </row>
    <row r="215">
      <c r="B215" s="43">
        <v>7.0</v>
      </c>
      <c r="C215" s="32" t="s">
        <v>627</v>
      </c>
      <c r="D215" s="23"/>
      <c r="E215" s="34" t="s">
        <v>205</v>
      </c>
      <c r="F215" s="23"/>
      <c r="G215" s="33" t="s">
        <v>104</v>
      </c>
      <c r="H215" s="23"/>
      <c r="I215" s="33" t="s">
        <v>142</v>
      </c>
      <c r="J215" s="23"/>
      <c r="K215" s="33" t="str">
        <f>close</f>
        <v>Close: 25 ft</v>
      </c>
      <c r="L215" s="23"/>
      <c r="M215" s="33" t="s">
        <v>206</v>
      </c>
      <c r="N215" s="23"/>
      <c r="O215" s="33" t="str">
        <f>Level&amp;" rounds (D)
1 round/level"</f>
        <v>1 rounds (D)
1 round/level</v>
      </c>
      <c r="P215" s="23"/>
      <c r="Q215" s="33" t="s">
        <v>62</v>
      </c>
      <c r="R215" s="23"/>
      <c r="S215" s="33" t="s">
        <v>63</v>
      </c>
      <c r="T215" s="23"/>
      <c r="U215" s="35" t="s">
        <v>207</v>
      </c>
      <c r="V215" s="10"/>
      <c r="W215" s="10"/>
      <c r="X215" s="23"/>
    </row>
    <row r="216">
      <c r="B216" s="25">
        <v>7.0</v>
      </c>
      <c r="C216" s="65" t="s">
        <v>628</v>
      </c>
      <c r="D216" s="18"/>
      <c r="E216" s="28" t="s">
        <v>124</v>
      </c>
      <c r="F216" s="18"/>
      <c r="G216" s="66" t="s">
        <v>572</v>
      </c>
      <c r="H216" s="18"/>
      <c r="I216" s="66" t="s">
        <v>319</v>
      </c>
      <c r="J216" s="18"/>
      <c r="K216" s="66" t="s">
        <v>506</v>
      </c>
      <c r="L216" s="18"/>
      <c r="M216" s="66" t="s">
        <v>507</v>
      </c>
      <c r="N216" s="18"/>
      <c r="O216" s="66" t="s">
        <v>332</v>
      </c>
      <c r="P216" s="18"/>
      <c r="Q216" s="66" t="s">
        <v>86</v>
      </c>
      <c r="R216" s="18"/>
      <c r="S216" s="66" t="s">
        <v>82</v>
      </c>
      <c r="T216" s="18"/>
      <c r="U216" s="67" t="s">
        <v>629</v>
      </c>
      <c r="V216" s="4"/>
      <c r="W216" s="4"/>
      <c r="X216" s="18"/>
    </row>
    <row r="217">
      <c r="B217" s="43">
        <v>7.0</v>
      </c>
      <c r="C217" s="68" t="s">
        <v>630</v>
      </c>
      <c r="D217" s="23"/>
      <c r="E217" s="69" t="s">
        <v>85</v>
      </c>
      <c r="F217" s="23"/>
      <c r="G217" s="69" t="s">
        <v>572</v>
      </c>
      <c r="H217" s="23"/>
      <c r="I217" s="69" t="s">
        <v>319</v>
      </c>
      <c r="J217" s="23"/>
      <c r="K217" s="69" t="s">
        <v>506</v>
      </c>
      <c r="L217" s="23"/>
      <c r="M217" s="69" t="s">
        <v>507</v>
      </c>
      <c r="N217" s="23"/>
      <c r="O217" s="69" t="s">
        <v>332</v>
      </c>
      <c r="P217" s="23"/>
      <c r="Q217" s="69" t="s">
        <v>86</v>
      </c>
      <c r="R217" s="23"/>
      <c r="S217" s="69" t="s">
        <v>82</v>
      </c>
      <c r="T217" s="23"/>
      <c r="U217" s="70" t="s">
        <v>631</v>
      </c>
      <c r="V217" s="10"/>
      <c r="W217" s="10"/>
      <c r="X217" s="23"/>
    </row>
    <row r="218">
      <c r="B218" s="25">
        <v>7.0</v>
      </c>
      <c r="C218" s="59" t="s">
        <v>632</v>
      </c>
      <c r="D218" s="18"/>
      <c r="E218" s="28" t="s">
        <v>633</v>
      </c>
      <c r="F218" s="18"/>
      <c r="G218" s="28" t="s">
        <v>140</v>
      </c>
      <c r="H218" s="18"/>
      <c r="I218" s="28" t="s">
        <v>60</v>
      </c>
      <c r="J218" s="18"/>
      <c r="K218" s="28" t="s">
        <v>357</v>
      </c>
      <c r="L218" s="18"/>
      <c r="M218" s="28" t="s">
        <v>634</v>
      </c>
      <c r="N218" s="18"/>
      <c r="O218" s="28" t="s">
        <v>61</v>
      </c>
      <c r="P218" s="18"/>
      <c r="Q218" s="28" t="s">
        <v>434</v>
      </c>
      <c r="R218" s="18"/>
      <c r="S218" s="28" t="s">
        <v>82</v>
      </c>
      <c r="T218" s="18"/>
      <c r="U218" s="60" t="s">
        <v>635</v>
      </c>
      <c r="V218" s="4"/>
      <c r="W218" s="4"/>
      <c r="X218" s="18"/>
    </row>
    <row r="219">
      <c r="B219" s="43">
        <v>8.0</v>
      </c>
      <c r="C219" s="32" t="s">
        <v>636</v>
      </c>
      <c r="D219" s="23"/>
      <c r="E219" s="33" t="s">
        <v>110</v>
      </c>
      <c r="F219" s="23"/>
      <c r="G219" s="33" t="s">
        <v>202</v>
      </c>
      <c r="H219" s="23"/>
      <c r="I219" s="33" t="s">
        <v>60</v>
      </c>
      <c r="J219" s="23"/>
      <c r="K219" s="33" t="s">
        <v>95</v>
      </c>
      <c r="L219" s="23"/>
      <c r="M219" s="33" t="s">
        <v>637</v>
      </c>
      <c r="N219" s="23"/>
      <c r="O219" s="33" t="str">
        <f>Level*10&amp;" minutes (D)
10 minutes/level"</f>
        <v>10 minutes (D)
10 minutes/level</v>
      </c>
      <c r="P219" s="23"/>
      <c r="Q219" s="33" t="s">
        <v>62</v>
      </c>
      <c r="R219" s="23"/>
      <c r="S219" s="33" t="s">
        <v>332</v>
      </c>
      <c r="T219" s="23"/>
      <c r="U219" s="35" t="s">
        <v>638</v>
      </c>
      <c r="V219" s="10"/>
      <c r="W219" s="10"/>
      <c r="X219" s="23"/>
    </row>
    <row r="220">
      <c r="B220" s="25">
        <v>8.0</v>
      </c>
      <c r="C220" s="59" t="s">
        <v>639</v>
      </c>
      <c r="D220" s="18"/>
      <c r="E220" s="28" t="s">
        <v>196</v>
      </c>
      <c r="F220" s="18"/>
      <c r="G220" s="28" t="s">
        <v>597</v>
      </c>
      <c r="H220" s="18"/>
      <c r="I220" s="27" t="s">
        <v>60</v>
      </c>
      <c r="J220" s="18"/>
      <c r="K220" s="28" t="s">
        <v>184</v>
      </c>
      <c r="L220" s="18"/>
      <c r="M220" s="27" t="str">
        <f>CONCAT(IF(OR(DOne="Chaos Domain",DTwo="Chaos Domain"),Level+1,Level)," creatures in a 20 ft radius burst tered on you, 1 creature/level")</f>
        <v>1 creatures in a 20 ft radius burst tered on you, 1 creature/level</v>
      </c>
      <c r="N220" s="18"/>
      <c r="O220" s="27" t="str">
        <f>IF(OR(DOne="Chaos Domain",DTwo="Chaos Domain"),Level+1,Level)&amp;" rounds (D)
1 round/level"</f>
        <v>1 rounds (D)
1 round/level</v>
      </c>
      <c r="P220" s="18"/>
      <c r="Q220" s="28" t="s">
        <v>332</v>
      </c>
      <c r="R220" s="18"/>
      <c r="S220" s="28" t="s">
        <v>113</v>
      </c>
      <c r="T220" s="18"/>
      <c r="U220" s="64" t="s">
        <v>640</v>
      </c>
      <c r="V220" s="4"/>
      <c r="W220" s="4"/>
      <c r="X220" s="18"/>
    </row>
    <row r="221">
      <c r="B221" s="43">
        <v>8.0</v>
      </c>
      <c r="C221" s="32" t="s">
        <v>641</v>
      </c>
      <c r="D221" s="23"/>
      <c r="E221" s="34" t="s">
        <v>148</v>
      </c>
      <c r="F221" s="23"/>
      <c r="G221" s="33" t="s">
        <v>535</v>
      </c>
      <c r="H221" s="23"/>
      <c r="I221" s="33" t="s">
        <v>448</v>
      </c>
      <c r="J221" s="23"/>
      <c r="K221" s="33" t="str">
        <f>close</f>
        <v>Close: 25 ft</v>
      </c>
      <c r="L221" s="23"/>
      <c r="M221" s="33" t="s">
        <v>536</v>
      </c>
      <c r="N221" s="23"/>
      <c r="O221" s="33" t="s">
        <v>61</v>
      </c>
      <c r="P221" s="23"/>
      <c r="Q221" s="33" t="s">
        <v>62</v>
      </c>
      <c r="R221" s="23"/>
      <c r="S221" s="33" t="s">
        <v>63</v>
      </c>
      <c r="T221" s="23"/>
      <c r="U221" s="35" t="s">
        <v>642</v>
      </c>
      <c r="V221" s="10"/>
      <c r="W221" s="10"/>
      <c r="X221" s="23"/>
    </row>
    <row r="222">
      <c r="B222" s="25">
        <v>8.0</v>
      </c>
      <c r="C222" s="26" t="s">
        <v>643</v>
      </c>
      <c r="D222" s="18"/>
      <c r="E222" s="28" t="s">
        <v>65</v>
      </c>
      <c r="F222" s="18"/>
      <c r="G222" s="27" t="s">
        <v>59</v>
      </c>
      <c r="H222" s="18"/>
      <c r="I222" s="27" t="s">
        <v>60</v>
      </c>
      <c r="J222" s="18"/>
      <c r="K222" s="27" t="str">
        <f>CONCAT("Close: ", CONCAT(25+(5*FLOOR(IF(OR(DOne="Healing Domain",DTwo="Healing Domain"),Level+1,Level)/2,1)), " ft"))</f>
        <v>Close: 25 ft</v>
      </c>
      <c r="L222" s="18"/>
      <c r="M222" s="27" t="str">
        <f>CONCAT(IF(OR(DOne="Healing Domain",DTwo="Healing Domain"),Level+1,Level)," creatures, 1 creature/level, no 2 of which can be more than 30 ft apart")</f>
        <v>1 creatures, 1 creature/level, no 2 of which can be more than 30 ft apart</v>
      </c>
      <c r="N222" s="18"/>
      <c r="O222" s="27" t="s">
        <v>61</v>
      </c>
      <c r="P222" s="18"/>
      <c r="Q222" s="27" t="s">
        <v>456</v>
      </c>
      <c r="R222" s="18"/>
      <c r="S222" s="27" t="s">
        <v>457</v>
      </c>
      <c r="T222" s="18"/>
      <c r="U222" s="29" t="str">
        <f>CONCAT("Cures 4d8+",CONCAT(MIN(IF(OR(DOne="Healing Domain",DTwo="Healing Domain"),Level+1,Level),40)," damage for many creatures, +1/level, max +40"))</f>
        <v>Cures 4d8+1 damage for many creatures, +1/level, max +40</v>
      </c>
      <c r="V222" s="4"/>
      <c r="W222" s="4"/>
      <c r="X222" s="18"/>
    </row>
    <row r="223">
      <c r="B223" s="43">
        <v>8.0</v>
      </c>
      <c r="C223" s="32" t="s">
        <v>644</v>
      </c>
      <c r="D223" s="23"/>
      <c r="E223" s="33" t="s">
        <v>110</v>
      </c>
      <c r="F223" s="23"/>
      <c r="G223" s="33" t="s">
        <v>59</v>
      </c>
      <c r="H223" s="23"/>
      <c r="I223" s="33" t="s">
        <v>60</v>
      </c>
      <c r="J223" s="23"/>
      <c r="K223" s="33" t="str">
        <f>medium</f>
        <v>Medium: 110 ft</v>
      </c>
      <c r="L223" s="23"/>
      <c r="M223" s="33" t="s">
        <v>645</v>
      </c>
      <c r="N223" s="23"/>
      <c r="O223" s="33" t="str">
        <f>CONCAT(Level, " days
1 day/level")</f>
        <v>1 days
1 day/level</v>
      </c>
      <c r="P223" s="23"/>
      <c r="Q223" s="33" t="s">
        <v>62</v>
      </c>
      <c r="R223" s="23"/>
      <c r="S223" s="33" t="s">
        <v>82</v>
      </c>
      <c r="T223" s="23"/>
      <c r="U223" s="35" t="str">
        <f>"Teleportation and interplanar travel blocked for "&amp;Level&amp;" days, 1 day/level"</f>
        <v>Teleportation and interplanar travel blocked for 1 days, 1 day/level</v>
      </c>
      <c r="V223" s="10"/>
      <c r="W223" s="10"/>
      <c r="X223" s="23"/>
    </row>
    <row r="224">
      <c r="B224" s="25">
        <v>8.0</v>
      </c>
      <c r="C224" s="26" t="s">
        <v>646</v>
      </c>
      <c r="D224" s="18"/>
      <c r="E224" s="27" t="s">
        <v>72</v>
      </c>
      <c r="F224" s="18"/>
      <c r="G224" s="28" t="s">
        <v>119</v>
      </c>
      <c r="H224" s="18"/>
      <c r="I224" s="27" t="s">
        <v>319</v>
      </c>
      <c r="J224" s="18"/>
      <c r="K224" s="27" t="s">
        <v>581</v>
      </c>
      <c r="L224" s="18"/>
      <c r="M224" s="27" t="s">
        <v>297</v>
      </c>
      <c r="N224" s="18"/>
      <c r="O224" s="27" t="s">
        <v>61</v>
      </c>
      <c r="P224" s="18"/>
      <c r="Q224" s="27" t="s">
        <v>62</v>
      </c>
      <c r="R224" s="18"/>
      <c r="S224" s="27" t="s">
        <v>63</v>
      </c>
      <c r="T224" s="18"/>
      <c r="U224" s="29" t="s">
        <v>647</v>
      </c>
      <c r="V224" s="4"/>
      <c r="W224" s="4"/>
      <c r="X224" s="18"/>
    </row>
    <row r="225">
      <c r="B225" s="43">
        <v>8.0</v>
      </c>
      <c r="C225" s="32" t="s">
        <v>648</v>
      </c>
      <c r="D225" s="23"/>
      <c r="E225" s="34" t="s">
        <v>649</v>
      </c>
      <c r="F225" s="23"/>
      <c r="G225" s="33" t="s">
        <v>59</v>
      </c>
      <c r="H225" s="23"/>
      <c r="I225" s="33" t="s">
        <v>60</v>
      </c>
      <c r="J225" s="23"/>
      <c r="K225" s="33" t="str">
        <f>CONCAT("Long: ", CONCAT(400+(40*Level), " ft"))</f>
        <v>Long: 440 ft</v>
      </c>
      <c r="L225" s="23"/>
      <c r="M225" s="33" t="s">
        <v>650</v>
      </c>
      <c r="N225" s="23"/>
      <c r="O225" s="33" t="s">
        <v>142</v>
      </c>
      <c r="P225" s="23"/>
      <c r="Q225" s="33" t="s">
        <v>332</v>
      </c>
      <c r="R225" s="23"/>
      <c r="S225" s="33" t="s">
        <v>63</v>
      </c>
      <c r="T225" s="23"/>
      <c r="U225" s="35" t="s">
        <v>651</v>
      </c>
      <c r="V225" s="10"/>
      <c r="W225" s="10"/>
      <c r="X225" s="23"/>
    </row>
    <row r="226">
      <c r="B226" s="25">
        <v>8.0</v>
      </c>
      <c r="C226" s="26" t="s">
        <v>652</v>
      </c>
      <c r="D226" s="18"/>
      <c r="E226" s="28" t="s">
        <v>472</v>
      </c>
      <c r="F226" s="18"/>
      <c r="G226" s="27" t="s">
        <v>59</v>
      </c>
      <c r="H226" s="18"/>
      <c r="I226" s="27" t="s">
        <v>142</v>
      </c>
      <c r="J226" s="18"/>
      <c r="K226" s="27" t="str">
        <f>CONCAT("Medium: ", CONCAT(100+(10*Level), " ft"))</f>
        <v>Medium: 110 ft</v>
      </c>
      <c r="L226" s="18"/>
      <c r="M226" s="27" t="str">
        <f>CONCAT(Level*2, " 10-ft. cubes, 2 per level.")</f>
        <v>2 10-ft. cubes, 2 per level.</v>
      </c>
      <c r="N226" s="18"/>
      <c r="O226" s="27" t="s">
        <v>61</v>
      </c>
      <c r="P226" s="18"/>
      <c r="Q226" s="27" t="s">
        <v>474</v>
      </c>
      <c r="R226" s="18"/>
      <c r="S226" s="27" t="s">
        <v>82</v>
      </c>
      <c r="T226" s="18"/>
      <c r="U226" s="29" t="str">
        <f>CONCAT("Deals ",CONCAT(MIN(Level, 20),"d6 fire damage, 1d6/level"))</f>
        <v>Deals 1d6 fire damage, 1d6/level</v>
      </c>
      <c r="V226" s="4"/>
      <c r="W226" s="4"/>
      <c r="X226" s="18"/>
    </row>
    <row r="227">
      <c r="B227" s="43">
        <v>8.0</v>
      </c>
      <c r="C227" s="57" t="s">
        <v>653</v>
      </c>
      <c r="D227" s="23"/>
      <c r="E227" s="34" t="s">
        <v>192</v>
      </c>
      <c r="F227" s="23"/>
      <c r="G227" s="34" t="s">
        <v>597</v>
      </c>
      <c r="H227" s="23"/>
      <c r="I227" s="33" t="s">
        <v>60</v>
      </c>
      <c r="J227" s="23"/>
      <c r="K227" s="34" t="s">
        <v>184</v>
      </c>
      <c r="L227" s="23"/>
      <c r="M227" s="33" t="str">
        <f>CONCAT(IF(OR(DOne="Good Domain",DTwo="Good Domain"),Level+1,Level)," creatures in a 20 ft radius burst centered on you, 1 creature/level")</f>
        <v>1 creatures in a 20 ft radius burst centered on you, 1 creature/level</v>
      </c>
      <c r="N227" s="23"/>
      <c r="O227" s="33" t="str">
        <f>IF(OR(DOne="Good Domain",DTwo="Good Domain"),Level+1,Level)&amp;" rounds (D)
1 round/level"</f>
        <v>1 rounds (D)
1 round/level</v>
      </c>
      <c r="P227" s="23"/>
      <c r="Q227" s="34" t="s">
        <v>332</v>
      </c>
      <c r="R227" s="23"/>
      <c r="S227" s="34" t="s">
        <v>113</v>
      </c>
      <c r="T227" s="23"/>
      <c r="U227" s="63" t="s">
        <v>654</v>
      </c>
      <c r="V227" s="10"/>
      <c r="W227" s="10"/>
      <c r="X227" s="23"/>
    </row>
    <row r="228">
      <c r="B228" s="25">
        <v>8.0</v>
      </c>
      <c r="C228" s="59" t="s">
        <v>655</v>
      </c>
      <c r="D228" s="18"/>
      <c r="E228" s="28" t="s">
        <v>85</v>
      </c>
      <c r="F228" s="18"/>
      <c r="G228" s="27" t="s">
        <v>59</v>
      </c>
      <c r="H228" s="18"/>
      <c r="I228" s="27" t="s">
        <v>60</v>
      </c>
      <c r="J228" s="18"/>
      <c r="K228" s="27" t="str">
        <f>CONCAT("Close: ", CONCAT(25+(5*FLOOR(Level/2,1)), " ft"))</f>
        <v>Close: 25 ft</v>
      </c>
      <c r="L228" s="18"/>
      <c r="M228" s="27" t="str">
        <f>CONCAT(Level," creatures, 1 creature/level, no 2 of which can be more than 30 ft apart")</f>
        <v>1 creatures, 1 creature/level, no 2 of which can be more than 30 ft apart</v>
      </c>
      <c r="N228" s="18"/>
      <c r="O228" s="27" t="s">
        <v>61</v>
      </c>
      <c r="P228" s="18"/>
      <c r="Q228" s="28" t="s">
        <v>174</v>
      </c>
      <c r="R228" s="18"/>
      <c r="S228" s="28" t="s">
        <v>82</v>
      </c>
      <c r="T228" s="18"/>
      <c r="U228" s="29" t="str">
        <f>CONCAT("Deals 4d8+",CONCAT(MIN(Level,40)," damage to many creatures, +1/level, max +40"))</f>
        <v>Deals 4d8+1 damage to many creatures, +1/level, max +40</v>
      </c>
      <c r="V228" s="4"/>
      <c r="W228" s="4"/>
      <c r="X228" s="18"/>
    </row>
    <row r="229">
      <c r="B229" s="43">
        <v>8.0</v>
      </c>
      <c r="C229" s="57" t="s">
        <v>656</v>
      </c>
      <c r="D229" s="23"/>
      <c r="E229" s="34" t="s">
        <v>424</v>
      </c>
      <c r="F229" s="23"/>
      <c r="G229" s="34" t="s">
        <v>425</v>
      </c>
      <c r="H229" s="23"/>
      <c r="I229" s="34" t="s">
        <v>319</v>
      </c>
      <c r="J229" s="23"/>
      <c r="K229" s="33" t="str">
        <f>close</f>
        <v>Close: 25 ft</v>
      </c>
      <c r="L229" s="23"/>
      <c r="M229" s="34" t="s">
        <v>657</v>
      </c>
      <c r="N229" s="23"/>
      <c r="O229" s="34" t="s">
        <v>61</v>
      </c>
      <c r="P229" s="23"/>
      <c r="Q229" s="34" t="s">
        <v>62</v>
      </c>
      <c r="R229" s="23"/>
      <c r="S229" s="34" t="s">
        <v>63</v>
      </c>
      <c r="T229" s="23"/>
      <c r="U229" s="58" t="s">
        <v>658</v>
      </c>
      <c r="V229" s="10"/>
      <c r="W229" s="10"/>
      <c r="X229" s="23"/>
    </row>
    <row r="230">
      <c r="B230" s="25">
        <v>8.0</v>
      </c>
      <c r="C230" s="59" t="s">
        <v>659</v>
      </c>
      <c r="D230" s="18"/>
      <c r="E230" s="28" t="s">
        <v>188</v>
      </c>
      <c r="F230" s="18"/>
      <c r="G230" s="28" t="s">
        <v>597</v>
      </c>
      <c r="H230" s="18"/>
      <c r="I230" s="27" t="s">
        <v>60</v>
      </c>
      <c r="J230" s="18"/>
      <c r="K230" s="28" t="s">
        <v>184</v>
      </c>
      <c r="L230" s="18"/>
      <c r="M230" s="27" t="str">
        <f>CONCAT(IF(OR(DOne="Lawful Domain",DTwo="Lawful Domain"),Level+1,Level)," creatures in a 20 ft radius burst centered on you, 1 creature/level")</f>
        <v>1 creatures in a 20 ft radius burst centered on you, 1 creature/level</v>
      </c>
      <c r="N230" s="18"/>
      <c r="O230" s="27" t="str">
        <f>IF(OR(DOne="Lawful Domain",DTwo="Lawful Domain"),Level+1,Level)&amp;" rounds (D)
1 round/level"</f>
        <v>1 rounds (D)
1 round/level</v>
      </c>
      <c r="P230" s="18"/>
      <c r="Q230" s="28" t="s">
        <v>332</v>
      </c>
      <c r="R230" s="18"/>
      <c r="S230" s="28" t="s">
        <v>113</v>
      </c>
      <c r="T230" s="18"/>
      <c r="U230" s="64" t="s">
        <v>660</v>
      </c>
      <c r="V230" s="4"/>
      <c r="W230" s="4"/>
      <c r="X230" s="18"/>
    </row>
    <row r="231">
      <c r="B231" s="43">
        <v>8.0</v>
      </c>
      <c r="C231" s="57" t="s">
        <v>661</v>
      </c>
      <c r="D231" s="23"/>
      <c r="E231" s="34" t="s">
        <v>110</v>
      </c>
      <c r="F231" s="23"/>
      <c r="G231" s="34" t="s">
        <v>119</v>
      </c>
      <c r="H231" s="23"/>
      <c r="I231" s="34" t="s">
        <v>60</v>
      </c>
      <c r="J231" s="23"/>
      <c r="K231" s="34" t="s">
        <v>66</v>
      </c>
      <c r="L231" s="23"/>
      <c r="M231" s="34" t="s">
        <v>166</v>
      </c>
      <c r="N231" s="23"/>
      <c r="O231" s="33" t="str">
        <f>CONCAT(Level*10, " minutes
10 minutes/level")</f>
        <v>10 minutes
10 minutes/level</v>
      </c>
      <c r="P231" s="23"/>
      <c r="Q231" s="34" t="s">
        <v>81</v>
      </c>
      <c r="R231" s="23"/>
      <c r="S231" s="34" t="s">
        <v>113</v>
      </c>
      <c r="T231" s="23"/>
      <c r="U231" s="58" t="s">
        <v>662</v>
      </c>
      <c r="V231" s="10"/>
      <c r="W231" s="10"/>
      <c r="X231" s="23"/>
    </row>
    <row r="232">
      <c r="B232" s="25">
        <v>8.0</v>
      </c>
      <c r="C232" s="26" t="s">
        <v>663</v>
      </c>
      <c r="D232" s="18"/>
      <c r="E232" s="28" t="s">
        <v>205</v>
      </c>
      <c r="F232" s="18"/>
      <c r="G232" s="27" t="s">
        <v>104</v>
      </c>
      <c r="H232" s="18"/>
      <c r="I232" s="27" t="s">
        <v>142</v>
      </c>
      <c r="J232" s="18"/>
      <c r="K232" s="27" t="str">
        <f>close</f>
        <v>Close: 25 ft</v>
      </c>
      <c r="L232" s="18"/>
      <c r="M232" s="27" t="s">
        <v>206</v>
      </c>
      <c r="N232" s="18"/>
      <c r="O232" s="27" t="str">
        <f>Level&amp;" rounds (D)
1 round/level"</f>
        <v>1 rounds (D)
1 round/level</v>
      </c>
      <c r="P232" s="18"/>
      <c r="Q232" s="27" t="s">
        <v>62</v>
      </c>
      <c r="R232" s="18"/>
      <c r="S232" s="27" t="s">
        <v>63</v>
      </c>
      <c r="T232" s="18"/>
      <c r="U232" s="29" t="s">
        <v>207</v>
      </c>
      <c r="V232" s="4"/>
      <c r="W232" s="4"/>
      <c r="X232" s="18"/>
    </row>
    <row r="233">
      <c r="B233" s="43">
        <v>8.0</v>
      </c>
      <c r="C233" s="32" t="s">
        <v>664</v>
      </c>
      <c r="D233" s="23"/>
      <c r="E233" s="34" t="s">
        <v>501</v>
      </c>
      <c r="F233" s="23"/>
      <c r="G233" s="33" t="s">
        <v>572</v>
      </c>
      <c r="H233" s="23"/>
      <c r="I233" s="33" t="s">
        <v>319</v>
      </c>
      <c r="J233" s="23"/>
      <c r="K233" s="33" t="s">
        <v>506</v>
      </c>
      <c r="L233" s="23"/>
      <c r="M233" s="33" t="s">
        <v>507</v>
      </c>
      <c r="N233" s="23"/>
      <c r="O233" s="33" t="s">
        <v>332</v>
      </c>
      <c r="P233" s="23"/>
      <c r="Q233" s="33" t="s">
        <v>310</v>
      </c>
      <c r="R233" s="23"/>
      <c r="S233" s="33" t="s">
        <v>82</v>
      </c>
      <c r="T233" s="23"/>
      <c r="U233" s="35" t="s">
        <v>665</v>
      </c>
      <c r="V233" s="10"/>
      <c r="W233" s="10"/>
      <c r="X233" s="23"/>
    </row>
    <row r="234">
      <c r="B234" s="25">
        <v>8.0</v>
      </c>
      <c r="C234" s="26" t="s">
        <v>666</v>
      </c>
      <c r="D234" s="18"/>
      <c r="E234" s="28" t="s">
        <v>124</v>
      </c>
      <c r="F234" s="18"/>
      <c r="G234" s="27" t="s">
        <v>572</v>
      </c>
      <c r="H234" s="18"/>
      <c r="I234" s="27" t="s">
        <v>319</v>
      </c>
      <c r="J234" s="18"/>
      <c r="K234" s="27" t="s">
        <v>506</v>
      </c>
      <c r="L234" s="18"/>
      <c r="M234" s="27" t="s">
        <v>507</v>
      </c>
      <c r="N234" s="18"/>
      <c r="O234" s="27" t="s">
        <v>332</v>
      </c>
      <c r="P234" s="18"/>
      <c r="Q234" s="27" t="s">
        <v>86</v>
      </c>
      <c r="R234" s="18"/>
      <c r="S234" s="27" t="s">
        <v>82</v>
      </c>
      <c r="T234" s="18"/>
      <c r="U234" s="29" t="s">
        <v>667</v>
      </c>
      <c r="V234" s="4"/>
      <c r="W234" s="4"/>
      <c r="X234" s="18"/>
    </row>
    <row r="235">
      <c r="B235" s="43">
        <v>8.0</v>
      </c>
      <c r="C235" s="57" t="s">
        <v>668</v>
      </c>
      <c r="D235" s="23"/>
      <c r="E235" s="34" t="s">
        <v>194</v>
      </c>
      <c r="F235" s="23"/>
      <c r="G235" s="34" t="s">
        <v>597</v>
      </c>
      <c r="H235" s="23"/>
      <c r="I235" s="33" t="s">
        <v>60</v>
      </c>
      <c r="J235" s="23"/>
      <c r="K235" s="34" t="s">
        <v>184</v>
      </c>
      <c r="L235" s="23"/>
      <c r="M235" s="33" t="str">
        <f>CONCAT(IF(OR(DOne="Evil Domain",DTwo="Evil Domain"),(Level+1),Level)," creatures in a 20 ft radius burst centered on you, 1 creature/level")</f>
        <v>1 creatures in a 20 ft radius burst centered on you, 1 creature/level</v>
      </c>
      <c r="N235" s="23"/>
      <c r="O235" s="33" t="str">
        <f>IF(OR(DOne="Evil Domain",DTwo="Evil Domain"),Level+1,Level)&amp;" rounds (D)
1 round/level"</f>
        <v>1 rounds (D)
1 round/level</v>
      </c>
      <c r="P235" s="23"/>
      <c r="Q235" s="34" t="s">
        <v>332</v>
      </c>
      <c r="R235" s="23"/>
      <c r="S235" s="34" t="s">
        <v>113</v>
      </c>
      <c r="T235" s="23"/>
      <c r="U235" s="63" t="s">
        <v>669</v>
      </c>
      <c r="V235" s="10"/>
      <c r="W235" s="10"/>
      <c r="X235" s="23"/>
    </row>
    <row r="236">
      <c r="B236" s="25">
        <v>9.0</v>
      </c>
      <c r="C236" s="26" t="s">
        <v>670</v>
      </c>
      <c r="D236" s="18"/>
      <c r="E236" s="27" t="s">
        <v>85</v>
      </c>
      <c r="F236" s="18"/>
      <c r="G236" s="27" t="s">
        <v>671</v>
      </c>
      <c r="H236" s="18"/>
      <c r="I236" s="27" t="s">
        <v>672</v>
      </c>
      <c r="J236" s="18"/>
      <c r="K236" s="27" t="s">
        <v>66</v>
      </c>
      <c r="L236" s="18"/>
      <c r="M236" s="27" t="str">
        <f>"You plus "&amp;MAX(FLOOR(Level/2,1),1)&amp;" willing creatures touched, 1 additional creature per 2 caster levels"</f>
        <v>You plus 1 willing creatures touched, 1 additional creature per 2 caster levels</v>
      </c>
      <c r="N236" s="18"/>
      <c r="O236" s="27" t="s">
        <v>332</v>
      </c>
      <c r="P236" s="18"/>
      <c r="Q236" s="27" t="s">
        <v>62</v>
      </c>
      <c r="R236" s="18"/>
      <c r="S236" s="27" t="s">
        <v>82</v>
      </c>
      <c r="T236" s="18"/>
      <c r="U236" s="29" t="s">
        <v>673</v>
      </c>
      <c r="V236" s="4"/>
      <c r="W236" s="4"/>
      <c r="X236" s="18"/>
    </row>
    <row r="237">
      <c r="B237" s="43">
        <v>9.0</v>
      </c>
      <c r="C237" s="32" t="s">
        <v>674</v>
      </c>
      <c r="D237" s="23"/>
      <c r="E237" s="33" t="s">
        <v>85</v>
      </c>
      <c r="F237" s="23"/>
      <c r="G237" s="33" t="s">
        <v>59</v>
      </c>
      <c r="H237" s="23"/>
      <c r="I237" s="33" t="s">
        <v>60</v>
      </c>
      <c r="J237" s="23"/>
      <c r="K237" s="33" t="str">
        <f>close</f>
        <v>Close: 25 ft</v>
      </c>
      <c r="L237" s="23"/>
      <c r="M237" s="33" t="s">
        <v>675</v>
      </c>
      <c r="N237" s="23"/>
      <c r="O237" s="33" t="s">
        <v>61</v>
      </c>
      <c r="P237" s="23"/>
      <c r="Q237" s="33" t="s">
        <v>676</v>
      </c>
      <c r="R237" s="23"/>
      <c r="S237" s="33" t="s">
        <v>82</v>
      </c>
      <c r="T237" s="23"/>
      <c r="U237" s="35" t="s">
        <v>677</v>
      </c>
      <c r="V237" s="10"/>
      <c r="W237" s="10"/>
      <c r="X237" s="23"/>
    </row>
    <row r="238">
      <c r="B238" s="25">
        <v>9.0</v>
      </c>
      <c r="C238" s="26" t="s">
        <v>678</v>
      </c>
      <c r="D238" s="18"/>
      <c r="E238" s="27" t="s">
        <v>94</v>
      </c>
      <c r="F238" s="18"/>
      <c r="G238" s="27" t="s">
        <v>59</v>
      </c>
      <c r="H238" s="18"/>
      <c r="I238" s="27" t="s">
        <v>60</v>
      </c>
      <c r="J238" s="18"/>
      <c r="K238" s="27" t="s">
        <v>679</v>
      </c>
      <c r="L238" s="18"/>
      <c r="M238" s="27" t="str">
        <f>"You and "&amp;MAX(FLOOR(Level/3,1),1)&amp;" other touched creatures, 1 creature per 3 levels"</f>
        <v>You and 1 other touched creatures, 1 creature per 3 levels</v>
      </c>
      <c r="N238" s="18"/>
      <c r="O238" s="27" t="str">
        <f>CONCAT(Level, " minutes (D)
1 minute/level")</f>
        <v>1 minutes (D)
1 minute/level</v>
      </c>
      <c r="P238" s="18"/>
      <c r="Q238" s="27" t="s">
        <v>107</v>
      </c>
      <c r="R238" s="18"/>
      <c r="S238" s="27" t="s">
        <v>82</v>
      </c>
      <c r="T238" s="18"/>
      <c r="U238" s="29" t="s">
        <v>680</v>
      </c>
      <c r="V238" s="4"/>
      <c r="W238" s="4"/>
      <c r="X238" s="18"/>
    </row>
    <row r="239">
      <c r="B239" s="43">
        <v>9.0</v>
      </c>
      <c r="C239" s="32" t="s">
        <v>681</v>
      </c>
      <c r="D239" s="23"/>
      <c r="E239" s="34" t="s">
        <v>682</v>
      </c>
      <c r="F239" s="23"/>
      <c r="G239" s="33" t="s">
        <v>683</v>
      </c>
      <c r="H239" s="23"/>
      <c r="I239" s="33" t="s">
        <v>60</v>
      </c>
      <c r="J239" s="23"/>
      <c r="K239" s="33" t="str">
        <f>medium</f>
        <v>Medium: 110 ft</v>
      </c>
      <c r="L239" s="23"/>
      <c r="M239" s="33" t="s">
        <v>332</v>
      </c>
      <c r="N239" s="23"/>
      <c r="O239" s="33" t="str">
        <f>"Instantaneous
or
Concentration (up to "&amp;Level&amp;" rounds, 1 round/level), see text"</f>
        <v>Instantaneous
or
Concentration (up to 1 rounds, 1 round/level), see text</v>
      </c>
      <c r="P239" s="23"/>
      <c r="Q239" s="33" t="s">
        <v>62</v>
      </c>
      <c r="R239" s="23"/>
      <c r="S239" s="33" t="s">
        <v>63</v>
      </c>
      <c r="T239" s="23"/>
      <c r="U239" s="35" t="s">
        <v>684</v>
      </c>
      <c r="V239" s="10"/>
      <c r="W239" s="10"/>
      <c r="X239" s="23"/>
    </row>
    <row r="240">
      <c r="B240" s="25">
        <v>9.0</v>
      </c>
      <c r="C240" s="59" t="s">
        <v>685</v>
      </c>
      <c r="D240" s="18"/>
      <c r="E240" s="28" t="s">
        <v>65</v>
      </c>
      <c r="F240" s="18"/>
      <c r="G240" s="27" t="s">
        <v>59</v>
      </c>
      <c r="H240" s="18"/>
      <c r="I240" s="27" t="s">
        <v>60</v>
      </c>
      <c r="J240" s="18"/>
      <c r="K240" s="27" t="str">
        <f>CONCAT("Close: ", CONCAT(25+(5*FLOOR(IF(OR(DOne="Healing Domain",DTwo="Healing Domain"),Level+1,Level)/2,1)), " ft"))</f>
        <v>Close: 25 ft</v>
      </c>
      <c r="L240" s="18"/>
      <c r="M240" s="28" t="s">
        <v>686</v>
      </c>
      <c r="N240" s="18"/>
      <c r="O240" s="27" t="s">
        <v>61</v>
      </c>
      <c r="P240" s="18"/>
      <c r="Q240" s="27" t="s">
        <v>81</v>
      </c>
      <c r="R240" s="18"/>
      <c r="S240" s="27" t="s">
        <v>113</v>
      </c>
      <c r="T240" s="18"/>
      <c r="U240" s="60" t="s">
        <v>687</v>
      </c>
      <c r="V240" s="4"/>
      <c r="W240" s="4"/>
      <c r="X240" s="18"/>
    </row>
    <row r="241">
      <c r="B241" s="43">
        <v>9.0</v>
      </c>
      <c r="C241" s="57" t="s">
        <v>688</v>
      </c>
      <c r="D241" s="23"/>
      <c r="E241" s="34" t="s">
        <v>162</v>
      </c>
      <c r="F241" s="23"/>
      <c r="G241" s="33" t="s">
        <v>59</v>
      </c>
      <c r="H241" s="23"/>
      <c r="I241" s="33" t="s">
        <v>60</v>
      </c>
      <c r="J241" s="23"/>
      <c r="K241" s="33" t="str">
        <f>close</f>
        <v>Close: 25 ft</v>
      </c>
      <c r="L241" s="23"/>
      <c r="M241" s="34" t="s">
        <v>689</v>
      </c>
      <c r="N241" s="23"/>
      <c r="O241" s="34" t="s">
        <v>690</v>
      </c>
      <c r="P241" s="23"/>
      <c r="Q241" s="34" t="s">
        <v>310</v>
      </c>
      <c r="R241" s="23"/>
      <c r="S241" s="34" t="s">
        <v>82</v>
      </c>
      <c r="T241" s="23"/>
      <c r="U241" s="58" t="s">
        <v>691</v>
      </c>
      <c r="V241" s="10"/>
      <c r="W241" s="10"/>
      <c r="X241" s="23"/>
    </row>
    <row r="242">
      <c r="B242" s="25">
        <v>9.0</v>
      </c>
      <c r="C242" s="59" t="s">
        <v>692</v>
      </c>
      <c r="D242" s="18"/>
      <c r="E242" s="28" t="s">
        <v>162</v>
      </c>
      <c r="F242" s="18"/>
      <c r="G242" s="28" t="s">
        <v>683</v>
      </c>
      <c r="H242" s="18"/>
      <c r="I242" s="27" t="s">
        <v>60</v>
      </c>
      <c r="J242" s="18"/>
      <c r="K242" s="28" t="s">
        <v>332</v>
      </c>
      <c r="L242" s="18"/>
      <c r="M242" s="28" t="s">
        <v>332</v>
      </c>
      <c r="N242" s="18"/>
      <c r="O242" s="28" t="s">
        <v>332</v>
      </c>
      <c r="P242" s="18"/>
      <c r="Q242" s="28" t="s">
        <v>332</v>
      </c>
      <c r="R242" s="18"/>
      <c r="S242" s="28" t="s">
        <v>82</v>
      </c>
      <c r="T242" s="18"/>
      <c r="U242" s="60" t="s">
        <v>693</v>
      </c>
      <c r="V242" s="4"/>
      <c r="W242" s="4"/>
      <c r="X242" s="18"/>
    </row>
    <row r="243">
      <c r="B243" s="43">
        <v>9.0</v>
      </c>
      <c r="C243" s="32" t="s">
        <v>694</v>
      </c>
      <c r="D243" s="23"/>
      <c r="E243" s="33" t="s">
        <v>85</v>
      </c>
      <c r="F243" s="23"/>
      <c r="G243" s="33" t="s">
        <v>695</v>
      </c>
      <c r="H243" s="23"/>
      <c r="I243" s="33" t="s">
        <v>60</v>
      </c>
      <c r="J243" s="23"/>
      <c r="K243" s="33" t="str">
        <f>close</f>
        <v>Close: 25 ft</v>
      </c>
      <c r="L243" s="23"/>
      <c r="M243" s="33" t="s">
        <v>696</v>
      </c>
      <c r="N243" s="23"/>
      <c r="O243" s="33" t="s">
        <v>306</v>
      </c>
      <c r="P243" s="23"/>
      <c r="Q243" s="33" t="s">
        <v>86</v>
      </c>
      <c r="R243" s="23"/>
      <c r="S243" s="33" t="s">
        <v>63</v>
      </c>
      <c r="T243" s="23"/>
      <c r="U243" s="35" t="s">
        <v>697</v>
      </c>
      <c r="V243" s="10"/>
      <c r="W243" s="10"/>
      <c r="X243" s="23"/>
    </row>
    <row r="244">
      <c r="B244" s="25">
        <v>9.0</v>
      </c>
      <c r="C244" s="26" t="s">
        <v>698</v>
      </c>
      <c r="D244" s="18"/>
      <c r="E244" s="28" t="s">
        <v>481</v>
      </c>
      <c r="F244" s="18"/>
      <c r="G244" s="27" t="s">
        <v>59</v>
      </c>
      <c r="H244" s="18"/>
      <c r="I244" s="27" t="s">
        <v>142</v>
      </c>
      <c r="J244" s="18"/>
      <c r="K244" s="27" t="str">
        <f>CONCAT("Long: ", CONCAT(400+(40*Level), " ft"))</f>
        <v>Long: 440 ft</v>
      </c>
      <c r="L244" s="18"/>
      <c r="M244" s="27" t="s">
        <v>699</v>
      </c>
      <c r="N244" s="18"/>
      <c r="O244" s="27" t="s">
        <v>700</v>
      </c>
      <c r="P244" s="18"/>
      <c r="Q244" s="27" t="s">
        <v>332</v>
      </c>
      <c r="R244" s="18"/>
      <c r="S244" s="27" t="s">
        <v>82</v>
      </c>
      <c r="T244" s="18"/>
      <c r="U244" s="29" t="s">
        <v>701</v>
      </c>
      <c r="V244" s="4"/>
      <c r="W244" s="4"/>
      <c r="X244" s="18"/>
    </row>
    <row r="245">
      <c r="B245" s="43">
        <v>9.0</v>
      </c>
      <c r="C245" s="32" t="s">
        <v>702</v>
      </c>
      <c r="D245" s="23"/>
      <c r="E245" s="34" t="s">
        <v>205</v>
      </c>
      <c r="F245" s="23"/>
      <c r="G245" s="33" t="s">
        <v>104</v>
      </c>
      <c r="H245" s="23"/>
      <c r="I245" s="33" t="s">
        <v>142</v>
      </c>
      <c r="J245" s="23"/>
      <c r="K245" s="33" t="str">
        <f>close</f>
        <v>Close: 25 ft</v>
      </c>
      <c r="L245" s="23"/>
      <c r="M245" s="33" t="s">
        <v>206</v>
      </c>
      <c r="N245" s="23"/>
      <c r="O245" s="33" t="str">
        <f>Level&amp;" rounds (D)
1 round/level"</f>
        <v>1 rounds (D)
1 round/level</v>
      </c>
      <c r="P245" s="23"/>
      <c r="Q245" s="33" t="s">
        <v>62</v>
      </c>
      <c r="R245" s="23"/>
      <c r="S245" s="33" t="s">
        <v>63</v>
      </c>
      <c r="T245" s="23"/>
      <c r="U245" s="35" t="s">
        <v>207</v>
      </c>
      <c r="V245" s="10"/>
      <c r="W245" s="10"/>
      <c r="X245" s="23"/>
    </row>
    <row r="246">
      <c r="B246" s="25">
        <v>9.0</v>
      </c>
      <c r="C246" s="59" t="s">
        <v>703</v>
      </c>
      <c r="D246" s="18"/>
      <c r="E246" s="28" t="s">
        <v>65</v>
      </c>
      <c r="F246" s="18"/>
      <c r="G246" s="28" t="s">
        <v>704</v>
      </c>
      <c r="H246" s="18"/>
      <c r="I246" s="28" t="s">
        <v>319</v>
      </c>
      <c r="J246" s="18"/>
      <c r="K246" s="28" t="s">
        <v>66</v>
      </c>
      <c r="L246" s="18"/>
      <c r="M246" s="28" t="s">
        <v>492</v>
      </c>
      <c r="N246" s="18"/>
      <c r="O246" s="28" t="s">
        <v>61</v>
      </c>
      <c r="P246" s="18"/>
      <c r="Q246" s="28" t="s">
        <v>384</v>
      </c>
      <c r="R246" s="18"/>
      <c r="S246" s="28" t="s">
        <v>113</v>
      </c>
      <c r="T246" s="18"/>
      <c r="U246" s="60" t="s">
        <v>705</v>
      </c>
      <c r="V246" s="4"/>
      <c r="W246" s="4"/>
      <c r="X246" s="18"/>
    </row>
  </sheetData>
  <mergeCells count="2332">
    <mergeCell ref="I15:J15"/>
    <mergeCell ref="K15:L15"/>
    <mergeCell ref="M15:N15"/>
    <mergeCell ref="O15:P15"/>
    <mergeCell ref="Q15:R15"/>
    <mergeCell ref="S15:T15"/>
    <mergeCell ref="B9:D9"/>
    <mergeCell ref="B10:D10"/>
    <mergeCell ref="B11:D11"/>
    <mergeCell ref="B12:D12"/>
    <mergeCell ref="B14:X14"/>
    <mergeCell ref="E15:F15"/>
    <mergeCell ref="G15:H15"/>
    <mergeCell ref="U15:X15"/>
    <mergeCell ref="B2:D2"/>
    <mergeCell ref="B3:D3"/>
    <mergeCell ref="B4:D4"/>
    <mergeCell ref="B5:D5"/>
    <mergeCell ref="B6:D6"/>
    <mergeCell ref="B7:D7"/>
    <mergeCell ref="B8:D8"/>
    <mergeCell ref="O16:P16"/>
    <mergeCell ref="Q16:R16"/>
    <mergeCell ref="S16:T16"/>
    <mergeCell ref="U16:X16"/>
    <mergeCell ref="C15:D15"/>
    <mergeCell ref="C16:D16"/>
    <mergeCell ref="E16:F16"/>
    <mergeCell ref="G16:H16"/>
    <mergeCell ref="I16:J16"/>
    <mergeCell ref="K16:L16"/>
    <mergeCell ref="M16:N16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Q25:R25"/>
    <mergeCell ref="S25:T25"/>
    <mergeCell ref="U25:X25"/>
    <mergeCell ref="C25:D25"/>
    <mergeCell ref="E25:F25"/>
    <mergeCell ref="G25:H25"/>
    <mergeCell ref="I25:J25"/>
    <mergeCell ref="K25:L25"/>
    <mergeCell ref="M25:N25"/>
    <mergeCell ref="O25:P25"/>
    <mergeCell ref="Q26:R26"/>
    <mergeCell ref="S26:T26"/>
    <mergeCell ref="U26:X26"/>
    <mergeCell ref="C26:D26"/>
    <mergeCell ref="E26:F26"/>
    <mergeCell ref="G26:H26"/>
    <mergeCell ref="I26:J26"/>
    <mergeCell ref="K26:L26"/>
    <mergeCell ref="M26:N26"/>
    <mergeCell ref="O26:P26"/>
    <mergeCell ref="Q27:R27"/>
    <mergeCell ref="S27:T27"/>
    <mergeCell ref="U27:X27"/>
    <mergeCell ref="C27:D27"/>
    <mergeCell ref="E27:F27"/>
    <mergeCell ref="G27:H27"/>
    <mergeCell ref="I27:J27"/>
    <mergeCell ref="K27:L27"/>
    <mergeCell ref="M27:N27"/>
    <mergeCell ref="O27:P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36:R36"/>
    <mergeCell ref="S36:T36"/>
    <mergeCell ref="U36:X36"/>
    <mergeCell ref="C36:D36"/>
    <mergeCell ref="E36:F36"/>
    <mergeCell ref="G36:H36"/>
    <mergeCell ref="I36:J36"/>
    <mergeCell ref="K36:L36"/>
    <mergeCell ref="M36:N36"/>
    <mergeCell ref="O36:P36"/>
    <mergeCell ref="Q37:R37"/>
    <mergeCell ref="S37:T37"/>
    <mergeCell ref="U37:X37"/>
    <mergeCell ref="C37:D37"/>
    <mergeCell ref="E37:F37"/>
    <mergeCell ref="G37:H37"/>
    <mergeCell ref="I37:J37"/>
    <mergeCell ref="K37:L37"/>
    <mergeCell ref="M37:N37"/>
    <mergeCell ref="O37:P37"/>
    <mergeCell ref="Q38:R38"/>
    <mergeCell ref="S38:T38"/>
    <mergeCell ref="U38:X38"/>
    <mergeCell ref="C38:D38"/>
    <mergeCell ref="E38:F38"/>
    <mergeCell ref="G38:H38"/>
    <mergeCell ref="I38:J38"/>
    <mergeCell ref="K38:L38"/>
    <mergeCell ref="M38:N38"/>
    <mergeCell ref="O38:P38"/>
    <mergeCell ref="Q39:R39"/>
    <mergeCell ref="S39:T39"/>
    <mergeCell ref="U39:X39"/>
    <mergeCell ref="C39:D39"/>
    <mergeCell ref="E39:F39"/>
    <mergeCell ref="G39:H39"/>
    <mergeCell ref="I39:J39"/>
    <mergeCell ref="K39:L39"/>
    <mergeCell ref="M39:N39"/>
    <mergeCell ref="O39:P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C48:D48"/>
    <mergeCell ref="E48:F48"/>
    <mergeCell ref="G48:H48"/>
    <mergeCell ref="I48:J48"/>
    <mergeCell ref="K48:L48"/>
    <mergeCell ref="M48:N48"/>
    <mergeCell ref="O48:P48"/>
    <mergeCell ref="Q49:R49"/>
    <mergeCell ref="S49:T49"/>
    <mergeCell ref="U49:X49"/>
    <mergeCell ref="C49:D49"/>
    <mergeCell ref="E49:F49"/>
    <mergeCell ref="G49:H49"/>
    <mergeCell ref="I49:J49"/>
    <mergeCell ref="K49:L49"/>
    <mergeCell ref="M49:N49"/>
    <mergeCell ref="O49:P49"/>
    <mergeCell ref="Q50:R50"/>
    <mergeCell ref="S50:T50"/>
    <mergeCell ref="U50:X50"/>
    <mergeCell ref="C50:D50"/>
    <mergeCell ref="E50:F50"/>
    <mergeCell ref="G50:H50"/>
    <mergeCell ref="I50:J50"/>
    <mergeCell ref="K50:L50"/>
    <mergeCell ref="M50:N50"/>
    <mergeCell ref="O50:P50"/>
    <mergeCell ref="Q51:R51"/>
    <mergeCell ref="S51:T51"/>
    <mergeCell ref="U51:X51"/>
    <mergeCell ref="C51:D51"/>
    <mergeCell ref="E51:F51"/>
    <mergeCell ref="G51:H51"/>
    <mergeCell ref="I51:J51"/>
    <mergeCell ref="K51:L51"/>
    <mergeCell ref="M51:N51"/>
    <mergeCell ref="O51:P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C60:D60"/>
    <mergeCell ref="E60:F60"/>
    <mergeCell ref="G60:H60"/>
    <mergeCell ref="I60:J60"/>
    <mergeCell ref="K60:L60"/>
    <mergeCell ref="M60:N60"/>
    <mergeCell ref="O60:P60"/>
    <mergeCell ref="Q61:R61"/>
    <mergeCell ref="S61:T61"/>
    <mergeCell ref="U61:X61"/>
    <mergeCell ref="C61:D61"/>
    <mergeCell ref="E61:F61"/>
    <mergeCell ref="G61:H61"/>
    <mergeCell ref="I61:J61"/>
    <mergeCell ref="K61:L61"/>
    <mergeCell ref="M61:N61"/>
    <mergeCell ref="O61:P61"/>
    <mergeCell ref="Q62:R62"/>
    <mergeCell ref="S62:T62"/>
    <mergeCell ref="U62:X62"/>
    <mergeCell ref="C62:D62"/>
    <mergeCell ref="E62:F62"/>
    <mergeCell ref="G62:H62"/>
    <mergeCell ref="I62:J62"/>
    <mergeCell ref="K62:L62"/>
    <mergeCell ref="M62:N62"/>
    <mergeCell ref="O62:P62"/>
    <mergeCell ref="Q63:R63"/>
    <mergeCell ref="S63:T63"/>
    <mergeCell ref="U63:X63"/>
    <mergeCell ref="C63:D63"/>
    <mergeCell ref="E63:F63"/>
    <mergeCell ref="G63:H63"/>
    <mergeCell ref="I63:J63"/>
    <mergeCell ref="K63:L63"/>
    <mergeCell ref="M63:N63"/>
    <mergeCell ref="O63:P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Q72:R72"/>
    <mergeCell ref="S72:T72"/>
    <mergeCell ref="U72:X72"/>
    <mergeCell ref="C72:D72"/>
    <mergeCell ref="E72:F72"/>
    <mergeCell ref="G72:H72"/>
    <mergeCell ref="I72:J72"/>
    <mergeCell ref="K72:L72"/>
    <mergeCell ref="M72:N72"/>
    <mergeCell ref="O72:P72"/>
    <mergeCell ref="Q73:R73"/>
    <mergeCell ref="S73:T73"/>
    <mergeCell ref="U73:X73"/>
    <mergeCell ref="C73:D73"/>
    <mergeCell ref="E73:F73"/>
    <mergeCell ref="G73:H73"/>
    <mergeCell ref="I73:J73"/>
    <mergeCell ref="K73:L73"/>
    <mergeCell ref="M73:N73"/>
    <mergeCell ref="O73:P73"/>
    <mergeCell ref="Q74:R74"/>
    <mergeCell ref="S74:T74"/>
    <mergeCell ref="U74:X74"/>
    <mergeCell ref="C74:D74"/>
    <mergeCell ref="E74:F74"/>
    <mergeCell ref="G74:H74"/>
    <mergeCell ref="I74:J74"/>
    <mergeCell ref="K74:L74"/>
    <mergeCell ref="M74:N74"/>
    <mergeCell ref="O74:P74"/>
    <mergeCell ref="Q75:R75"/>
    <mergeCell ref="S75:T75"/>
    <mergeCell ref="U75:X75"/>
    <mergeCell ref="C75:D75"/>
    <mergeCell ref="E75:F75"/>
    <mergeCell ref="G75:H75"/>
    <mergeCell ref="I75:J75"/>
    <mergeCell ref="K75:L75"/>
    <mergeCell ref="M75:N75"/>
    <mergeCell ref="O75:P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C84:D84"/>
    <mergeCell ref="E84:F84"/>
    <mergeCell ref="G84:H84"/>
    <mergeCell ref="I84:J84"/>
    <mergeCell ref="K84:L84"/>
    <mergeCell ref="M84:N84"/>
    <mergeCell ref="O84:P84"/>
    <mergeCell ref="Q85:R85"/>
    <mergeCell ref="S85:T85"/>
    <mergeCell ref="U85:X85"/>
    <mergeCell ref="C85:D85"/>
    <mergeCell ref="E85:F85"/>
    <mergeCell ref="G85:H85"/>
    <mergeCell ref="I85:J85"/>
    <mergeCell ref="K85:L85"/>
    <mergeCell ref="M85:N85"/>
    <mergeCell ref="O85:P85"/>
    <mergeCell ref="Q86:R86"/>
    <mergeCell ref="S86:T86"/>
    <mergeCell ref="U86:X86"/>
    <mergeCell ref="C86:D86"/>
    <mergeCell ref="E86:F86"/>
    <mergeCell ref="G86:H86"/>
    <mergeCell ref="I86:J86"/>
    <mergeCell ref="K86:L86"/>
    <mergeCell ref="M86:N86"/>
    <mergeCell ref="O86:P86"/>
    <mergeCell ref="Q87:R87"/>
    <mergeCell ref="S87:T87"/>
    <mergeCell ref="U87:X87"/>
    <mergeCell ref="C87:D87"/>
    <mergeCell ref="E87:F87"/>
    <mergeCell ref="G87:H87"/>
    <mergeCell ref="I87:J87"/>
    <mergeCell ref="K87:L87"/>
    <mergeCell ref="M87:N87"/>
    <mergeCell ref="O87:P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96:R96"/>
    <mergeCell ref="S96:T96"/>
    <mergeCell ref="U96:X96"/>
    <mergeCell ref="C96:D96"/>
    <mergeCell ref="E96:F96"/>
    <mergeCell ref="G96:H96"/>
    <mergeCell ref="I96:J96"/>
    <mergeCell ref="K96:L96"/>
    <mergeCell ref="M96:N96"/>
    <mergeCell ref="O96:P96"/>
    <mergeCell ref="Q97:R97"/>
    <mergeCell ref="S97:T97"/>
    <mergeCell ref="U97:X97"/>
    <mergeCell ref="C97:D97"/>
    <mergeCell ref="E97:F97"/>
    <mergeCell ref="G97:H97"/>
    <mergeCell ref="I97:J97"/>
    <mergeCell ref="K97:L97"/>
    <mergeCell ref="M97:N97"/>
    <mergeCell ref="O97:P97"/>
    <mergeCell ref="Q98:R98"/>
    <mergeCell ref="S98:T98"/>
    <mergeCell ref="U98:X98"/>
    <mergeCell ref="C98:D98"/>
    <mergeCell ref="E98:F98"/>
    <mergeCell ref="G98:H98"/>
    <mergeCell ref="I98:J98"/>
    <mergeCell ref="K98:L98"/>
    <mergeCell ref="M98:N98"/>
    <mergeCell ref="O98:P98"/>
    <mergeCell ref="Q99:R99"/>
    <mergeCell ref="S99:T99"/>
    <mergeCell ref="U99:X99"/>
    <mergeCell ref="C99:D99"/>
    <mergeCell ref="E99:F99"/>
    <mergeCell ref="G99:H99"/>
    <mergeCell ref="I99:J99"/>
    <mergeCell ref="K99:L99"/>
    <mergeCell ref="M99:N99"/>
    <mergeCell ref="O99:P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C108:D108"/>
    <mergeCell ref="E108:F108"/>
    <mergeCell ref="G108:H108"/>
    <mergeCell ref="I108:J108"/>
    <mergeCell ref="K108:L108"/>
    <mergeCell ref="M108:N108"/>
    <mergeCell ref="O108:P108"/>
    <mergeCell ref="Q109:R109"/>
    <mergeCell ref="S109:T109"/>
    <mergeCell ref="U109:X109"/>
    <mergeCell ref="C109:D109"/>
    <mergeCell ref="E109:F109"/>
    <mergeCell ref="G109:H109"/>
    <mergeCell ref="I109:J109"/>
    <mergeCell ref="K109:L109"/>
    <mergeCell ref="M109:N109"/>
    <mergeCell ref="O109:P109"/>
    <mergeCell ref="Q110:R110"/>
    <mergeCell ref="S110:T110"/>
    <mergeCell ref="U110:X110"/>
    <mergeCell ref="C110:D110"/>
    <mergeCell ref="E110:F110"/>
    <mergeCell ref="G110:H110"/>
    <mergeCell ref="I110:J110"/>
    <mergeCell ref="K110:L110"/>
    <mergeCell ref="M110:N110"/>
    <mergeCell ref="O110:P110"/>
    <mergeCell ref="Q111:R111"/>
    <mergeCell ref="S111:T111"/>
    <mergeCell ref="U111:X111"/>
    <mergeCell ref="C111:D111"/>
    <mergeCell ref="E111:F111"/>
    <mergeCell ref="G111:H111"/>
    <mergeCell ref="I111:J111"/>
    <mergeCell ref="K111:L111"/>
    <mergeCell ref="M111:N111"/>
    <mergeCell ref="O111:P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C120:D120"/>
    <mergeCell ref="E120:F120"/>
    <mergeCell ref="G120:H120"/>
    <mergeCell ref="I120:J120"/>
    <mergeCell ref="K120:L120"/>
    <mergeCell ref="M120:N120"/>
    <mergeCell ref="O120:P120"/>
    <mergeCell ref="Q121:R121"/>
    <mergeCell ref="S121:T121"/>
    <mergeCell ref="U121:X121"/>
    <mergeCell ref="C121:D121"/>
    <mergeCell ref="E121:F121"/>
    <mergeCell ref="G121:H121"/>
    <mergeCell ref="I121:J121"/>
    <mergeCell ref="K121:L121"/>
    <mergeCell ref="M121:N121"/>
    <mergeCell ref="O121:P121"/>
    <mergeCell ref="Q122:R122"/>
    <mergeCell ref="S122:T122"/>
    <mergeCell ref="U122:X122"/>
    <mergeCell ref="C122:D122"/>
    <mergeCell ref="E122:F122"/>
    <mergeCell ref="G122:H122"/>
    <mergeCell ref="I122:J122"/>
    <mergeCell ref="K122:L122"/>
    <mergeCell ref="M122:N122"/>
    <mergeCell ref="O122:P122"/>
    <mergeCell ref="Q123:R123"/>
    <mergeCell ref="S123:T123"/>
    <mergeCell ref="U123:X123"/>
    <mergeCell ref="C123:D123"/>
    <mergeCell ref="E123:F123"/>
    <mergeCell ref="G123:H123"/>
    <mergeCell ref="I123:J123"/>
    <mergeCell ref="K123:L123"/>
    <mergeCell ref="M123:N123"/>
    <mergeCell ref="O123:P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Q132:R132"/>
    <mergeCell ref="S132:T132"/>
    <mergeCell ref="U132:X132"/>
    <mergeCell ref="C132:D132"/>
    <mergeCell ref="E132:F132"/>
    <mergeCell ref="G132:H132"/>
    <mergeCell ref="I132:J132"/>
    <mergeCell ref="K132:L132"/>
    <mergeCell ref="M132:N132"/>
    <mergeCell ref="O132:P132"/>
    <mergeCell ref="Q133:R133"/>
    <mergeCell ref="S133:T133"/>
    <mergeCell ref="U133:X133"/>
    <mergeCell ref="C133:D133"/>
    <mergeCell ref="E133:F133"/>
    <mergeCell ref="G133:H133"/>
    <mergeCell ref="I133:J133"/>
    <mergeCell ref="K133:L133"/>
    <mergeCell ref="M133:N133"/>
    <mergeCell ref="O133:P133"/>
    <mergeCell ref="Q134:R134"/>
    <mergeCell ref="S134:T134"/>
    <mergeCell ref="U134:X134"/>
    <mergeCell ref="C134:D134"/>
    <mergeCell ref="E134:F134"/>
    <mergeCell ref="G134:H134"/>
    <mergeCell ref="I134:J134"/>
    <mergeCell ref="K134:L134"/>
    <mergeCell ref="M134:N134"/>
    <mergeCell ref="O134:P134"/>
    <mergeCell ref="Q135:R135"/>
    <mergeCell ref="S135:T135"/>
    <mergeCell ref="U135:X135"/>
    <mergeCell ref="C135:D135"/>
    <mergeCell ref="E135:F135"/>
    <mergeCell ref="G135:H135"/>
    <mergeCell ref="I135:J135"/>
    <mergeCell ref="K135:L135"/>
    <mergeCell ref="M135:N135"/>
    <mergeCell ref="O135:P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C144:D144"/>
    <mergeCell ref="E144:F144"/>
    <mergeCell ref="G144:H144"/>
    <mergeCell ref="I144:J144"/>
    <mergeCell ref="K144:L144"/>
    <mergeCell ref="M144:N144"/>
    <mergeCell ref="O144:P144"/>
    <mergeCell ref="Q145:R145"/>
    <mergeCell ref="S145:T145"/>
    <mergeCell ref="U145:X145"/>
    <mergeCell ref="C145:D145"/>
    <mergeCell ref="E145:F145"/>
    <mergeCell ref="G145:H145"/>
    <mergeCell ref="I145:J145"/>
    <mergeCell ref="K145:L145"/>
    <mergeCell ref="M145:N145"/>
    <mergeCell ref="O145:P145"/>
    <mergeCell ref="Q146:R146"/>
    <mergeCell ref="S146:T146"/>
    <mergeCell ref="U146:X146"/>
    <mergeCell ref="C146:D146"/>
    <mergeCell ref="E146:F146"/>
    <mergeCell ref="G146:H146"/>
    <mergeCell ref="I146:J146"/>
    <mergeCell ref="K146:L146"/>
    <mergeCell ref="M146:N146"/>
    <mergeCell ref="O146:P146"/>
    <mergeCell ref="Q147:R147"/>
    <mergeCell ref="S147:T147"/>
    <mergeCell ref="U147:X147"/>
    <mergeCell ref="C147:D147"/>
    <mergeCell ref="E147:F147"/>
    <mergeCell ref="G147:H147"/>
    <mergeCell ref="I147:J147"/>
    <mergeCell ref="K147:L147"/>
    <mergeCell ref="M147:N147"/>
    <mergeCell ref="O147:P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56:R156"/>
    <mergeCell ref="S156:T156"/>
    <mergeCell ref="U156:X156"/>
    <mergeCell ref="C156:D156"/>
    <mergeCell ref="E156:F156"/>
    <mergeCell ref="G156:H156"/>
    <mergeCell ref="I156:J156"/>
    <mergeCell ref="K156:L156"/>
    <mergeCell ref="M156:N156"/>
    <mergeCell ref="O156:P156"/>
    <mergeCell ref="Q157:R157"/>
    <mergeCell ref="S157:T157"/>
    <mergeCell ref="U157:X157"/>
    <mergeCell ref="C157:D157"/>
    <mergeCell ref="E157:F157"/>
    <mergeCell ref="G157:H157"/>
    <mergeCell ref="I157:J157"/>
    <mergeCell ref="K157:L157"/>
    <mergeCell ref="M157:N157"/>
    <mergeCell ref="O157:P157"/>
    <mergeCell ref="Q158:R158"/>
    <mergeCell ref="S158:T158"/>
    <mergeCell ref="U158:X158"/>
    <mergeCell ref="C158:D158"/>
    <mergeCell ref="E158:F158"/>
    <mergeCell ref="G158:H158"/>
    <mergeCell ref="I158:J158"/>
    <mergeCell ref="K158:L158"/>
    <mergeCell ref="M158:N158"/>
    <mergeCell ref="O158:P158"/>
    <mergeCell ref="Q159:R159"/>
    <mergeCell ref="S159:T159"/>
    <mergeCell ref="U159:X159"/>
    <mergeCell ref="C159:D159"/>
    <mergeCell ref="E159:F159"/>
    <mergeCell ref="G159:H159"/>
    <mergeCell ref="I159:J159"/>
    <mergeCell ref="K159:L159"/>
    <mergeCell ref="M159:N159"/>
    <mergeCell ref="O159:P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Q215:R215"/>
    <mergeCell ref="S215:T215"/>
    <mergeCell ref="U215:X215"/>
    <mergeCell ref="C215:D215"/>
    <mergeCell ref="E215:F215"/>
    <mergeCell ref="G215:H215"/>
    <mergeCell ref="I215:J215"/>
    <mergeCell ref="K215:L215"/>
    <mergeCell ref="M215:N215"/>
    <mergeCell ref="O215:P215"/>
    <mergeCell ref="Q216:R216"/>
    <mergeCell ref="S216:T216"/>
    <mergeCell ref="U216:X216"/>
    <mergeCell ref="C216:D216"/>
    <mergeCell ref="E216:F216"/>
    <mergeCell ref="G216:H216"/>
    <mergeCell ref="I216:J216"/>
    <mergeCell ref="K216:L216"/>
    <mergeCell ref="M216:N216"/>
    <mergeCell ref="O216:P216"/>
    <mergeCell ref="Q217:R217"/>
    <mergeCell ref="S217:T217"/>
    <mergeCell ref="U217:X217"/>
    <mergeCell ref="C217:D217"/>
    <mergeCell ref="E217:F217"/>
    <mergeCell ref="G217:H217"/>
    <mergeCell ref="I217:J217"/>
    <mergeCell ref="K217:L217"/>
    <mergeCell ref="M217:N217"/>
    <mergeCell ref="O217:P217"/>
    <mergeCell ref="Q218:R218"/>
    <mergeCell ref="S218:T218"/>
    <mergeCell ref="U218:X218"/>
    <mergeCell ref="C218:D218"/>
    <mergeCell ref="E218:F218"/>
    <mergeCell ref="G218:H218"/>
    <mergeCell ref="I218:J218"/>
    <mergeCell ref="K218:L218"/>
    <mergeCell ref="M218:N218"/>
    <mergeCell ref="O218:P218"/>
    <mergeCell ref="Q219:R219"/>
    <mergeCell ref="S219:T219"/>
    <mergeCell ref="U219:X219"/>
    <mergeCell ref="C219:D219"/>
    <mergeCell ref="E219:F219"/>
    <mergeCell ref="G219:H219"/>
    <mergeCell ref="I219:J219"/>
    <mergeCell ref="K219:L219"/>
    <mergeCell ref="M219:N219"/>
    <mergeCell ref="O219:P219"/>
    <mergeCell ref="Q220:R220"/>
    <mergeCell ref="S220:T220"/>
    <mergeCell ref="U220:X220"/>
    <mergeCell ref="C220:D220"/>
    <mergeCell ref="E220:F220"/>
    <mergeCell ref="G220:H220"/>
    <mergeCell ref="I220:J220"/>
    <mergeCell ref="K220:L220"/>
    <mergeCell ref="M220:N220"/>
    <mergeCell ref="O220:P220"/>
    <mergeCell ref="Q221:R221"/>
    <mergeCell ref="S221:T221"/>
    <mergeCell ref="U221:X221"/>
    <mergeCell ref="C221:D221"/>
    <mergeCell ref="E221:F221"/>
    <mergeCell ref="G221:H221"/>
    <mergeCell ref="I221:J221"/>
    <mergeCell ref="K221:L221"/>
    <mergeCell ref="M221:N221"/>
    <mergeCell ref="O221:P221"/>
    <mergeCell ref="Q222:R222"/>
    <mergeCell ref="S222:T222"/>
    <mergeCell ref="U222:X222"/>
    <mergeCell ref="C222:D222"/>
    <mergeCell ref="E222:F222"/>
    <mergeCell ref="G222:H222"/>
    <mergeCell ref="I222:J222"/>
    <mergeCell ref="K222:L222"/>
    <mergeCell ref="M222:N222"/>
    <mergeCell ref="O222:P222"/>
    <mergeCell ref="Q223:R223"/>
    <mergeCell ref="S223:T223"/>
    <mergeCell ref="U223:X223"/>
    <mergeCell ref="C223:D223"/>
    <mergeCell ref="E223:F223"/>
    <mergeCell ref="G223:H223"/>
    <mergeCell ref="I223:J223"/>
    <mergeCell ref="K223:L223"/>
    <mergeCell ref="M223:N223"/>
    <mergeCell ref="O223:P223"/>
    <mergeCell ref="Q224:R224"/>
    <mergeCell ref="S224:T224"/>
    <mergeCell ref="U224:X224"/>
    <mergeCell ref="C224:D224"/>
    <mergeCell ref="E224:F224"/>
    <mergeCell ref="G224:H224"/>
    <mergeCell ref="I224:J224"/>
    <mergeCell ref="K224:L224"/>
    <mergeCell ref="M224:N224"/>
    <mergeCell ref="O224:P224"/>
    <mergeCell ref="Q225:R225"/>
    <mergeCell ref="S225:T225"/>
    <mergeCell ref="U225:X225"/>
    <mergeCell ref="C225:D225"/>
    <mergeCell ref="E225:F225"/>
    <mergeCell ref="G225:H225"/>
    <mergeCell ref="I225:J225"/>
    <mergeCell ref="K225:L225"/>
    <mergeCell ref="M225:N225"/>
    <mergeCell ref="O225:P225"/>
    <mergeCell ref="Q226:R226"/>
    <mergeCell ref="S226:T226"/>
    <mergeCell ref="U226:X226"/>
    <mergeCell ref="C226:D226"/>
    <mergeCell ref="E226:F226"/>
    <mergeCell ref="G226:H226"/>
    <mergeCell ref="I226:J226"/>
    <mergeCell ref="K226:L226"/>
    <mergeCell ref="M226:N226"/>
    <mergeCell ref="O226:P226"/>
    <mergeCell ref="Q227:R227"/>
    <mergeCell ref="S227:T227"/>
    <mergeCell ref="U227:X227"/>
    <mergeCell ref="C227:D227"/>
    <mergeCell ref="E227:F227"/>
    <mergeCell ref="G227:H227"/>
    <mergeCell ref="I227:J227"/>
    <mergeCell ref="K227:L227"/>
    <mergeCell ref="M227:N227"/>
    <mergeCell ref="O227:P227"/>
    <mergeCell ref="Q228:R228"/>
    <mergeCell ref="S228:T228"/>
    <mergeCell ref="U228:X228"/>
    <mergeCell ref="C228:D228"/>
    <mergeCell ref="E228:F228"/>
    <mergeCell ref="G228:H228"/>
    <mergeCell ref="I228:J228"/>
    <mergeCell ref="K228:L228"/>
    <mergeCell ref="M228:N228"/>
    <mergeCell ref="O228:P228"/>
    <mergeCell ref="Q229:R229"/>
    <mergeCell ref="S229:T229"/>
    <mergeCell ref="U229:X229"/>
    <mergeCell ref="C229:D229"/>
    <mergeCell ref="E229:F229"/>
    <mergeCell ref="G229:H229"/>
    <mergeCell ref="I229:J229"/>
    <mergeCell ref="K229:L229"/>
    <mergeCell ref="M229:N229"/>
    <mergeCell ref="O229:P229"/>
    <mergeCell ref="Q230:R230"/>
    <mergeCell ref="S230:T230"/>
    <mergeCell ref="U230:X230"/>
    <mergeCell ref="C230:D230"/>
    <mergeCell ref="E230:F230"/>
    <mergeCell ref="G230:H230"/>
    <mergeCell ref="I230:J230"/>
    <mergeCell ref="K230:L230"/>
    <mergeCell ref="M230:N230"/>
    <mergeCell ref="O230:P230"/>
    <mergeCell ref="Q231:R231"/>
    <mergeCell ref="S231:T231"/>
    <mergeCell ref="U231:X231"/>
    <mergeCell ref="C231:D231"/>
    <mergeCell ref="E231:F231"/>
    <mergeCell ref="G231:H231"/>
    <mergeCell ref="I231:J231"/>
    <mergeCell ref="K231:L231"/>
    <mergeCell ref="M231:N231"/>
    <mergeCell ref="O231:P231"/>
    <mergeCell ref="Q232:R232"/>
    <mergeCell ref="S232:T232"/>
    <mergeCell ref="U232:X232"/>
    <mergeCell ref="C232:D232"/>
    <mergeCell ref="E232:F232"/>
    <mergeCell ref="G232:H232"/>
    <mergeCell ref="I232:J232"/>
    <mergeCell ref="K232:L232"/>
    <mergeCell ref="M232:N232"/>
    <mergeCell ref="O232:P232"/>
    <mergeCell ref="Q233:R233"/>
    <mergeCell ref="S233:T233"/>
    <mergeCell ref="U233:X233"/>
    <mergeCell ref="C233:D233"/>
    <mergeCell ref="E233:F233"/>
    <mergeCell ref="G233:H233"/>
    <mergeCell ref="I233:J233"/>
    <mergeCell ref="K233:L233"/>
    <mergeCell ref="M233:N233"/>
    <mergeCell ref="O233:P233"/>
    <mergeCell ref="Q234:R234"/>
    <mergeCell ref="S234:T234"/>
    <mergeCell ref="U234:X234"/>
    <mergeCell ref="C234:D234"/>
    <mergeCell ref="E234:F234"/>
    <mergeCell ref="G234:H234"/>
    <mergeCell ref="I234:J234"/>
    <mergeCell ref="K234:L234"/>
    <mergeCell ref="M234:N234"/>
    <mergeCell ref="O234:P234"/>
    <mergeCell ref="Q235:R235"/>
    <mergeCell ref="S235:T235"/>
    <mergeCell ref="U235:X235"/>
    <mergeCell ref="C235:D235"/>
    <mergeCell ref="E235:F235"/>
    <mergeCell ref="G235:H235"/>
    <mergeCell ref="I235:J235"/>
    <mergeCell ref="K235:L235"/>
    <mergeCell ref="M235:N235"/>
    <mergeCell ref="O235:P235"/>
    <mergeCell ref="Q243:R243"/>
    <mergeCell ref="S243:T243"/>
    <mergeCell ref="U243:X243"/>
    <mergeCell ref="C243:D243"/>
    <mergeCell ref="E243:F243"/>
    <mergeCell ref="G243:H243"/>
    <mergeCell ref="I243:J243"/>
    <mergeCell ref="K243:L243"/>
    <mergeCell ref="M243:N243"/>
    <mergeCell ref="O243:P243"/>
    <mergeCell ref="Q244:R244"/>
    <mergeCell ref="S244:T244"/>
    <mergeCell ref="U244:X244"/>
    <mergeCell ref="C244:D244"/>
    <mergeCell ref="E244:F244"/>
    <mergeCell ref="G244:H244"/>
    <mergeCell ref="I244:J244"/>
    <mergeCell ref="K244:L244"/>
    <mergeCell ref="M244:N244"/>
    <mergeCell ref="O244:P244"/>
    <mergeCell ref="Q245:R245"/>
    <mergeCell ref="S245:T245"/>
    <mergeCell ref="U245:X245"/>
    <mergeCell ref="C245:D245"/>
    <mergeCell ref="E245:F245"/>
    <mergeCell ref="G245:H245"/>
    <mergeCell ref="I245:J245"/>
    <mergeCell ref="K245:L245"/>
    <mergeCell ref="M245:N245"/>
    <mergeCell ref="O245:P245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46:R246"/>
    <mergeCell ref="S246:T246"/>
    <mergeCell ref="U246:X246"/>
    <mergeCell ref="C246:D246"/>
    <mergeCell ref="E246:F246"/>
    <mergeCell ref="G246:H246"/>
    <mergeCell ref="I246:J246"/>
    <mergeCell ref="K246:L246"/>
    <mergeCell ref="M246:N246"/>
    <mergeCell ref="O246:P246"/>
    <mergeCell ref="Q236:R236"/>
    <mergeCell ref="S236:T236"/>
    <mergeCell ref="U236:X236"/>
    <mergeCell ref="C236:D236"/>
    <mergeCell ref="E236:F236"/>
    <mergeCell ref="G236:H236"/>
    <mergeCell ref="I236:J236"/>
    <mergeCell ref="K236:L236"/>
    <mergeCell ref="M236:N236"/>
    <mergeCell ref="O236:P236"/>
    <mergeCell ref="Q237:R237"/>
    <mergeCell ref="S237:T237"/>
    <mergeCell ref="U237:X237"/>
    <mergeCell ref="C237:D237"/>
    <mergeCell ref="E237:F237"/>
    <mergeCell ref="G237:H237"/>
    <mergeCell ref="I237:J237"/>
    <mergeCell ref="K237:L237"/>
    <mergeCell ref="M237:N237"/>
    <mergeCell ref="O237:P237"/>
    <mergeCell ref="Q238:R238"/>
    <mergeCell ref="S238:T238"/>
    <mergeCell ref="U238:X238"/>
    <mergeCell ref="C238:D238"/>
    <mergeCell ref="E238:F238"/>
    <mergeCell ref="G238:H238"/>
    <mergeCell ref="I238:J238"/>
    <mergeCell ref="K238:L238"/>
    <mergeCell ref="M238:N238"/>
    <mergeCell ref="O238:P238"/>
    <mergeCell ref="Q239:R239"/>
    <mergeCell ref="S239:T239"/>
    <mergeCell ref="U239:X239"/>
    <mergeCell ref="C239:D239"/>
    <mergeCell ref="E239:F239"/>
    <mergeCell ref="G239:H239"/>
    <mergeCell ref="I239:J239"/>
    <mergeCell ref="K239:L239"/>
    <mergeCell ref="M239:N239"/>
    <mergeCell ref="O239:P239"/>
    <mergeCell ref="Q240:R240"/>
    <mergeCell ref="S240:T240"/>
    <mergeCell ref="U240:X240"/>
    <mergeCell ref="C240:D240"/>
    <mergeCell ref="E240:F240"/>
    <mergeCell ref="G240:H240"/>
    <mergeCell ref="I240:J240"/>
    <mergeCell ref="K240:L240"/>
    <mergeCell ref="M240:N240"/>
    <mergeCell ref="O240:P240"/>
    <mergeCell ref="Q241:R241"/>
    <mergeCell ref="S241:T241"/>
    <mergeCell ref="U241:X241"/>
    <mergeCell ref="C241:D241"/>
    <mergeCell ref="E241:F241"/>
    <mergeCell ref="G241:H241"/>
    <mergeCell ref="I241:J241"/>
    <mergeCell ref="K241:L241"/>
    <mergeCell ref="M241:N241"/>
    <mergeCell ref="O241:P241"/>
    <mergeCell ref="Q242:R242"/>
    <mergeCell ref="S242:T242"/>
    <mergeCell ref="U242:X242"/>
    <mergeCell ref="C242:D242"/>
    <mergeCell ref="E242:F242"/>
    <mergeCell ref="G242:H242"/>
    <mergeCell ref="I242:J242"/>
    <mergeCell ref="K242:L242"/>
    <mergeCell ref="M242:N242"/>
    <mergeCell ref="O242:P242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C168:D168"/>
    <mergeCell ref="E168:F168"/>
    <mergeCell ref="G168:H168"/>
    <mergeCell ref="I168:J168"/>
    <mergeCell ref="K168:L168"/>
    <mergeCell ref="M168:N168"/>
    <mergeCell ref="O168:P168"/>
    <mergeCell ref="Q169:R169"/>
    <mergeCell ref="S169:T169"/>
    <mergeCell ref="U169:X169"/>
    <mergeCell ref="C169:D169"/>
    <mergeCell ref="E169:F169"/>
    <mergeCell ref="G169:H169"/>
    <mergeCell ref="I169:J169"/>
    <mergeCell ref="K169:L169"/>
    <mergeCell ref="M169:N169"/>
    <mergeCell ref="O169:P169"/>
    <mergeCell ref="Q170:R170"/>
    <mergeCell ref="S170:T170"/>
    <mergeCell ref="U170:X170"/>
    <mergeCell ref="C170:D170"/>
    <mergeCell ref="E170:F170"/>
    <mergeCell ref="G170:H170"/>
    <mergeCell ref="I170:J170"/>
    <mergeCell ref="K170:L170"/>
    <mergeCell ref="M170:N170"/>
    <mergeCell ref="O170:P170"/>
    <mergeCell ref="Q171:R171"/>
    <mergeCell ref="S171:T171"/>
    <mergeCell ref="U171:X171"/>
    <mergeCell ref="C171:D171"/>
    <mergeCell ref="E171:F171"/>
    <mergeCell ref="G171:H171"/>
    <mergeCell ref="I171:J171"/>
    <mergeCell ref="K171:L171"/>
    <mergeCell ref="M171:N171"/>
    <mergeCell ref="O171:P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80:R180"/>
    <mergeCell ref="S180:T180"/>
    <mergeCell ref="U180:X180"/>
    <mergeCell ref="C180:D180"/>
    <mergeCell ref="E180:F180"/>
    <mergeCell ref="G180:H180"/>
    <mergeCell ref="I180:J180"/>
    <mergeCell ref="K180:L180"/>
    <mergeCell ref="M180:N180"/>
    <mergeCell ref="O180:P180"/>
    <mergeCell ref="Q181:R181"/>
    <mergeCell ref="S181:T181"/>
    <mergeCell ref="U181:X181"/>
    <mergeCell ref="C181:D181"/>
    <mergeCell ref="E181:F181"/>
    <mergeCell ref="G181:H181"/>
    <mergeCell ref="I181:J181"/>
    <mergeCell ref="K181:L181"/>
    <mergeCell ref="M181:N181"/>
    <mergeCell ref="O181:P181"/>
    <mergeCell ref="Q182:R182"/>
    <mergeCell ref="S182:T182"/>
    <mergeCell ref="U182:X182"/>
    <mergeCell ref="C182:D182"/>
    <mergeCell ref="E182:F182"/>
    <mergeCell ref="G182:H182"/>
    <mergeCell ref="I182:J182"/>
    <mergeCell ref="K182:L182"/>
    <mergeCell ref="M182:N182"/>
    <mergeCell ref="O182:P182"/>
    <mergeCell ref="Q183:R183"/>
    <mergeCell ref="S183:T183"/>
    <mergeCell ref="U183:X183"/>
    <mergeCell ref="C183:D183"/>
    <mergeCell ref="E183:F183"/>
    <mergeCell ref="G183:H183"/>
    <mergeCell ref="I183:J183"/>
    <mergeCell ref="K183:L183"/>
    <mergeCell ref="M183:N183"/>
    <mergeCell ref="O183:P183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85:R185"/>
    <mergeCell ref="S185:T185"/>
    <mergeCell ref="U185:X185"/>
    <mergeCell ref="C185:D185"/>
    <mergeCell ref="E185:F185"/>
    <mergeCell ref="G185:H185"/>
    <mergeCell ref="I185:J185"/>
    <mergeCell ref="K185:L185"/>
    <mergeCell ref="M185:N185"/>
    <mergeCell ref="O185:P185"/>
    <mergeCell ref="Q186:R186"/>
    <mergeCell ref="S186:T186"/>
    <mergeCell ref="U186:X186"/>
    <mergeCell ref="C186:D186"/>
    <mergeCell ref="E186:F186"/>
    <mergeCell ref="G186:H186"/>
    <mergeCell ref="I186:J186"/>
    <mergeCell ref="K186:L186"/>
    <mergeCell ref="M186:N186"/>
    <mergeCell ref="O186:P186"/>
    <mergeCell ref="Q187:R187"/>
    <mergeCell ref="S187:T187"/>
    <mergeCell ref="U187:X187"/>
    <mergeCell ref="C187:D187"/>
    <mergeCell ref="E187:F187"/>
    <mergeCell ref="G187:H187"/>
    <mergeCell ref="I187:J187"/>
    <mergeCell ref="K187:L187"/>
    <mergeCell ref="M187:N187"/>
    <mergeCell ref="O187:P187"/>
    <mergeCell ref="Q188:R188"/>
    <mergeCell ref="S188:T188"/>
    <mergeCell ref="U188:X188"/>
    <mergeCell ref="C188:D188"/>
    <mergeCell ref="E188:F188"/>
    <mergeCell ref="G188:H188"/>
    <mergeCell ref="I188:J188"/>
    <mergeCell ref="K188:L188"/>
    <mergeCell ref="M188:N188"/>
    <mergeCell ref="O188:P188"/>
    <mergeCell ref="Q189:R189"/>
    <mergeCell ref="S189:T189"/>
    <mergeCell ref="U189:X189"/>
    <mergeCell ref="C189:D189"/>
    <mergeCell ref="E189:F189"/>
    <mergeCell ref="G189:H189"/>
    <mergeCell ref="I189:J189"/>
    <mergeCell ref="K189:L189"/>
    <mergeCell ref="M189:N189"/>
    <mergeCell ref="O189:P189"/>
    <mergeCell ref="Q190:R190"/>
    <mergeCell ref="S190:T190"/>
    <mergeCell ref="U190:X190"/>
    <mergeCell ref="C190:D190"/>
    <mergeCell ref="E190:F190"/>
    <mergeCell ref="G190:H190"/>
    <mergeCell ref="I190:J190"/>
    <mergeCell ref="K190:L190"/>
    <mergeCell ref="M190:N190"/>
    <mergeCell ref="O190:P190"/>
    <mergeCell ref="Q191:R191"/>
    <mergeCell ref="S191:T191"/>
    <mergeCell ref="U191:X191"/>
    <mergeCell ref="C191:D191"/>
    <mergeCell ref="E191:F191"/>
    <mergeCell ref="G191:H191"/>
    <mergeCell ref="I191:J191"/>
    <mergeCell ref="K191:L191"/>
    <mergeCell ref="M191:N191"/>
    <mergeCell ref="O191:P191"/>
    <mergeCell ref="Q192:R192"/>
    <mergeCell ref="S192:T192"/>
    <mergeCell ref="U192:X192"/>
    <mergeCell ref="C192:D192"/>
    <mergeCell ref="E192:F192"/>
    <mergeCell ref="G192:H192"/>
    <mergeCell ref="I192:J192"/>
    <mergeCell ref="K192:L192"/>
    <mergeCell ref="M192:N192"/>
    <mergeCell ref="O192:P192"/>
    <mergeCell ref="Q193:R193"/>
    <mergeCell ref="S193:T193"/>
    <mergeCell ref="U193:X193"/>
    <mergeCell ref="C193:D193"/>
    <mergeCell ref="E193:F193"/>
    <mergeCell ref="G193:H193"/>
    <mergeCell ref="I193:J193"/>
    <mergeCell ref="K193:L193"/>
    <mergeCell ref="M193:N193"/>
    <mergeCell ref="O193:P193"/>
    <mergeCell ref="Q194:R194"/>
    <mergeCell ref="S194:T194"/>
    <mergeCell ref="U194:X194"/>
    <mergeCell ref="C194:D194"/>
    <mergeCell ref="E194:F194"/>
    <mergeCell ref="G194:H194"/>
    <mergeCell ref="I194:J194"/>
    <mergeCell ref="K194:L194"/>
    <mergeCell ref="M194:N194"/>
    <mergeCell ref="O194:P194"/>
    <mergeCell ref="Q195:R195"/>
    <mergeCell ref="S195:T195"/>
    <mergeCell ref="U195:X195"/>
    <mergeCell ref="C195:D195"/>
    <mergeCell ref="E195:F195"/>
    <mergeCell ref="G195:H195"/>
    <mergeCell ref="I195:J195"/>
    <mergeCell ref="K195:L195"/>
    <mergeCell ref="M195:N195"/>
    <mergeCell ref="O195:P195"/>
    <mergeCell ref="Q196:R196"/>
    <mergeCell ref="S196:T196"/>
    <mergeCell ref="U196:X196"/>
    <mergeCell ref="C196:D196"/>
    <mergeCell ref="E196:F196"/>
    <mergeCell ref="G196:H196"/>
    <mergeCell ref="I196:J196"/>
    <mergeCell ref="K196:L196"/>
    <mergeCell ref="M196:N196"/>
    <mergeCell ref="O196:P196"/>
    <mergeCell ref="Q197:R197"/>
    <mergeCell ref="S197:T197"/>
    <mergeCell ref="U197:X197"/>
    <mergeCell ref="C197:D197"/>
    <mergeCell ref="E197:F197"/>
    <mergeCell ref="G197:H197"/>
    <mergeCell ref="I197:J197"/>
    <mergeCell ref="K197:L197"/>
    <mergeCell ref="M197:N197"/>
    <mergeCell ref="O197:P197"/>
    <mergeCell ref="Q198:R198"/>
    <mergeCell ref="S198:T198"/>
    <mergeCell ref="U198:X198"/>
    <mergeCell ref="C198:D198"/>
    <mergeCell ref="E198:F198"/>
    <mergeCell ref="G198:H198"/>
    <mergeCell ref="I198:J198"/>
    <mergeCell ref="K198:L198"/>
    <mergeCell ref="M198:N198"/>
    <mergeCell ref="O198:P198"/>
    <mergeCell ref="Q199:R199"/>
    <mergeCell ref="S199:T199"/>
    <mergeCell ref="U199:X199"/>
    <mergeCell ref="C199:D199"/>
    <mergeCell ref="E199:F199"/>
    <mergeCell ref="G199:H199"/>
    <mergeCell ref="I199:J199"/>
    <mergeCell ref="K199:L199"/>
    <mergeCell ref="M199:N199"/>
    <mergeCell ref="O199:P199"/>
    <mergeCell ref="Q200:R200"/>
    <mergeCell ref="S200:T200"/>
    <mergeCell ref="U200:X200"/>
    <mergeCell ref="C200:D200"/>
    <mergeCell ref="E200:F200"/>
    <mergeCell ref="G200:H200"/>
    <mergeCell ref="I200:J200"/>
    <mergeCell ref="K200:L200"/>
    <mergeCell ref="M200:N200"/>
    <mergeCell ref="O200:P200"/>
    <mergeCell ref="Q201:R201"/>
    <mergeCell ref="S201:T201"/>
    <mergeCell ref="U201:X201"/>
    <mergeCell ref="C201:D201"/>
    <mergeCell ref="E201:F201"/>
    <mergeCell ref="G201:H201"/>
    <mergeCell ref="I201:J201"/>
    <mergeCell ref="K201:L201"/>
    <mergeCell ref="M201:N201"/>
    <mergeCell ref="O201:P201"/>
    <mergeCell ref="Q202:R202"/>
    <mergeCell ref="S202:T202"/>
    <mergeCell ref="U202:X202"/>
    <mergeCell ref="C202:D202"/>
    <mergeCell ref="E202:F202"/>
    <mergeCell ref="G202:H202"/>
    <mergeCell ref="I202:J202"/>
    <mergeCell ref="K202:L202"/>
    <mergeCell ref="M202:N202"/>
    <mergeCell ref="O202:P202"/>
    <mergeCell ref="Q203:R203"/>
    <mergeCell ref="S203:T203"/>
    <mergeCell ref="U203:X203"/>
    <mergeCell ref="C203:D203"/>
    <mergeCell ref="E203:F203"/>
    <mergeCell ref="G203:H203"/>
    <mergeCell ref="I203:J203"/>
    <mergeCell ref="K203:L203"/>
    <mergeCell ref="M203:N203"/>
    <mergeCell ref="O203:P203"/>
    <mergeCell ref="Q204:R204"/>
    <mergeCell ref="S204:T204"/>
    <mergeCell ref="U204:X204"/>
    <mergeCell ref="C204:D204"/>
    <mergeCell ref="E204:F204"/>
    <mergeCell ref="G204:H204"/>
    <mergeCell ref="I204:J204"/>
    <mergeCell ref="K204:L204"/>
    <mergeCell ref="M204:N204"/>
    <mergeCell ref="O204:P204"/>
    <mergeCell ref="Q205:R205"/>
    <mergeCell ref="S205:T205"/>
    <mergeCell ref="U205:X205"/>
    <mergeCell ref="C205:D205"/>
    <mergeCell ref="E205:F205"/>
    <mergeCell ref="G205:H205"/>
    <mergeCell ref="I205:J205"/>
    <mergeCell ref="K205:L205"/>
    <mergeCell ref="M205:N205"/>
    <mergeCell ref="O205:P205"/>
    <mergeCell ref="Q206:R206"/>
    <mergeCell ref="S206:T206"/>
    <mergeCell ref="U206:X206"/>
    <mergeCell ref="C206:D206"/>
    <mergeCell ref="E206:F206"/>
    <mergeCell ref="G206:H206"/>
    <mergeCell ref="I206:J206"/>
    <mergeCell ref="K206:L206"/>
    <mergeCell ref="M206:N206"/>
    <mergeCell ref="O206:P206"/>
    <mergeCell ref="Q207:R207"/>
    <mergeCell ref="S207:T207"/>
    <mergeCell ref="U207:X207"/>
    <mergeCell ref="C207:D207"/>
    <mergeCell ref="E207:F207"/>
    <mergeCell ref="G207:H207"/>
    <mergeCell ref="I207:J207"/>
    <mergeCell ref="K207:L207"/>
    <mergeCell ref="M207:N207"/>
    <mergeCell ref="O207:P207"/>
    <mergeCell ref="Q208:R208"/>
    <mergeCell ref="S208:T208"/>
    <mergeCell ref="U208:X208"/>
    <mergeCell ref="C208:D208"/>
    <mergeCell ref="E208:F208"/>
    <mergeCell ref="G208:H208"/>
    <mergeCell ref="I208:J208"/>
    <mergeCell ref="K208:L208"/>
    <mergeCell ref="M208:N208"/>
    <mergeCell ref="O208:P208"/>
    <mergeCell ref="Q209:R209"/>
    <mergeCell ref="S209:T209"/>
    <mergeCell ref="U209:X209"/>
    <mergeCell ref="C209:D209"/>
    <mergeCell ref="E209:F209"/>
    <mergeCell ref="G209:H209"/>
    <mergeCell ref="I209:J209"/>
    <mergeCell ref="K209:L209"/>
    <mergeCell ref="M209:N209"/>
    <mergeCell ref="O209:P209"/>
    <mergeCell ref="Q210:R210"/>
    <mergeCell ref="S210:T210"/>
    <mergeCell ref="U210:X210"/>
    <mergeCell ref="C210:D210"/>
    <mergeCell ref="E210:F210"/>
    <mergeCell ref="G210:H210"/>
    <mergeCell ref="I210:J210"/>
    <mergeCell ref="K210:L210"/>
    <mergeCell ref="M210:N210"/>
    <mergeCell ref="O210:P210"/>
    <mergeCell ref="Q211:R211"/>
    <mergeCell ref="S211:T211"/>
    <mergeCell ref="U211:X211"/>
    <mergeCell ref="C211:D211"/>
    <mergeCell ref="E211:F211"/>
    <mergeCell ref="G211:H211"/>
    <mergeCell ref="I211:J211"/>
    <mergeCell ref="K211:L211"/>
    <mergeCell ref="M211:N211"/>
    <mergeCell ref="O211:P211"/>
    <mergeCell ref="Q212:R212"/>
    <mergeCell ref="S212:T212"/>
    <mergeCell ref="U212:X212"/>
    <mergeCell ref="C212:D212"/>
    <mergeCell ref="E212:F212"/>
    <mergeCell ref="G212:H212"/>
    <mergeCell ref="I212:J212"/>
    <mergeCell ref="K212:L212"/>
    <mergeCell ref="M212:N212"/>
    <mergeCell ref="O212:P212"/>
    <mergeCell ref="Q213:R213"/>
    <mergeCell ref="S213:T213"/>
    <mergeCell ref="U213:X213"/>
    <mergeCell ref="C213:D213"/>
    <mergeCell ref="E213:F213"/>
    <mergeCell ref="G213:H213"/>
    <mergeCell ref="I213:J213"/>
    <mergeCell ref="K213:L213"/>
    <mergeCell ref="M213:N213"/>
    <mergeCell ref="O213:P213"/>
    <mergeCell ref="Q214:R214"/>
    <mergeCell ref="S214:T214"/>
    <mergeCell ref="U214:X214"/>
    <mergeCell ref="C214:D214"/>
    <mergeCell ref="E214:F214"/>
    <mergeCell ref="G214:H214"/>
    <mergeCell ref="I214:J214"/>
    <mergeCell ref="K214:L214"/>
    <mergeCell ref="M214:N214"/>
    <mergeCell ref="O214:P214"/>
  </mergeCells>
  <conditionalFormatting sqref="C236:D246">
    <cfRule type="expression" dxfId="4" priority="1">
      <formula>INDIRECT(CONCAT("D",ROW()))</formula>
    </cfRule>
  </conditionalFormatting>
  <conditionalFormatting sqref="C236:D245">
    <cfRule type="expression" dxfId="4" priority="2">
      <formula>INDIRECT(CONCAT("D",ROW()))</formula>
    </cfRule>
  </conditionalFormatting>
  <conditionalFormatting sqref="C219:D235">
    <cfRule type="expression" dxfId="4" priority="3">
      <formula>INDIRECT(CONCAT("D",ROW()))</formula>
    </cfRule>
  </conditionalFormatting>
  <conditionalFormatting sqref="C219:D227 C230:D230 C232:D235">
    <cfRule type="expression" dxfId="4" priority="4">
      <formula>INDIRECT(CONCAT("D",ROW()))</formula>
    </cfRule>
  </conditionalFormatting>
  <conditionalFormatting sqref="C201:D215">
    <cfRule type="expression" dxfId="4" priority="5">
      <formula>INDIRECT(CONCAT("D",ROW()))</formula>
    </cfRule>
  </conditionalFormatting>
  <conditionalFormatting sqref="C201:D215">
    <cfRule type="expression" dxfId="4" priority="6">
      <formula>INDIRECT(CONCAT("D",ROW()))</formula>
    </cfRule>
  </conditionalFormatting>
  <conditionalFormatting sqref="C175:D200">
    <cfRule type="expression" dxfId="4" priority="7">
      <formula>INDIRECT(CONCAT("D",ROW()))</formula>
    </cfRule>
  </conditionalFormatting>
  <conditionalFormatting sqref="C175:D193 C195:D200">
    <cfRule type="expression" dxfId="4" priority="8">
      <formula>INDIRECT(CONCAT("D",ROW()))</formula>
    </cfRule>
  </conditionalFormatting>
  <conditionalFormatting sqref="C148:D174">
    <cfRule type="expression" dxfId="4" priority="9">
      <formula>INDIRECT(CONCAT("D",ROW()))</formula>
    </cfRule>
  </conditionalFormatting>
  <conditionalFormatting sqref="C148:D174">
    <cfRule type="expression" dxfId="4" priority="10">
      <formula>INDIRECT(CONCAT("D",ROW()))</formula>
    </cfRule>
  </conditionalFormatting>
  <conditionalFormatting sqref="C125:D126 C134:D141">
    <cfRule type="expression" dxfId="4" priority="11">
      <formula>INDIRECT(CONCAT("D",ROW()))</formula>
    </cfRule>
  </conditionalFormatting>
  <conditionalFormatting sqref="C125:D147">
    <cfRule type="expression" dxfId="4" priority="12">
      <formula>INDIRECT(CONCAT("D",ROW()))</formula>
    </cfRule>
  </conditionalFormatting>
  <conditionalFormatting sqref="C109:D110">
    <cfRule type="expression" dxfId="4" priority="13">
      <formula>INDIRECT(CONCAT("D",ROW()))</formula>
    </cfRule>
  </conditionalFormatting>
  <conditionalFormatting sqref="C91:D124">
    <cfRule type="expression" dxfId="4" priority="14">
      <formula>INDIRECT(CONCAT("D",ROW()))</formula>
    </cfRule>
  </conditionalFormatting>
  <conditionalFormatting sqref="C59:D90">
    <cfRule type="expression" dxfId="4" priority="15">
      <formula>INDIRECT(CONCAT("D",ROW()))</formula>
    </cfRule>
  </conditionalFormatting>
  <conditionalFormatting sqref="C47:D47">
    <cfRule type="expression" dxfId="0" priority="16">
      <formula>INDIRECT(CONCAT("D",ROW()))</formula>
    </cfRule>
  </conditionalFormatting>
  <conditionalFormatting sqref="C28:D58">
    <cfRule type="expression" dxfId="4" priority="17">
      <formula>INDIRECT(CONCAT("D",ROW()))</formula>
    </cfRule>
  </conditionalFormatting>
  <conditionalFormatting sqref="C16:D27">
    <cfRule type="expression" dxfId="0" priority="18">
      <formula>INDIRECT(CONCAT("D",ROW()))</formula>
    </cfRule>
  </conditionalFormatting>
  <conditionalFormatting sqref="B16:B34">
    <cfRule type="expression" dxfId="0" priority="19">
      <formula>INDIRECT(CONCAT("D",ROW()))</formula>
    </cfRule>
  </conditionalFormatting>
  <hyperlinks>
    <hyperlink display="Orisons" location="Spell List!B16:X27" ref="B3"/>
    <hyperlink display="1st Level Spells" location="Spell List!B28:X58" ref="B4"/>
    <hyperlink display="2nd Level Spells" location="Spell List!B59:X90" ref="B5"/>
    <hyperlink display="3rd Level Spells" location="Spell List!B91:X124" ref="B6"/>
    <hyperlink display="4th Level Spells" location="Spell List!B125:X147" ref="B7"/>
    <hyperlink display="5th Level Spells" location="Spell List!B148:X174" ref="B8"/>
    <hyperlink display="6th Level Spells" location="Spell List!B175:X200" ref="B9"/>
    <hyperlink display="7th Level Spells" location="Spell List!B201:X218" ref="B10"/>
    <hyperlink display="8th Level Spells" location="Spell List!B219:X235" ref="B11"/>
    <hyperlink display="9th Level Spells" location="Spell List!B236:X246" ref="B12"/>
    <hyperlink r:id="rId1" ref="C16"/>
    <hyperlink r:id="rId2" ref="C17"/>
    <hyperlink r:id="rId3" ref="C18"/>
    <hyperlink r:id="rId4" ref="C19"/>
    <hyperlink r:id="rId5" ref="C20"/>
    <hyperlink r:id="rId6" ref="C21"/>
    <hyperlink r:id="rId7" ref="C22"/>
    <hyperlink r:id="rId8" ref="C23"/>
    <hyperlink r:id="rId9" ref="C24"/>
    <hyperlink r:id="rId10" ref="C25"/>
    <hyperlink r:id="rId11" ref="C26"/>
    <hyperlink r:id="rId12" ref="C27"/>
    <hyperlink r:id="rId13" ref="C28"/>
    <hyperlink r:id="rId14" ref="C29"/>
    <hyperlink r:id="rId15" ref="C30"/>
    <hyperlink r:id="rId16" ref="C31"/>
    <hyperlink r:id="rId17" ref="C32"/>
    <hyperlink r:id="rId18" ref="C33"/>
    <hyperlink r:id="rId19" ref="C34"/>
    <hyperlink r:id="rId20" ref="C35"/>
    <hyperlink r:id="rId21" ref="C36"/>
    <hyperlink r:id="rId22" ref="C37"/>
    <hyperlink r:id="rId23" ref="C38"/>
    <hyperlink r:id="rId24" ref="C39"/>
    <hyperlink r:id="rId25" ref="C40"/>
    <hyperlink r:id="rId26" ref="C41"/>
    <hyperlink r:id="rId27" ref="C42"/>
    <hyperlink r:id="rId28" ref="C43"/>
    <hyperlink r:id="rId29" ref="C44"/>
    <hyperlink r:id="rId30" ref="C45"/>
    <hyperlink r:id="rId31" ref="C46"/>
    <hyperlink r:id="rId32" ref="C47"/>
    <hyperlink r:id="rId33" ref="C48"/>
    <hyperlink r:id="rId34" ref="C49"/>
    <hyperlink r:id="rId35" ref="C50"/>
    <hyperlink r:id="rId36" ref="C51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1"/>
    <hyperlink r:id="rId47" ref="C62"/>
    <hyperlink r:id="rId48" ref="C63"/>
    <hyperlink r:id="rId49" ref="C64"/>
    <hyperlink r:id="rId50" ref="C65"/>
    <hyperlink r:id="rId51" ref="C66"/>
    <hyperlink r:id="rId52" ref="C67"/>
    <hyperlink r:id="rId53" ref="C68"/>
    <hyperlink r:id="rId54" ref="C69"/>
    <hyperlink r:id="rId55" ref="C70"/>
    <hyperlink r:id="rId56" ref="C71"/>
    <hyperlink r:id="rId57" ref="C72"/>
    <hyperlink r:id="rId58" ref="C73"/>
    <hyperlink r:id="rId59" ref="C74"/>
    <hyperlink r:id="rId60" ref="C75"/>
    <hyperlink r:id="rId61" ref="C76"/>
    <hyperlink r:id="rId62" ref="C77"/>
    <hyperlink r:id="rId63" ref="C78"/>
    <hyperlink r:id="rId64" ref="C79"/>
    <hyperlink r:id="rId65" ref="C80"/>
    <hyperlink r:id="rId66" ref="C81"/>
    <hyperlink r:id="rId67" ref="C82"/>
    <hyperlink r:id="rId68" ref="C83"/>
    <hyperlink r:id="rId69" ref="C84"/>
    <hyperlink r:id="rId70" ref="C85"/>
    <hyperlink r:id="rId71" ref="C86"/>
    <hyperlink r:id="rId72" ref="C87"/>
    <hyperlink r:id="rId73" ref="C88"/>
    <hyperlink r:id="rId74" ref="C89"/>
    <hyperlink r:id="rId75" ref="C90"/>
    <hyperlink r:id="rId76" ref="C91"/>
    <hyperlink r:id="rId77" ref="C92"/>
    <hyperlink r:id="rId78" ref="C93"/>
    <hyperlink r:id="rId79" ref="C94"/>
    <hyperlink r:id="rId80" ref="C95"/>
    <hyperlink r:id="rId81" ref="C96"/>
    <hyperlink r:id="rId82" ref="C97"/>
    <hyperlink r:id="rId83" ref="C98"/>
    <hyperlink r:id="rId84" ref="C99"/>
    <hyperlink r:id="rId85" ref="C100"/>
    <hyperlink r:id="rId86" ref="C101"/>
    <hyperlink r:id="rId87" ref="C102"/>
    <hyperlink r:id="rId88" ref="C103"/>
    <hyperlink r:id="rId89" ref="C104"/>
    <hyperlink r:id="rId90" ref="C105"/>
    <hyperlink r:id="rId91" ref="C106"/>
    <hyperlink r:id="rId92" ref="C107"/>
    <hyperlink r:id="rId93" ref="C108"/>
    <hyperlink r:id="rId94" ref="C109"/>
    <hyperlink r:id="rId95" ref="C110"/>
    <hyperlink r:id="rId96" ref="C111"/>
    <hyperlink r:id="rId97" ref="C112"/>
    <hyperlink r:id="rId98" ref="C113"/>
    <hyperlink r:id="rId99" ref="C114"/>
    <hyperlink r:id="rId100" ref="C115"/>
    <hyperlink r:id="rId101" ref="C116"/>
    <hyperlink r:id="rId102" ref="C117"/>
    <hyperlink r:id="rId103" ref="C118"/>
    <hyperlink r:id="rId104" ref="C119"/>
    <hyperlink r:id="rId105" ref="C120"/>
    <hyperlink r:id="rId106" ref="C121"/>
    <hyperlink r:id="rId107" ref="C122"/>
    <hyperlink r:id="rId108" ref="C123"/>
    <hyperlink r:id="rId109" ref="C124"/>
    <hyperlink r:id="rId110" ref="C125"/>
    <hyperlink r:id="rId111" ref="C126"/>
    <hyperlink r:id="rId112" ref="C127"/>
    <hyperlink r:id="rId113" ref="C128"/>
    <hyperlink r:id="rId114" ref="C129"/>
    <hyperlink r:id="rId115" ref="C130"/>
    <hyperlink r:id="rId116" ref="C131"/>
    <hyperlink r:id="rId117" ref="C132"/>
    <hyperlink r:id="rId118" ref="C133"/>
    <hyperlink r:id="rId119" ref="C134"/>
    <hyperlink r:id="rId120" ref="C135"/>
    <hyperlink r:id="rId121" ref="C136"/>
    <hyperlink r:id="rId122" ref="C137"/>
    <hyperlink r:id="rId123" ref="C138"/>
    <hyperlink r:id="rId124" ref="C139"/>
    <hyperlink r:id="rId125" ref="C140"/>
    <hyperlink r:id="rId126" ref="C141"/>
    <hyperlink r:id="rId127" ref="C142"/>
    <hyperlink r:id="rId128" ref="C143"/>
    <hyperlink r:id="rId129" ref="C144"/>
    <hyperlink r:id="rId130" ref="C145"/>
    <hyperlink r:id="rId131" ref="C146"/>
    <hyperlink r:id="rId132" ref="C147"/>
    <hyperlink r:id="rId133" ref="C148"/>
    <hyperlink r:id="rId134" ref="C149"/>
    <hyperlink r:id="rId135" ref="C150"/>
    <hyperlink r:id="rId136" ref="C151"/>
    <hyperlink r:id="rId137" ref="C152"/>
    <hyperlink r:id="rId138" ref="C153"/>
    <hyperlink r:id="rId139" ref="C154"/>
    <hyperlink r:id="rId140" ref="C155"/>
    <hyperlink r:id="rId141" ref="C156"/>
    <hyperlink r:id="rId142" ref="C157"/>
    <hyperlink r:id="rId143" ref="C158"/>
    <hyperlink r:id="rId144" ref="C159"/>
    <hyperlink r:id="rId145" ref="C160"/>
    <hyperlink r:id="rId146" ref="C161"/>
    <hyperlink r:id="rId147" ref="C162"/>
    <hyperlink r:id="rId148" ref="C163"/>
    <hyperlink r:id="rId149" ref="C164"/>
    <hyperlink r:id="rId150" ref="C165"/>
    <hyperlink r:id="rId151" ref="C166"/>
    <hyperlink r:id="rId152" ref="C167"/>
    <hyperlink r:id="rId153" ref="C168"/>
    <hyperlink r:id="rId154" ref="C169"/>
    <hyperlink r:id="rId155" ref="C170"/>
    <hyperlink r:id="rId156" ref="C171"/>
    <hyperlink r:id="rId157" ref="C172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2"/>
    <hyperlink r:id="rId168" ref="C183"/>
    <hyperlink r:id="rId169" ref="C184"/>
    <hyperlink r:id="rId170" ref="C185"/>
    <hyperlink r:id="rId171" ref="C186"/>
    <hyperlink r:id="rId172" ref="C187"/>
    <hyperlink r:id="rId173" ref="C188"/>
    <hyperlink r:id="rId174" ref="C189"/>
    <hyperlink r:id="rId175" ref="C190"/>
    <hyperlink r:id="rId176" ref="C191"/>
    <hyperlink r:id="rId177" ref="C192"/>
    <hyperlink r:id="rId178" ref="C193"/>
    <hyperlink r:id="rId179" ref="C194"/>
    <hyperlink r:id="rId180" ref="C195"/>
    <hyperlink r:id="rId181" ref="C196"/>
    <hyperlink r:id="rId182" ref="C197"/>
    <hyperlink r:id="rId183" ref="C198"/>
    <hyperlink r:id="rId184" ref="C199"/>
    <hyperlink r:id="rId185" ref="C200"/>
    <hyperlink r:id="rId186" ref="C201"/>
    <hyperlink r:id="rId187" ref="C202"/>
    <hyperlink r:id="rId188" ref="C203"/>
    <hyperlink r:id="rId189" ref="C204"/>
    <hyperlink r:id="rId190" ref="C205"/>
    <hyperlink r:id="rId191" ref="C206"/>
    <hyperlink r:id="rId192" ref="C207"/>
    <hyperlink r:id="rId193" ref="C208"/>
    <hyperlink r:id="rId194" ref="C209"/>
    <hyperlink r:id="rId195" ref="C210"/>
    <hyperlink r:id="rId196" ref="C211"/>
    <hyperlink r:id="rId197" ref="C212"/>
    <hyperlink r:id="rId198" ref="C213"/>
    <hyperlink r:id="rId199" ref="C214"/>
    <hyperlink r:id="rId200" ref="C215"/>
    <hyperlink r:id="rId201" ref="C216"/>
    <hyperlink r:id="rId202" ref="C217"/>
    <hyperlink r:id="rId203" ref="C218"/>
    <hyperlink r:id="rId204" ref="C219"/>
    <hyperlink r:id="rId205" ref="C220"/>
    <hyperlink r:id="rId206" ref="C221"/>
    <hyperlink r:id="rId207" ref="C222"/>
    <hyperlink r:id="rId208" ref="C223"/>
    <hyperlink r:id="rId209" ref="C224"/>
    <hyperlink r:id="rId210" ref="C225"/>
    <hyperlink r:id="rId211" ref="C226"/>
    <hyperlink r:id="rId212" ref="C227"/>
    <hyperlink r:id="rId213" ref="C228"/>
    <hyperlink r:id="rId214" ref="C229"/>
    <hyperlink r:id="rId215" ref="C230"/>
    <hyperlink r:id="rId216" ref="C231"/>
    <hyperlink r:id="rId217" ref="C232"/>
    <hyperlink r:id="rId218" ref="C233"/>
    <hyperlink r:id="rId219" ref="C234"/>
    <hyperlink r:id="rId220" ref="C235"/>
    <hyperlink r:id="rId221" ref="C236"/>
    <hyperlink r:id="rId222" ref="C237"/>
    <hyperlink r:id="rId223" ref="C238"/>
    <hyperlink r:id="rId224" ref="C239"/>
    <hyperlink r:id="rId225" ref="C240"/>
    <hyperlink r:id="rId226" ref="C241"/>
    <hyperlink r:id="rId227" ref="C242"/>
    <hyperlink r:id="rId228" ref="C243"/>
    <hyperlink r:id="rId229" ref="C244"/>
    <hyperlink r:id="rId230" ref="C245"/>
    <hyperlink r:id="rId231" ref="C246"/>
  </hyperlinks>
  <drawing r:id="rId23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1.43"/>
    <col customWidth="1" min="3" max="3" width="17.0"/>
    <col customWidth="1" min="4" max="4" width="3.14"/>
    <col customWidth="1" min="5" max="5" width="7.57"/>
    <col customWidth="1" min="6" max="6" width="6.0"/>
    <col customWidth="1" min="7" max="8" width="7.29"/>
    <col customWidth="1" min="9" max="10" width="8.43"/>
    <col customWidth="1" min="11" max="11" width="6.57"/>
    <col customWidth="1" min="12" max="12" width="7.86"/>
    <col customWidth="1" min="13" max="14" width="14.43"/>
    <col customWidth="1" min="15" max="15" width="11.57"/>
    <col customWidth="1" min="16" max="16" width="8.29"/>
    <col customWidth="1" min="17" max="17" width="10.0"/>
    <col customWidth="1" min="18" max="18" width="7.14"/>
    <col customWidth="1" min="19" max="19" width="8.86"/>
    <col customWidth="1" min="20" max="20" width="9.57"/>
    <col customWidth="1" min="21" max="22" width="7.29"/>
    <col customWidth="1" min="23" max="23" width="4.86"/>
    <col customWidth="1" min="24" max="28" width="14.43"/>
  </cols>
  <sheetData>
    <row r="1"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</row>
    <row r="2">
      <c r="B2" s="50" t="s">
        <v>706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</row>
    <row r="3">
      <c r="B3" s="51" t="s">
        <v>1</v>
      </c>
      <c r="C3" s="52" t="s">
        <v>15</v>
      </c>
      <c r="D3" s="23"/>
      <c r="E3" s="52" t="s">
        <v>18</v>
      </c>
      <c r="F3" s="23"/>
      <c r="G3" s="52" t="s">
        <v>19</v>
      </c>
      <c r="H3" s="23"/>
      <c r="I3" s="52" t="s">
        <v>20</v>
      </c>
      <c r="J3" s="23"/>
      <c r="K3" s="52" t="s">
        <v>21</v>
      </c>
      <c r="L3" s="23"/>
      <c r="M3" s="52" t="s">
        <v>22</v>
      </c>
      <c r="N3" s="23"/>
      <c r="O3" s="52" t="s">
        <v>23</v>
      </c>
      <c r="P3" s="23"/>
      <c r="Q3" s="52" t="s">
        <v>24</v>
      </c>
      <c r="R3" s="23"/>
      <c r="S3" s="52" t="s">
        <v>25</v>
      </c>
      <c r="T3" s="23"/>
      <c r="U3" s="52" t="s">
        <v>26</v>
      </c>
      <c r="V3" s="10"/>
      <c r="W3" s="10"/>
      <c r="X3" s="23"/>
    </row>
    <row r="4">
      <c r="B4" s="74">
        <v>1.0</v>
      </c>
      <c r="C4" s="26"/>
      <c r="D4" s="18"/>
      <c r="E4" s="27"/>
      <c r="F4" s="18"/>
      <c r="G4" s="27"/>
      <c r="H4" s="18"/>
      <c r="I4" s="27"/>
      <c r="J4" s="18"/>
      <c r="K4" s="27"/>
      <c r="L4" s="18"/>
      <c r="M4" s="28"/>
      <c r="N4" s="18"/>
      <c r="O4" s="27"/>
      <c r="P4" s="18"/>
      <c r="Q4" s="27"/>
      <c r="R4" s="18"/>
      <c r="S4" s="27"/>
      <c r="T4" s="18"/>
      <c r="U4" s="29"/>
      <c r="V4" s="4"/>
      <c r="W4" s="4"/>
      <c r="X4" s="18"/>
    </row>
    <row r="5">
      <c r="B5" s="75">
        <v>2.0</v>
      </c>
      <c r="C5" s="32"/>
      <c r="D5" s="23"/>
      <c r="E5" s="33"/>
      <c r="F5" s="23"/>
      <c r="G5" s="33"/>
      <c r="H5" s="23"/>
      <c r="I5" s="33"/>
      <c r="J5" s="23"/>
      <c r="K5" s="33"/>
      <c r="L5" s="23"/>
      <c r="M5" s="33"/>
      <c r="N5" s="23"/>
      <c r="O5" s="33"/>
      <c r="P5" s="23"/>
      <c r="Q5" s="33"/>
      <c r="R5" s="23"/>
      <c r="S5" s="33"/>
      <c r="T5" s="23"/>
      <c r="U5" s="35"/>
      <c r="V5" s="10"/>
      <c r="W5" s="10"/>
      <c r="X5" s="23"/>
    </row>
    <row r="6">
      <c r="B6" s="74">
        <v>3.0</v>
      </c>
      <c r="C6" s="26"/>
      <c r="D6" s="18"/>
      <c r="E6" s="27"/>
      <c r="F6" s="18"/>
      <c r="G6" s="28"/>
      <c r="H6" s="18"/>
      <c r="I6" s="27"/>
      <c r="J6" s="18"/>
      <c r="K6" s="27"/>
      <c r="L6" s="18"/>
      <c r="M6" s="27"/>
      <c r="N6" s="18"/>
      <c r="O6" s="27"/>
      <c r="P6" s="18"/>
      <c r="Q6" s="27"/>
      <c r="R6" s="18"/>
      <c r="S6" s="27"/>
      <c r="T6" s="18"/>
      <c r="U6" s="29"/>
      <c r="V6" s="4"/>
      <c r="W6" s="4"/>
      <c r="X6" s="18"/>
    </row>
    <row r="7">
      <c r="B7" s="75">
        <v>4.0</v>
      </c>
      <c r="C7" s="32"/>
      <c r="D7" s="23"/>
      <c r="E7" s="33"/>
      <c r="F7" s="23"/>
      <c r="G7" s="33"/>
      <c r="H7" s="23"/>
      <c r="I7" s="33"/>
      <c r="J7" s="23"/>
      <c r="K7" s="33"/>
      <c r="L7" s="23"/>
      <c r="M7" s="33"/>
      <c r="N7" s="23"/>
      <c r="O7" s="33"/>
      <c r="P7" s="23"/>
      <c r="Q7" s="33"/>
      <c r="R7" s="23"/>
      <c r="S7" s="33"/>
      <c r="T7" s="23"/>
      <c r="U7" s="35"/>
      <c r="V7" s="10"/>
      <c r="W7" s="10"/>
      <c r="X7" s="23"/>
    </row>
    <row r="8">
      <c r="B8" s="74">
        <v>5.0</v>
      </c>
      <c r="C8" s="26"/>
      <c r="D8" s="18"/>
      <c r="E8" s="27"/>
      <c r="F8" s="18"/>
      <c r="G8" s="27"/>
      <c r="H8" s="18"/>
      <c r="I8" s="27"/>
      <c r="J8" s="18"/>
      <c r="K8" s="27"/>
      <c r="L8" s="18"/>
      <c r="M8" s="27"/>
      <c r="N8" s="18"/>
      <c r="O8" s="27"/>
      <c r="P8" s="18"/>
      <c r="Q8" s="27"/>
      <c r="R8" s="18"/>
      <c r="S8" s="27"/>
      <c r="T8" s="18"/>
      <c r="U8" s="29"/>
      <c r="V8" s="4"/>
      <c r="W8" s="4"/>
      <c r="X8" s="18"/>
    </row>
    <row r="9">
      <c r="B9" s="76">
        <v>6.0</v>
      </c>
      <c r="C9" s="32"/>
      <c r="D9" s="23"/>
      <c r="E9" s="33"/>
      <c r="F9" s="23"/>
      <c r="G9" s="33"/>
      <c r="H9" s="23"/>
      <c r="I9" s="33"/>
      <c r="J9" s="23"/>
      <c r="K9" s="33"/>
      <c r="L9" s="23"/>
      <c r="M9" s="33"/>
      <c r="N9" s="23"/>
      <c r="O9" s="33"/>
      <c r="P9" s="23"/>
      <c r="Q9" s="33"/>
      <c r="R9" s="23"/>
      <c r="S9" s="33"/>
      <c r="T9" s="23"/>
      <c r="U9" s="35"/>
      <c r="V9" s="10"/>
      <c r="W9" s="10"/>
      <c r="X9" s="23"/>
    </row>
    <row r="10">
      <c r="B10" s="77">
        <v>7.0</v>
      </c>
      <c r="C10" s="26"/>
      <c r="D10" s="18"/>
      <c r="E10" s="27"/>
      <c r="F10" s="18"/>
      <c r="G10" s="27"/>
      <c r="H10" s="18"/>
      <c r="I10" s="27"/>
      <c r="J10" s="18"/>
      <c r="K10" s="27"/>
      <c r="L10" s="18"/>
      <c r="M10" s="28"/>
      <c r="N10" s="18"/>
      <c r="O10" s="27"/>
      <c r="P10" s="18"/>
      <c r="Q10" s="27"/>
      <c r="R10" s="18"/>
      <c r="S10" s="27"/>
      <c r="T10" s="18"/>
      <c r="U10" s="29"/>
      <c r="V10" s="4"/>
      <c r="W10" s="4"/>
      <c r="X10" s="18"/>
    </row>
    <row r="11">
      <c r="B11" s="78">
        <v>8.0</v>
      </c>
      <c r="C11" s="32"/>
      <c r="D11" s="23"/>
      <c r="E11" s="33"/>
      <c r="F11" s="23"/>
      <c r="G11" s="33"/>
      <c r="H11" s="23"/>
      <c r="I11" s="33"/>
      <c r="J11" s="23"/>
      <c r="K11" s="33"/>
      <c r="L11" s="23"/>
      <c r="M11" s="34"/>
      <c r="N11" s="23"/>
      <c r="O11" s="33"/>
      <c r="P11" s="23"/>
      <c r="Q11" s="33"/>
      <c r="R11" s="23"/>
      <c r="S11" s="33"/>
      <c r="T11" s="23"/>
      <c r="U11" s="35"/>
      <c r="V11" s="10"/>
      <c r="W11" s="10"/>
      <c r="X11" s="23"/>
    </row>
    <row r="12">
      <c r="B12" s="77">
        <v>9.0</v>
      </c>
      <c r="C12" s="59"/>
      <c r="D12" s="18"/>
      <c r="E12" s="27"/>
      <c r="F12" s="18"/>
      <c r="G12" s="27"/>
      <c r="H12" s="18"/>
      <c r="I12" s="27"/>
      <c r="J12" s="18"/>
      <c r="K12" s="27"/>
      <c r="L12" s="18"/>
      <c r="M12" s="27"/>
      <c r="N12" s="18"/>
      <c r="O12" s="27"/>
      <c r="P12" s="18"/>
      <c r="Q12" s="27"/>
      <c r="R12" s="18"/>
      <c r="S12" s="27"/>
      <c r="T12" s="18"/>
      <c r="U12" s="29"/>
      <c r="V12" s="4"/>
      <c r="W12" s="4"/>
      <c r="X12" s="18"/>
    </row>
    <row r="13">
      <c r="A13" s="79"/>
      <c r="B13" s="80"/>
      <c r="C13" s="81"/>
      <c r="D13" s="81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3"/>
      <c r="V13" s="83"/>
      <c r="W13" s="83"/>
      <c r="X13" s="83"/>
      <c r="Y13" s="79"/>
      <c r="Z13" s="79"/>
      <c r="AA13" s="79"/>
      <c r="AB13" s="79"/>
    </row>
    <row r="14">
      <c r="B14" s="50" t="s">
        <v>707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8"/>
    </row>
    <row r="15">
      <c r="B15" s="51" t="s">
        <v>1</v>
      </c>
      <c r="C15" s="52" t="s">
        <v>15</v>
      </c>
      <c r="D15" s="23"/>
      <c r="E15" s="52" t="s">
        <v>18</v>
      </c>
      <c r="F15" s="23"/>
      <c r="G15" s="52" t="s">
        <v>19</v>
      </c>
      <c r="H15" s="23"/>
      <c r="I15" s="52" t="s">
        <v>20</v>
      </c>
      <c r="J15" s="23"/>
      <c r="K15" s="52" t="s">
        <v>21</v>
      </c>
      <c r="L15" s="23"/>
      <c r="M15" s="52" t="s">
        <v>22</v>
      </c>
      <c r="N15" s="23"/>
      <c r="O15" s="52" t="s">
        <v>23</v>
      </c>
      <c r="P15" s="23"/>
      <c r="Q15" s="52" t="s">
        <v>24</v>
      </c>
      <c r="R15" s="23"/>
      <c r="S15" s="52" t="s">
        <v>25</v>
      </c>
      <c r="T15" s="23"/>
      <c r="U15" s="52" t="s">
        <v>26</v>
      </c>
      <c r="V15" s="10"/>
      <c r="W15" s="10"/>
      <c r="X15" s="23"/>
    </row>
    <row r="16">
      <c r="A16" s="79"/>
      <c r="B16" s="74">
        <v>1.0</v>
      </c>
      <c r="C16" s="26"/>
      <c r="D16" s="18"/>
      <c r="E16" s="27"/>
      <c r="F16" s="18"/>
      <c r="G16" s="27"/>
      <c r="H16" s="18"/>
      <c r="I16" s="27"/>
      <c r="J16" s="18"/>
      <c r="K16" s="27"/>
      <c r="L16" s="18"/>
      <c r="M16" s="27"/>
      <c r="N16" s="18"/>
      <c r="O16" s="27"/>
      <c r="P16" s="18"/>
      <c r="Q16" s="27"/>
      <c r="R16" s="18"/>
      <c r="S16" s="27"/>
      <c r="T16" s="18"/>
      <c r="U16" s="29"/>
      <c r="V16" s="4"/>
      <c r="W16" s="4"/>
      <c r="X16" s="18"/>
      <c r="Y16" s="79"/>
      <c r="Z16" s="79"/>
      <c r="AA16" s="79"/>
      <c r="AB16" s="79"/>
    </row>
    <row r="17">
      <c r="A17" s="79"/>
      <c r="B17" s="75">
        <v>2.0</v>
      </c>
      <c r="C17" s="32"/>
      <c r="D17" s="23"/>
      <c r="E17" s="33"/>
      <c r="F17" s="23"/>
      <c r="G17" s="33"/>
      <c r="H17" s="23"/>
      <c r="I17" s="33"/>
      <c r="J17" s="23"/>
      <c r="K17" s="33"/>
      <c r="L17" s="23"/>
      <c r="M17" s="33"/>
      <c r="N17" s="23"/>
      <c r="O17" s="33"/>
      <c r="P17" s="23"/>
      <c r="Q17" s="33"/>
      <c r="R17" s="23"/>
      <c r="S17" s="33"/>
      <c r="T17" s="23"/>
      <c r="U17" s="35"/>
      <c r="V17" s="10"/>
      <c r="W17" s="10"/>
      <c r="X17" s="23"/>
      <c r="Y17" s="79"/>
      <c r="Z17" s="79"/>
      <c r="AA17" s="79"/>
      <c r="AB17" s="79"/>
    </row>
    <row r="18">
      <c r="A18" s="79"/>
      <c r="B18" s="74">
        <v>3.0</v>
      </c>
      <c r="C18" s="26"/>
      <c r="D18" s="18"/>
      <c r="E18" s="27"/>
      <c r="F18" s="18"/>
      <c r="G18" s="27"/>
      <c r="H18" s="18"/>
      <c r="I18" s="27"/>
      <c r="J18" s="18"/>
      <c r="K18" s="27"/>
      <c r="L18" s="18"/>
      <c r="M18" s="27"/>
      <c r="N18" s="18"/>
      <c r="O18" s="27"/>
      <c r="P18" s="18"/>
      <c r="Q18" s="27"/>
      <c r="R18" s="18"/>
      <c r="S18" s="27"/>
      <c r="T18" s="18"/>
      <c r="U18" s="29"/>
      <c r="V18" s="4"/>
      <c r="W18" s="4"/>
      <c r="X18" s="18"/>
      <c r="Y18" s="79"/>
      <c r="Z18" s="79"/>
      <c r="AA18" s="79"/>
      <c r="AB18" s="79"/>
    </row>
    <row r="19">
      <c r="A19" s="79"/>
      <c r="B19" s="75">
        <v>4.0</v>
      </c>
      <c r="C19" s="57"/>
      <c r="D19" s="23"/>
      <c r="E19" s="33"/>
      <c r="F19" s="23"/>
      <c r="G19" s="33"/>
      <c r="H19" s="23"/>
      <c r="I19" s="33"/>
      <c r="J19" s="23"/>
      <c r="K19" s="33"/>
      <c r="L19" s="23"/>
      <c r="M19" s="34"/>
      <c r="N19" s="23"/>
      <c r="O19" s="33"/>
      <c r="P19" s="23"/>
      <c r="Q19" s="33"/>
      <c r="R19" s="23"/>
      <c r="S19" s="33"/>
      <c r="T19" s="23"/>
      <c r="U19" s="35"/>
      <c r="V19" s="10"/>
      <c r="W19" s="10"/>
      <c r="X19" s="23"/>
      <c r="Y19" s="79"/>
      <c r="Z19" s="79"/>
      <c r="AA19" s="79"/>
      <c r="AB19" s="79"/>
    </row>
    <row r="20">
      <c r="A20" s="79"/>
      <c r="B20" s="74">
        <v>5.0</v>
      </c>
      <c r="C20" s="26"/>
      <c r="D20" s="18"/>
      <c r="E20" s="27"/>
      <c r="F20" s="18"/>
      <c r="G20" s="27"/>
      <c r="H20" s="18"/>
      <c r="I20" s="27"/>
      <c r="J20" s="18"/>
      <c r="K20" s="27"/>
      <c r="L20" s="18"/>
      <c r="M20" s="27"/>
      <c r="N20" s="18"/>
      <c r="O20" s="27"/>
      <c r="P20" s="18"/>
      <c r="Q20" s="27"/>
      <c r="R20" s="18"/>
      <c r="S20" s="27"/>
      <c r="T20" s="18"/>
      <c r="U20" s="29"/>
      <c r="V20" s="4"/>
      <c r="W20" s="4"/>
      <c r="X20" s="18"/>
      <c r="Y20" s="79"/>
      <c r="Z20" s="79"/>
      <c r="AA20" s="79"/>
      <c r="AB20" s="79"/>
    </row>
    <row r="21">
      <c r="A21" s="79"/>
      <c r="B21" s="76">
        <v>6.0</v>
      </c>
      <c r="C21" s="32"/>
      <c r="D21" s="23"/>
      <c r="E21" s="33"/>
      <c r="F21" s="23"/>
      <c r="G21" s="33"/>
      <c r="H21" s="23"/>
      <c r="I21" s="33"/>
      <c r="J21" s="23"/>
      <c r="K21" s="33"/>
      <c r="L21" s="23"/>
      <c r="M21" s="34"/>
      <c r="N21" s="23"/>
      <c r="O21" s="33"/>
      <c r="P21" s="23"/>
      <c r="Q21" s="33"/>
      <c r="R21" s="23"/>
      <c r="S21" s="33"/>
      <c r="T21" s="23"/>
      <c r="U21" s="58"/>
      <c r="V21" s="10"/>
      <c r="W21" s="10"/>
      <c r="X21" s="23"/>
      <c r="Y21" s="79"/>
      <c r="Z21" s="79"/>
      <c r="AA21" s="79"/>
      <c r="AB21" s="79"/>
    </row>
    <row r="22">
      <c r="A22" s="79"/>
      <c r="B22" s="77">
        <v>7.0</v>
      </c>
      <c r="C22" s="26"/>
      <c r="D22" s="18"/>
      <c r="E22" s="27"/>
      <c r="F22" s="18"/>
      <c r="G22" s="27"/>
      <c r="H22" s="18"/>
      <c r="I22" s="27"/>
      <c r="J22" s="18"/>
      <c r="K22" s="27"/>
      <c r="L22" s="18"/>
      <c r="M22" s="27"/>
      <c r="N22" s="18"/>
      <c r="O22" s="27"/>
      <c r="P22" s="18"/>
      <c r="Q22" s="27"/>
      <c r="R22" s="18"/>
      <c r="S22" s="27"/>
      <c r="T22" s="18"/>
      <c r="U22" s="29"/>
      <c r="V22" s="4"/>
      <c r="W22" s="4"/>
      <c r="X22" s="18"/>
      <c r="Y22" s="79"/>
      <c r="Z22" s="79"/>
      <c r="AA22" s="79"/>
      <c r="AB22" s="79"/>
    </row>
    <row r="23">
      <c r="A23" s="79"/>
      <c r="B23" s="78">
        <v>8.0</v>
      </c>
      <c r="C23" s="57"/>
      <c r="D23" s="23"/>
      <c r="E23" s="33"/>
      <c r="F23" s="23"/>
      <c r="G23" s="33"/>
      <c r="H23" s="23"/>
      <c r="I23" s="33"/>
      <c r="J23" s="23"/>
      <c r="K23" s="33"/>
      <c r="L23" s="23"/>
      <c r="M23" s="34"/>
      <c r="N23" s="23"/>
      <c r="O23" s="33"/>
      <c r="P23" s="23"/>
      <c r="Q23" s="33"/>
      <c r="R23" s="23"/>
      <c r="S23" s="33"/>
      <c r="T23" s="23"/>
      <c r="U23" s="35"/>
      <c r="V23" s="10"/>
      <c r="W23" s="10"/>
      <c r="X23" s="23"/>
      <c r="Y23" s="79"/>
      <c r="Z23" s="79"/>
      <c r="AA23" s="79"/>
      <c r="AB23" s="79"/>
    </row>
    <row r="24">
      <c r="A24" s="79"/>
      <c r="B24" s="77">
        <v>9.0</v>
      </c>
      <c r="C24" s="26"/>
      <c r="D24" s="18"/>
      <c r="E24" s="27"/>
      <c r="F24" s="18"/>
      <c r="G24" s="27"/>
      <c r="H24" s="18"/>
      <c r="I24" s="27"/>
      <c r="J24" s="18"/>
      <c r="K24" s="27"/>
      <c r="L24" s="18"/>
      <c r="M24" s="27"/>
      <c r="N24" s="18"/>
      <c r="O24" s="27"/>
      <c r="P24" s="18"/>
      <c r="Q24" s="27"/>
      <c r="R24" s="18"/>
      <c r="S24" s="27"/>
      <c r="T24" s="18"/>
      <c r="U24" s="29"/>
      <c r="V24" s="4"/>
      <c r="W24" s="4"/>
      <c r="X24" s="18"/>
      <c r="Y24" s="79"/>
      <c r="Z24" s="79"/>
      <c r="AA24" s="79"/>
      <c r="AB24" s="79"/>
    </row>
    <row r="25">
      <c r="A25" s="79"/>
      <c r="B25" s="84"/>
      <c r="C25" s="84"/>
      <c r="D25" s="84"/>
      <c r="E25" s="85"/>
      <c r="F25" s="85"/>
      <c r="G25" s="72"/>
      <c r="H25" s="72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6"/>
      <c r="V25" s="86"/>
      <c r="W25" s="86"/>
      <c r="X25" s="86"/>
      <c r="Y25" s="79"/>
      <c r="Z25" s="79"/>
      <c r="AA25" s="79"/>
      <c r="AB25" s="79"/>
    </row>
  </sheetData>
  <mergeCells count="202"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Q24:R24"/>
    <mergeCell ref="S24:T24"/>
    <mergeCell ref="U24:X24"/>
    <mergeCell ref="C24:D24"/>
    <mergeCell ref="E24:F24"/>
    <mergeCell ref="G24:H24"/>
    <mergeCell ref="I24:J24"/>
    <mergeCell ref="K24:L24"/>
    <mergeCell ref="M24:N24"/>
    <mergeCell ref="O24:P24"/>
    <mergeCell ref="O3:P3"/>
    <mergeCell ref="Q3:R3"/>
    <mergeCell ref="S3:T3"/>
    <mergeCell ref="U3:X3"/>
    <mergeCell ref="B2:X2"/>
    <mergeCell ref="C3:D3"/>
    <mergeCell ref="E3:F3"/>
    <mergeCell ref="G3:H3"/>
    <mergeCell ref="I3:J3"/>
    <mergeCell ref="K3:L3"/>
    <mergeCell ref="M3:N3"/>
    <mergeCell ref="Q4:R4"/>
    <mergeCell ref="S4:T4"/>
    <mergeCell ref="U4:X4"/>
    <mergeCell ref="C4:D4"/>
    <mergeCell ref="E4:F4"/>
    <mergeCell ref="G4:H4"/>
    <mergeCell ref="I4:J4"/>
    <mergeCell ref="K4:L4"/>
    <mergeCell ref="M4:N4"/>
    <mergeCell ref="O4:P4"/>
    <mergeCell ref="Q5:R5"/>
    <mergeCell ref="S5:T5"/>
    <mergeCell ref="U5:X5"/>
    <mergeCell ref="C5:D5"/>
    <mergeCell ref="E5:F5"/>
    <mergeCell ref="G5:H5"/>
    <mergeCell ref="I5:J5"/>
    <mergeCell ref="K5:L5"/>
    <mergeCell ref="M5:N5"/>
    <mergeCell ref="O5:P5"/>
    <mergeCell ref="Q9:R9"/>
    <mergeCell ref="S9:T9"/>
    <mergeCell ref="U9:X9"/>
    <mergeCell ref="C9:D9"/>
    <mergeCell ref="E9:F9"/>
    <mergeCell ref="G9:H9"/>
    <mergeCell ref="I9:J9"/>
    <mergeCell ref="K9:L9"/>
    <mergeCell ref="M9:N9"/>
    <mergeCell ref="O9:P9"/>
    <mergeCell ref="Q10:R10"/>
    <mergeCell ref="S10:T10"/>
    <mergeCell ref="U10:X10"/>
    <mergeCell ref="C10:D10"/>
    <mergeCell ref="E10:F10"/>
    <mergeCell ref="G10:H10"/>
    <mergeCell ref="I10:J10"/>
    <mergeCell ref="K10:L10"/>
    <mergeCell ref="M10:N10"/>
    <mergeCell ref="O10:P10"/>
    <mergeCell ref="Q11:R11"/>
    <mergeCell ref="S11:T11"/>
    <mergeCell ref="U11:X11"/>
    <mergeCell ref="C11:D11"/>
    <mergeCell ref="E11:F11"/>
    <mergeCell ref="G11:H11"/>
    <mergeCell ref="I11:J11"/>
    <mergeCell ref="K11:L11"/>
    <mergeCell ref="M11:N11"/>
    <mergeCell ref="O11:P11"/>
    <mergeCell ref="Q12:R12"/>
    <mergeCell ref="S12:T12"/>
    <mergeCell ref="U12:X12"/>
    <mergeCell ref="E12:F12"/>
    <mergeCell ref="G12:H12"/>
    <mergeCell ref="I12:J12"/>
    <mergeCell ref="K12:L12"/>
    <mergeCell ref="M12:N12"/>
    <mergeCell ref="O12:P12"/>
    <mergeCell ref="B14:X14"/>
    <mergeCell ref="Q6:R6"/>
    <mergeCell ref="S6:T6"/>
    <mergeCell ref="U6:X6"/>
    <mergeCell ref="C6:D6"/>
    <mergeCell ref="E6:F6"/>
    <mergeCell ref="G6:H6"/>
    <mergeCell ref="I6:J6"/>
    <mergeCell ref="K6:L6"/>
    <mergeCell ref="M6:N6"/>
    <mergeCell ref="O6:P6"/>
    <mergeCell ref="Q7:R7"/>
    <mergeCell ref="S7:T7"/>
    <mergeCell ref="U7:X7"/>
    <mergeCell ref="C7:D7"/>
    <mergeCell ref="E7:F7"/>
    <mergeCell ref="G7:H7"/>
    <mergeCell ref="I7:J7"/>
    <mergeCell ref="K7:L7"/>
    <mergeCell ref="M7:N7"/>
    <mergeCell ref="O7:P7"/>
    <mergeCell ref="Q8:R8"/>
    <mergeCell ref="S8:T8"/>
    <mergeCell ref="U8:X8"/>
    <mergeCell ref="C8:D8"/>
    <mergeCell ref="E8:F8"/>
    <mergeCell ref="G8:H8"/>
    <mergeCell ref="I8:J8"/>
    <mergeCell ref="K8:L8"/>
    <mergeCell ref="M8:N8"/>
    <mergeCell ref="O8:P8"/>
    <mergeCell ref="O15:P15"/>
    <mergeCell ref="Q15:R15"/>
    <mergeCell ref="S15:T15"/>
    <mergeCell ref="U15:X15"/>
    <mergeCell ref="C12:D12"/>
    <mergeCell ref="C15:D15"/>
    <mergeCell ref="E15:F15"/>
    <mergeCell ref="G15:H15"/>
    <mergeCell ref="I15:J15"/>
    <mergeCell ref="K15:L15"/>
    <mergeCell ref="M15:N15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</mergeCells>
  <conditionalFormatting sqref="C4:D12 C16:D24">
    <cfRule type="expression" dxfId="0" priority="1">
      <formula>INDIRECT(CONCAT("E",ROW()))</formula>
    </cfRule>
  </conditionalFormatting>
  <conditionalFormatting sqref="B1:D25">
    <cfRule type="expression" dxfId="4" priority="2">
      <formula>INDIRECT(CONCAT("D",ROW()))</formula>
    </cfRule>
  </conditionalFormatting>
  <conditionalFormatting sqref="B1:D13 B15:D25">
    <cfRule type="expression" dxfId="4" priority="3">
      <formula>INDIRECT(CONCAT("D",ROW()))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2" width="21.43"/>
    <col customWidth="1" min="3" max="3" width="17.0"/>
    <col customWidth="1" min="4" max="4" width="3.14"/>
    <col customWidth="1" min="5" max="5" width="10.43"/>
    <col customWidth="1" min="6" max="6" width="3.14"/>
    <col customWidth="1" min="7" max="7" width="11.57"/>
    <col customWidth="1" min="8" max="8" width="3.0"/>
    <col customWidth="1" min="9" max="10" width="8.43"/>
    <col customWidth="1" min="11" max="11" width="6.57"/>
    <col customWidth="1" min="12" max="12" width="7.86"/>
    <col customWidth="1" min="13" max="14" width="14.43"/>
    <col customWidth="1" min="15" max="15" width="11.57"/>
    <col customWidth="1" min="16" max="16" width="8.29"/>
    <col customWidth="1" min="17" max="17" width="10.0"/>
    <col customWidth="1" min="18" max="18" width="7.14"/>
    <col customWidth="1" min="19" max="19" width="8.86"/>
    <col customWidth="1" min="20" max="20" width="9.57"/>
    <col customWidth="1" min="21" max="22" width="7.29"/>
    <col customWidth="1" min="23" max="23" width="4.86"/>
    <col customWidth="1" min="25" max="28" width="14.43"/>
  </cols>
  <sheetData>
    <row r="1"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</row>
    <row r="2">
      <c r="B2" s="87" t="s">
        <v>708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</row>
    <row r="3">
      <c r="B3" s="88" t="s">
        <v>1</v>
      </c>
      <c r="C3" s="89" t="s">
        <v>15</v>
      </c>
      <c r="D3" s="23"/>
      <c r="E3" s="89" t="s">
        <v>18</v>
      </c>
      <c r="F3" s="23"/>
      <c r="G3" s="89" t="s">
        <v>19</v>
      </c>
      <c r="H3" s="23"/>
      <c r="I3" s="89" t="s">
        <v>20</v>
      </c>
      <c r="J3" s="23"/>
      <c r="K3" s="89" t="s">
        <v>21</v>
      </c>
      <c r="L3" s="23"/>
      <c r="M3" s="89" t="s">
        <v>22</v>
      </c>
      <c r="N3" s="23"/>
      <c r="O3" s="89" t="s">
        <v>23</v>
      </c>
      <c r="P3" s="23"/>
      <c r="Q3" s="89" t="s">
        <v>24</v>
      </c>
      <c r="R3" s="23"/>
      <c r="S3" s="89" t="s">
        <v>25</v>
      </c>
      <c r="T3" s="23"/>
      <c r="U3" s="89" t="s">
        <v>26</v>
      </c>
      <c r="V3" s="10"/>
      <c r="W3" s="10"/>
      <c r="X3" s="23"/>
    </row>
    <row r="4">
      <c r="B4" s="90">
        <v>1.0</v>
      </c>
      <c r="C4" s="26" t="s">
        <v>182</v>
      </c>
      <c r="D4" s="18"/>
      <c r="E4" s="28" t="s">
        <v>183</v>
      </c>
      <c r="F4" s="18"/>
      <c r="G4" s="27" t="s">
        <v>59</v>
      </c>
      <c r="H4" s="18"/>
      <c r="I4" s="27" t="s">
        <v>60</v>
      </c>
      <c r="J4" s="18"/>
      <c r="K4" s="27" t="s">
        <v>184</v>
      </c>
      <c r="L4" s="18"/>
      <c r="M4" s="27" t="s">
        <v>709</v>
      </c>
      <c r="N4" s="18"/>
      <c r="O4" s="27" t="str">
        <f>CONCAT(Level, " minute(s)
1 minute/level")</f>
        <v>1 minute(s)
1 minute/level</v>
      </c>
      <c r="P4" s="18"/>
      <c r="Q4" s="27" t="s">
        <v>62</v>
      </c>
      <c r="R4" s="18"/>
      <c r="S4" s="27" t="s">
        <v>63</v>
      </c>
      <c r="T4" s="18"/>
      <c r="U4" s="29" t="s">
        <v>186</v>
      </c>
      <c r="V4" s="4"/>
      <c r="W4" s="4"/>
      <c r="X4" s="18"/>
    </row>
    <row r="5">
      <c r="B5" s="51">
        <v>2.0</v>
      </c>
      <c r="C5" s="32" t="s">
        <v>382</v>
      </c>
      <c r="D5" s="23"/>
      <c r="E5" s="34" t="s">
        <v>383</v>
      </c>
      <c r="F5" s="23"/>
      <c r="G5" s="33" t="s">
        <v>111</v>
      </c>
      <c r="H5" s="23"/>
      <c r="I5" s="33" t="s">
        <v>60</v>
      </c>
      <c r="J5" s="23"/>
      <c r="K5" s="33" t="str">
        <f>CONCAT("Medium: ", CONCAT(100+(10*Level), " ft"))</f>
        <v>Medium: 110 ft</v>
      </c>
      <c r="L5" s="23"/>
      <c r="M5" s="33" t="str">
        <f>CONCAT("Wall up to ",CONCAT(Level*10,CONCAT(" ft long, 10 ft/level, and ",CONCAT(Level*5, " ft high, 5 ft/level"))))</f>
        <v>Wall up to 10 ft long, 10 ft/level, and 5 ft high, 5 ft/level</v>
      </c>
      <c r="N5" s="23"/>
      <c r="O5" s="33" t="str">
        <f>CONCAT(Level, " round(s)
1 round/level")</f>
        <v>1 round(s)
1 round/level</v>
      </c>
      <c r="P5" s="23"/>
      <c r="Q5" s="33" t="s">
        <v>384</v>
      </c>
      <c r="R5" s="23"/>
      <c r="S5" s="33" t="s">
        <v>82</v>
      </c>
      <c r="T5" s="23"/>
      <c r="U5" s="35" t="s">
        <v>385</v>
      </c>
      <c r="V5" s="10"/>
      <c r="W5" s="10"/>
      <c r="X5" s="23"/>
    </row>
    <row r="6">
      <c r="B6" s="90">
        <v>3.0</v>
      </c>
      <c r="C6" s="26" t="s">
        <v>710</v>
      </c>
      <c r="D6" s="18"/>
      <c r="E6" s="27" t="s">
        <v>94</v>
      </c>
      <c r="F6" s="18"/>
      <c r="G6" s="27" t="s">
        <v>711</v>
      </c>
      <c r="H6" s="18"/>
      <c r="I6" s="27" t="s">
        <v>60</v>
      </c>
      <c r="J6" s="18"/>
      <c r="K6" s="27" t="s">
        <v>66</v>
      </c>
      <c r="L6" s="18"/>
      <c r="M6" s="27" t="s">
        <v>712</v>
      </c>
      <c r="N6" s="18"/>
      <c r="O6" s="27" t="str">
        <f>Level*2&amp;" minutes (D)
2 minutes/level"</f>
        <v>2 minutes (D)
2 minutes/level</v>
      </c>
      <c r="P6" s="18"/>
      <c r="Q6" s="27" t="s">
        <v>62</v>
      </c>
      <c r="R6" s="18"/>
      <c r="S6" s="27" t="s">
        <v>63</v>
      </c>
      <c r="T6" s="18"/>
      <c r="U6" s="29" t="s">
        <v>713</v>
      </c>
      <c r="V6" s="4"/>
      <c r="W6" s="4"/>
      <c r="X6" s="18"/>
    </row>
    <row r="7">
      <c r="B7" s="88">
        <v>4.0</v>
      </c>
      <c r="C7" s="32" t="s">
        <v>386</v>
      </c>
      <c r="D7" s="23"/>
      <c r="E7" s="34" t="s">
        <v>387</v>
      </c>
      <c r="F7" s="23"/>
      <c r="G7" s="33" t="s">
        <v>111</v>
      </c>
      <c r="H7" s="23"/>
      <c r="I7" s="33" t="s">
        <v>60</v>
      </c>
      <c r="J7" s="23"/>
      <c r="K7" s="33" t="s">
        <v>66</v>
      </c>
      <c r="L7" s="23"/>
      <c r="M7" s="33" t="s">
        <v>388</v>
      </c>
      <c r="N7" s="23"/>
      <c r="O7" s="33" t="str">
        <f>CONCAT(Level*10, " minute(s)
10 minutes/level")</f>
        <v>10 minute(s)
10 minutes/level</v>
      </c>
      <c r="P7" s="23"/>
      <c r="Q7" s="33" t="s">
        <v>62</v>
      </c>
      <c r="R7" s="23"/>
      <c r="S7" s="33" t="s">
        <v>113</v>
      </c>
      <c r="T7" s="23"/>
      <c r="U7" s="35" t="s">
        <v>389</v>
      </c>
      <c r="V7" s="10"/>
      <c r="W7" s="10"/>
      <c r="X7" s="23"/>
    </row>
    <row r="8">
      <c r="B8" s="91">
        <v>5.0</v>
      </c>
      <c r="C8" s="26" t="s">
        <v>714</v>
      </c>
      <c r="D8" s="18"/>
      <c r="E8" s="28" t="s">
        <v>387</v>
      </c>
      <c r="F8" s="18"/>
      <c r="G8" s="27" t="s">
        <v>59</v>
      </c>
      <c r="H8" s="18"/>
      <c r="I8" s="27" t="s">
        <v>60</v>
      </c>
      <c r="J8" s="18"/>
      <c r="K8" s="27" t="str">
        <f>CONCAT(Level*40, " ft
40 ft/level")</f>
        <v>40 ft
40 ft/level</v>
      </c>
      <c r="L8" s="18"/>
      <c r="M8" s="27" t="str">
        <f>CONCAT(Level*40, " ft radius cylinder, 40 ft/level, 40 ft high")</f>
        <v>40 ft radius cylinder, 40 ft/level, 40 ft high</v>
      </c>
      <c r="N8" s="18"/>
      <c r="O8" s="27" t="str">
        <f>CONCAT(Level*10, " minute(s)
10 minutes/level")</f>
        <v>10 minute(s)
10 minutes/level</v>
      </c>
      <c r="P8" s="18"/>
      <c r="Q8" s="27" t="s">
        <v>310</v>
      </c>
      <c r="R8" s="18"/>
      <c r="S8" s="27" t="s">
        <v>63</v>
      </c>
      <c r="T8" s="18"/>
      <c r="U8" s="29" t="s">
        <v>715</v>
      </c>
      <c r="V8" s="4"/>
      <c r="W8" s="4"/>
      <c r="X8" s="18"/>
    </row>
    <row r="9">
      <c r="B9" s="88">
        <v>6.0</v>
      </c>
      <c r="C9" s="32" t="s">
        <v>716</v>
      </c>
      <c r="D9" s="23"/>
      <c r="E9" s="34" t="s">
        <v>717</v>
      </c>
      <c r="F9" s="23"/>
      <c r="G9" s="33" t="s">
        <v>104</v>
      </c>
      <c r="H9" s="23"/>
      <c r="I9" s="33" t="s">
        <v>60</v>
      </c>
      <c r="J9" s="23"/>
      <c r="K9" s="33" t="str">
        <f>long</f>
        <v>Long: 440 ft</v>
      </c>
      <c r="L9" s="23"/>
      <c r="M9" s="33" t="str">
        <f>"One primary target, plus "&amp;MIN(Level,20)&amp;" secondary target(s), 1 secondary target/level, each of which must be within 30 ft of the primary target"</f>
        <v>One primary target, plus 1 secondary target(s), 1 secondary target/level, each of which must be within 30 ft of the primary target</v>
      </c>
      <c r="N9" s="23"/>
      <c r="O9" s="33" t="s">
        <v>61</v>
      </c>
      <c r="P9" s="23"/>
      <c r="Q9" s="33" t="s">
        <v>474</v>
      </c>
      <c r="R9" s="23"/>
      <c r="S9" s="33" t="s">
        <v>82</v>
      </c>
      <c r="T9" s="23"/>
      <c r="U9" s="35" t="str">
        <f>MIN(Level,20)&amp;"d6 damage, 1d6/level, "&amp;MIN(Level,20)&amp;" secondary bolts, 1 bolt/level, each deals half damage"</f>
        <v>1d6 damage, 1d6/level, 1 secondary bolts, 1 bolt/level, each deals half damage</v>
      </c>
      <c r="V9" s="10"/>
      <c r="W9" s="10"/>
      <c r="X9" s="23"/>
    </row>
    <row r="10">
      <c r="B10" s="92">
        <v>7.0</v>
      </c>
      <c r="C10" s="26" t="s">
        <v>590</v>
      </c>
      <c r="D10" s="18"/>
      <c r="E10" s="27" t="s">
        <v>94</v>
      </c>
      <c r="F10" s="18"/>
      <c r="G10" s="27" t="s">
        <v>59</v>
      </c>
      <c r="H10" s="18"/>
      <c r="I10" s="27" t="s">
        <v>198</v>
      </c>
      <c r="J10" s="18"/>
      <c r="K10" s="27" t="s">
        <v>591</v>
      </c>
      <c r="L10" s="18"/>
      <c r="M10" s="27" t="s">
        <v>718</v>
      </c>
      <c r="N10" s="18"/>
      <c r="O10" s="27" t="s">
        <v>593</v>
      </c>
      <c r="P10" s="18"/>
      <c r="Q10" s="27" t="s">
        <v>62</v>
      </c>
      <c r="R10" s="18"/>
      <c r="S10" s="27" t="s">
        <v>63</v>
      </c>
      <c r="T10" s="18"/>
      <c r="U10" s="29" t="s">
        <v>594</v>
      </c>
      <c r="V10" s="4"/>
      <c r="W10" s="4"/>
      <c r="X10" s="18"/>
    </row>
    <row r="11">
      <c r="B11" s="93">
        <v>8.0</v>
      </c>
      <c r="C11" s="32" t="s">
        <v>719</v>
      </c>
      <c r="D11" s="23"/>
      <c r="E11" s="34" t="s">
        <v>383</v>
      </c>
      <c r="F11" s="23"/>
      <c r="G11" s="33" t="s">
        <v>119</v>
      </c>
      <c r="H11" s="23"/>
      <c r="I11" s="33" t="s">
        <v>60</v>
      </c>
      <c r="J11" s="23"/>
      <c r="K11" s="33" t="str">
        <f>CONCAT("Long: ", CONCAT(400+(40*Level), " ft"))</f>
        <v>Long: 440 ft</v>
      </c>
      <c r="L11" s="23"/>
      <c r="M11" s="33" t="s">
        <v>720</v>
      </c>
      <c r="N11" s="23"/>
      <c r="O11" s="33" t="str">
        <f>CONCAT(Level, " round(s) (D)
1 round/level")</f>
        <v>1 round(s) (D)
1 round/level</v>
      </c>
      <c r="P11" s="23"/>
      <c r="Q11" s="33" t="s">
        <v>721</v>
      </c>
      <c r="R11" s="23"/>
      <c r="S11" s="33" t="s">
        <v>82</v>
      </c>
      <c r="T11" s="23"/>
      <c r="U11" s="35" t="s">
        <v>722</v>
      </c>
      <c r="V11" s="10"/>
      <c r="W11" s="10"/>
      <c r="X11" s="23"/>
    </row>
    <row r="12">
      <c r="B12" s="92">
        <v>9.0</v>
      </c>
      <c r="C12" s="26" t="s">
        <v>723</v>
      </c>
      <c r="D12" s="18"/>
      <c r="E12" s="28" t="s">
        <v>724</v>
      </c>
      <c r="F12" s="18"/>
      <c r="G12" s="27" t="s">
        <v>59</v>
      </c>
      <c r="H12" s="18"/>
      <c r="I12" s="27" t="s">
        <v>319</v>
      </c>
      <c r="J12" s="18"/>
      <c r="K12" s="27" t="str">
        <f>CONCAT("Medium: ", CONCAT(100+(10*Level), " ft"))</f>
        <v>Medium: 110 ft</v>
      </c>
      <c r="L12" s="18"/>
      <c r="M12" s="27" t="s">
        <v>725</v>
      </c>
      <c r="N12" s="18"/>
      <c r="O12" s="27" t="str">
        <f>CONCAT(Level*10, " minute(s) (D)
10 minutes/level")</f>
        <v>10 minute(s) (D)
10 minutes/level</v>
      </c>
      <c r="P12" s="18"/>
      <c r="Q12" s="27" t="s">
        <v>62</v>
      </c>
      <c r="R12" s="18"/>
      <c r="S12" s="27" t="s">
        <v>63</v>
      </c>
      <c r="T12" s="18"/>
      <c r="U12" s="29" t="s">
        <v>726</v>
      </c>
      <c r="V12" s="4"/>
      <c r="W12" s="4"/>
      <c r="X12" s="18"/>
    </row>
    <row r="13">
      <c r="A13" s="79"/>
      <c r="B13" s="80"/>
      <c r="C13" s="81"/>
      <c r="D13" s="81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3"/>
      <c r="V13" s="83"/>
      <c r="W13" s="83"/>
      <c r="X13" s="83"/>
      <c r="Y13" s="79"/>
      <c r="Z13" s="79"/>
      <c r="AA13" s="79"/>
      <c r="AB13" s="79"/>
    </row>
    <row r="14">
      <c r="B14" s="87" t="s">
        <v>727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18"/>
    </row>
    <row r="15">
      <c r="B15" s="88" t="s">
        <v>1</v>
      </c>
      <c r="C15" s="89" t="s">
        <v>15</v>
      </c>
      <c r="D15" s="23"/>
      <c r="E15" s="89" t="s">
        <v>18</v>
      </c>
      <c r="F15" s="23"/>
      <c r="G15" s="89" t="s">
        <v>19</v>
      </c>
      <c r="H15" s="23"/>
      <c r="I15" s="89" t="s">
        <v>20</v>
      </c>
      <c r="J15" s="23"/>
      <c r="K15" s="89" t="s">
        <v>21</v>
      </c>
      <c r="L15" s="23"/>
      <c r="M15" s="89" t="s">
        <v>22</v>
      </c>
      <c r="N15" s="23"/>
      <c r="O15" s="89" t="s">
        <v>23</v>
      </c>
      <c r="P15" s="23"/>
      <c r="Q15" s="89" t="s">
        <v>24</v>
      </c>
      <c r="R15" s="23"/>
      <c r="S15" s="89" t="s">
        <v>25</v>
      </c>
      <c r="T15" s="23"/>
      <c r="U15" s="89" t="s">
        <v>26</v>
      </c>
      <c r="V15" s="10"/>
      <c r="W15" s="10"/>
      <c r="X15" s="23"/>
    </row>
    <row r="16">
      <c r="A16" s="79"/>
      <c r="B16" s="91">
        <v>1.0</v>
      </c>
      <c r="C16" s="26" t="s">
        <v>728</v>
      </c>
      <c r="D16" s="18"/>
      <c r="E16" s="28" t="s">
        <v>124</v>
      </c>
      <c r="F16" s="18"/>
      <c r="G16" s="27" t="s">
        <v>59</v>
      </c>
      <c r="H16" s="18"/>
      <c r="I16" s="27" t="s">
        <v>60</v>
      </c>
      <c r="J16" s="18"/>
      <c r="K16" s="27" t="str">
        <f>CONCAT("Close: ", CONCAT(25+(5*FLOOR(Level/2,1)), " ft"))</f>
        <v>Close: 25 ft</v>
      </c>
      <c r="L16" s="18"/>
      <c r="M16" s="27" t="s">
        <v>729</v>
      </c>
      <c r="N16" s="18"/>
      <c r="O16" s="27" t="str">
        <f>CONCAT(Level, " minute(s)
1 minute/level")</f>
        <v>1 minute(s)
1 minute/level</v>
      </c>
      <c r="P16" s="18"/>
      <c r="Q16" s="27" t="s">
        <v>250</v>
      </c>
      <c r="R16" s="18"/>
      <c r="S16" s="27" t="s">
        <v>82</v>
      </c>
      <c r="T16" s="18"/>
      <c r="U16" s="29" t="str">
        <f>CONCAT("Calms (2d4+",CONCAT(Level, ") HD of animals, +1/level."))</f>
        <v>Calms (2d4+1) HD of animals, +1/level.</v>
      </c>
      <c r="V16" s="4"/>
      <c r="W16" s="4"/>
      <c r="X16" s="18"/>
      <c r="Y16" s="79"/>
      <c r="Z16" s="79"/>
      <c r="AA16" s="79"/>
      <c r="AB16" s="79"/>
    </row>
    <row r="17">
      <c r="A17" s="79"/>
      <c r="B17" s="88">
        <v>2.0</v>
      </c>
      <c r="C17" s="32" t="s">
        <v>730</v>
      </c>
      <c r="D17" s="23"/>
      <c r="E17" s="34" t="s">
        <v>731</v>
      </c>
      <c r="F17" s="23"/>
      <c r="G17" s="33" t="s">
        <v>59</v>
      </c>
      <c r="H17" s="23"/>
      <c r="I17" s="33" t="s">
        <v>60</v>
      </c>
      <c r="J17" s="23"/>
      <c r="K17" s="33" t="str">
        <f>CONCAT("Medium: ", CONCAT(100+(10*Level), " ft"))</f>
        <v>Medium: 110 ft</v>
      </c>
      <c r="L17" s="23"/>
      <c r="M17" s="33" t="s">
        <v>732</v>
      </c>
      <c r="N17" s="23"/>
      <c r="O17" s="33" t="str">
        <f>CONCAT(Level, " round(s) (D)
1 round/level
see text")</f>
        <v>1 round(s) (D)
1 round/level
see text</v>
      </c>
      <c r="P17" s="23"/>
      <c r="Q17" s="33" t="s">
        <v>250</v>
      </c>
      <c r="R17" s="23"/>
      <c r="S17" s="33" t="s">
        <v>82</v>
      </c>
      <c r="T17" s="23"/>
      <c r="U17" s="35" t="str">
        <f>CONCAT("Paralyzes one animal for ",CONCAT(FLOOR(Level,1)," round(s), 1 round/level"))</f>
        <v>Paralyzes one animal for 1 round(s), 1 round/level</v>
      </c>
      <c r="V17" s="10"/>
      <c r="W17" s="10"/>
      <c r="X17" s="23"/>
      <c r="Y17" s="79"/>
      <c r="Z17" s="79"/>
      <c r="AA17" s="79"/>
      <c r="AB17" s="79"/>
    </row>
    <row r="18">
      <c r="A18" s="79"/>
      <c r="B18" s="91">
        <v>3.0</v>
      </c>
      <c r="C18" s="26" t="s">
        <v>733</v>
      </c>
      <c r="D18" s="18"/>
      <c r="E18" s="28" t="s">
        <v>734</v>
      </c>
      <c r="F18" s="18"/>
      <c r="G18" s="27" t="s">
        <v>59</v>
      </c>
      <c r="H18" s="18"/>
      <c r="I18" s="27" t="s">
        <v>142</v>
      </c>
      <c r="J18" s="18"/>
      <c r="K18" s="27" t="str">
        <f>CONCAT("Close: ", CONCAT(25+(5*FLOOR(Level/2,1)), " ft"))</f>
        <v>Close: 25 ft</v>
      </c>
      <c r="L18" s="18"/>
      <c r="M18" s="27" t="s">
        <v>732</v>
      </c>
      <c r="N18" s="18"/>
      <c r="O18" s="27" t="str">
        <f>CONCAT(Level, " round(s)
1 round/level")</f>
        <v>1 round(s)
1 round/level</v>
      </c>
      <c r="P18" s="18"/>
      <c r="Q18" s="27" t="s">
        <v>86</v>
      </c>
      <c r="R18" s="18"/>
      <c r="S18" s="27" t="s">
        <v>82</v>
      </c>
      <c r="T18" s="18"/>
      <c r="U18" s="29" t="s">
        <v>735</v>
      </c>
      <c r="V18" s="4"/>
      <c r="W18" s="4"/>
      <c r="X18" s="18"/>
      <c r="Y18" s="79"/>
      <c r="Z18" s="79"/>
      <c r="AA18" s="79"/>
      <c r="AB18" s="79"/>
    </row>
    <row r="19">
      <c r="A19" s="79"/>
      <c r="B19" s="88">
        <v>4.0</v>
      </c>
      <c r="C19" s="32" t="s">
        <v>736</v>
      </c>
      <c r="D19" s="23"/>
      <c r="E19" s="34" t="s">
        <v>205</v>
      </c>
      <c r="F19" s="23"/>
      <c r="G19" s="33" t="s">
        <v>119</v>
      </c>
      <c r="H19" s="23"/>
      <c r="I19" s="33" t="s">
        <v>142</v>
      </c>
      <c r="J19" s="23"/>
      <c r="K19" s="33" t="str">
        <f>CONCAT("Close: ", CONCAT(25+(5*FLOOR(Level/2,1)), " ft"))</f>
        <v>Close: 25 ft</v>
      </c>
      <c r="L19" s="23"/>
      <c r="M19" s="33" t="s">
        <v>737</v>
      </c>
      <c r="N19" s="23"/>
      <c r="O19" s="33" t="str">
        <f>CONCAT(Level, " round(s) (D)
1 round/level")</f>
        <v>1 round(s) (D)
1 round/level</v>
      </c>
      <c r="P19" s="23"/>
      <c r="Q19" s="33" t="s">
        <v>62</v>
      </c>
      <c r="R19" s="23"/>
      <c r="S19" s="33" t="s">
        <v>63</v>
      </c>
      <c r="T19" s="23"/>
      <c r="U19" s="35" t="s">
        <v>738</v>
      </c>
      <c r="V19" s="10"/>
      <c r="W19" s="10"/>
      <c r="X19" s="23"/>
      <c r="Y19" s="79"/>
      <c r="Z19" s="79"/>
      <c r="AA19" s="79"/>
      <c r="AB19" s="79"/>
    </row>
    <row r="20">
      <c r="A20" s="79"/>
      <c r="B20" s="91">
        <v>5.0</v>
      </c>
      <c r="C20" s="26" t="s">
        <v>739</v>
      </c>
      <c r="D20" s="18"/>
      <c r="E20" s="27" t="s">
        <v>72</v>
      </c>
      <c r="F20" s="18"/>
      <c r="G20" s="27" t="s">
        <v>59</v>
      </c>
      <c r="H20" s="18"/>
      <c r="I20" s="27" t="s">
        <v>319</v>
      </c>
      <c r="J20" s="18"/>
      <c r="K20" s="27" t="s">
        <v>105</v>
      </c>
      <c r="L20" s="18"/>
      <c r="M20" s="27" t="s">
        <v>106</v>
      </c>
      <c r="N20" s="18"/>
      <c r="O20" s="27" t="s">
        <v>61</v>
      </c>
      <c r="P20" s="18"/>
      <c r="Q20" s="27" t="s">
        <v>107</v>
      </c>
      <c r="R20" s="18"/>
      <c r="S20" s="27" t="s">
        <v>107</v>
      </c>
      <c r="T20" s="18"/>
      <c r="U20" s="29" t="str">
        <f>CONCAT("Learn about terrain for ",CONCAT(Level," mile(s), 1 mile/level"))</f>
        <v>Learn about terrain for 1 mile(s), 1 mile/level</v>
      </c>
      <c r="V20" s="4"/>
      <c r="W20" s="4"/>
      <c r="X20" s="18"/>
      <c r="Y20" s="79"/>
      <c r="Z20" s="79"/>
      <c r="AA20" s="79"/>
      <c r="AB20" s="79"/>
    </row>
    <row r="21">
      <c r="A21" s="79"/>
      <c r="B21" s="88">
        <v>6.0</v>
      </c>
      <c r="C21" s="32" t="s">
        <v>525</v>
      </c>
      <c r="D21" s="23"/>
      <c r="E21" s="33" t="s">
        <v>110</v>
      </c>
      <c r="F21" s="23"/>
      <c r="G21" s="33" t="s">
        <v>119</v>
      </c>
      <c r="H21" s="23"/>
      <c r="I21" s="33" t="s">
        <v>142</v>
      </c>
      <c r="J21" s="23"/>
      <c r="K21" s="33" t="s">
        <v>95</v>
      </c>
      <c r="L21" s="23"/>
      <c r="M21" s="33" t="s">
        <v>637</v>
      </c>
      <c r="N21" s="23"/>
      <c r="O21" s="33" t="str">
        <f>CONCAT(Level, " minute(s) (D)
1 minute/level")</f>
        <v>1 minute(s) (D)
1 minute/level</v>
      </c>
      <c r="P21" s="23"/>
      <c r="Q21" s="33" t="s">
        <v>62</v>
      </c>
      <c r="R21" s="23"/>
      <c r="S21" s="33" t="s">
        <v>82</v>
      </c>
      <c r="T21" s="23"/>
      <c r="U21" s="35" t="s">
        <v>740</v>
      </c>
      <c r="V21" s="10"/>
      <c r="W21" s="10"/>
      <c r="X21" s="23"/>
      <c r="Y21" s="79"/>
      <c r="Z21" s="79"/>
      <c r="AA21" s="79"/>
      <c r="AB21" s="79"/>
    </row>
    <row r="22">
      <c r="A22" s="79"/>
      <c r="B22" s="92">
        <v>7.0</v>
      </c>
      <c r="C22" s="26" t="s">
        <v>741</v>
      </c>
      <c r="D22" s="18"/>
      <c r="E22" s="27" t="s">
        <v>94</v>
      </c>
      <c r="F22" s="18"/>
      <c r="G22" s="27" t="s">
        <v>119</v>
      </c>
      <c r="H22" s="18"/>
      <c r="I22" s="27" t="s">
        <v>60</v>
      </c>
      <c r="J22" s="18"/>
      <c r="K22" s="27" t="str">
        <f>CONCAT("Close: ", CONCAT(25+(5*FLOOR(Level/2,1)), " ft"))</f>
        <v>Close: 25 ft</v>
      </c>
      <c r="L22" s="18"/>
      <c r="M22" s="27" t="str">
        <f>CONCAT("Up to ",CONCAT(Level, " willing creature(s), 1 creature/level, all within 30 ft of each other"))</f>
        <v>Up to 1 willing creature(s), 1 creature/level, all within 30 ft of each other</v>
      </c>
      <c r="N22" s="18"/>
      <c r="O22" s="27" t="str">
        <f>CONCAT(Level, " hour(s) (D)
1 hour/level")</f>
        <v>1 hour(s) (D)
1 hour/level</v>
      </c>
      <c r="P22" s="18"/>
      <c r="Q22" s="27" t="s">
        <v>384</v>
      </c>
      <c r="R22" s="18"/>
      <c r="S22" s="27" t="s">
        <v>113</v>
      </c>
      <c r="T22" s="18"/>
      <c r="U22" s="29" t="str">
        <f>CONCAT(Level," ally/allies polymorph into chosen animal, 1 ally/level ")</f>
        <v>1 ally/allies polymorph into chosen animal, 1 ally/level </v>
      </c>
      <c r="V22" s="4"/>
      <c r="W22" s="4"/>
      <c r="X22" s="18"/>
      <c r="Y22" s="79"/>
      <c r="Z22" s="79"/>
      <c r="AA22" s="79"/>
      <c r="AB22" s="79"/>
    </row>
    <row r="23">
      <c r="A23" s="79"/>
      <c r="B23" s="93">
        <v>8.0</v>
      </c>
      <c r="C23" s="32" t="s">
        <v>742</v>
      </c>
      <c r="D23" s="23"/>
      <c r="E23" s="34" t="s">
        <v>743</v>
      </c>
      <c r="F23" s="23"/>
      <c r="G23" s="33" t="s">
        <v>119</v>
      </c>
      <c r="H23" s="23"/>
      <c r="I23" s="33" t="s">
        <v>142</v>
      </c>
      <c r="J23" s="23"/>
      <c r="K23" s="33" t="str">
        <f>CONCAT("Close: ", CONCAT(25+(5*FLOOR(Level/2,1)), " ft"))</f>
        <v>Close: 25 ft</v>
      </c>
      <c r="L23" s="23"/>
      <c r="M23" s="33" t="s">
        <v>737</v>
      </c>
      <c r="N23" s="23"/>
      <c r="O23" s="33" t="str">
        <f>CONCAT(Level, " round(s) (D)
1 round/level")</f>
        <v>1 round(s) (D)
1 round/level</v>
      </c>
      <c r="P23" s="23"/>
      <c r="Q23" s="33" t="s">
        <v>62</v>
      </c>
      <c r="R23" s="23"/>
      <c r="S23" s="33" t="s">
        <v>63</v>
      </c>
      <c r="T23" s="23"/>
      <c r="U23" s="35" t="s">
        <v>738</v>
      </c>
      <c r="V23" s="10"/>
      <c r="W23" s="10"/>
      <c r="X23" s="23"/>
      <c r="Y23" s="79"/>
      <c r="Z23" s="79"/>
      <c r="AA23" s="79"/>
      <c r="AB23" s="79"/>
    </row>
    <row r="24">
      <c r="A24" s="79"/>
      <c r="B24" s="92">
        <v>9.0</v>
      </c>
      <c r="C24" s="26" t="s">
        <v>744</v>
      </c>
      <c r="D24" s="18"/>
      <c r="E24" s="27" t="s">
        <v>94</v>
      </c>
      <c r="F24" s="18"/>
      <c r="G24" s="27" t="s">
        <v>745</v>
      </c>
      <c r="H24" s="18"/>
      <c r="I24" s="27" t="s">
        <v>60</v>
      </c>
      <c r="J24" s="18"/>
      <c r="K24" s="27" t="s">
        <v>105</v>
      </c>
      <c r="L24" s="18"/>
      <c r="M24" s="27" t="s">
        <v>106</v>
      </c>
      <c r="N24" s="18"/>
      <c r="O24" s="27" t="str">
        <f>CONCAT(Level*10, " minutes (D)
10 minutes/level")</f>
        <v>10 minutes (D)
10 minutes/level</v>
      </c>
      <c r="P24" s="18"/>
      <c r="Q24" s="27" t="s">
        <v>107</v>
      </c>
      <c r="R24" s="18"/>
      <c r="S24" s="27" t="s">
        <v>107</v>
      </c>
      <c r="T24" s="18"/>
      <c r="U24" s="29" t="s">
        <v>746</v>
      </c>
      <c r="V24" s="4"/>
      <c r="W24" s="4"/>
      <c r="X24" s="18"/>
      <c r="Y24" s="79"/>
      <c r="Z24" s="79"/>
      <c r="AA24" s="79"/>
      <c r="AB24" s="79"/>
    </row>
    <row r="25">
      <c r="A25" s="79"/>
      <c r="B25" s="84"/>
      <c r="C25" s="84"/>
      <c r="D25" s="84"/>
      <c r="E25" s="85"/>
      <c r="F25" s="85"/>
      <c r="G25" s="72"/>
      <c r="H25" s="72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6"/>
      <c r="V25" s="86"/>
      <c r="W25" s="86"/>
      <c r="X25" s="86"/>
      <c r="Y25" s="79"/>
      <c r="Z25" s="79"/>
      <c r="AA25" s="79"/>
      <c r="AB25" s="79"/>
    </row>
    <row r="26">
      <c r="A26" s="79"/>
      <c r="B26" s="87" t="s">
        <v>747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18"/>
      <c r="Y26" s="79"/>
      <c r="Z26" s="79"/>
      <c r="AA26" s="79"/>
      <c r="AB26" s="79"/>
    </row>
    <row r="27">
      <c r="A27" s="79"/>
      <c r="B27" s="88" t="s">
        <v>1</v>
      </c>
      <c r="C27" s="89" t="s">
        <v>15</v>
      </c>
      <c r="D27" s="23"/>
      <c r="E27" s="89" t="s">
        <v>18</v>
      </c>
      <c r="F27" s="23"/>
      <c r="G27" s="89" t="s">
        <v>19</v>
      </c>
      <c r="H27" s="23"/>
      <c r="I27" s="89" t="s">
        <v>20</v>
      </c>
      <c r="J27" s="23"/>
      <c r="K27" s="89" t="s">
        <v>21</v>
      </c>
      <c r="L27" s="23"/>
      <c r="M27" s="89" t="s">
        <v>22</v>
      </c>
      <c r="N27" s="23"/>
      <c r="O27" s="89" t="s">
        <v>23</v>
      </c>
      <c r="P27" s="23"/>
      <c r="Q27" s="89" t="s">
        <v>24</v>
      </c>
      <c r="R27" s="23"/>
      <c r="S27" s="89" t="s">
        <v>25</v>
      </c>
      <c r="T27" s="23"/>
      <c r="U27" s="89" t="s">
        <v>26</v>
      </c>
      <c r="V27" s="10"/>
      <c r="W27" s="10"/>
      <c r="X27" s="23"/>
      <c r="Y27" s="79"/>
      <c r="Z27" s="79"/>
      <c r="AA27" s="79"/>
      <c r="AB27" s="79"/>
    </row>
    <row r="28">
      <c r="A28" s="79"/>
      <c r="B28" s="91">
        <v>1.0</v>
      </c>
      <c r="C28" s="26" t="s">
        <v>195</v>
      </c>
      <c r="D28" s="18"/>
      <c r="E28" s="28" t="s">
        <v>196</v>
      </c>
      <c r="F28" s="18"/>
      <c r="G28" s="27" t="s">
        <v>119</v>
      </c>
      <c r="H28" s="18"/>
      <c r="I28" s="27" t="s">
        <v>60</v>
      </c>
      <c r="J28" s="18"/>
      <c r="K28" s="27" t="s">
        <v>66</v>
      </c>
      <c r="L28" s="18"/>
      <c r="M28" s="27" t="s">
        <v>166</v>
      </c>
      <c r="N28" s="18"/>
      <c r="O28" s="27" t="str">
        <f>Level+1&amp;" minutes (D)
1 minute/level"</f>
        <v>2 minutes (D)
1 minute/level</v>
      </c>
      <c r="P28" s="18"/>
      <c r="Q28" s="27" t="s">
        <v>81</v>
      </c>
      <c r="R28" s="18"/>
      <c r="S28" s="27" t="s">
        <v>189</v>
      </c>
      <c r="T28" s="18"/>
      <c r="U28" s="62" t="s">
        <v>190</v>
      </c>
      <c r="V28" s="4"/>
      <c r="W28" s="4"/>
      <c r="X28" s="18"/>
      <c r="Y28" s="79"/>
      <c r="Z28" s="79"/>
      <c r="AA28" s="79"/>
      <c r="AB28" s="79"/>
    </row>
    <row r="29">
      <c r="A29" s="79"/>
      <c r="B29" s="88">
        <v>2.0</v>
      </c>
      <c r="C29" s="32" t="s">
        <v>270</v>
      </c>
      <c r="D29" s="23"/>
      <c r="E29" s="34" t="s">
        <v>271</v>
      </c>
      <c r="F29" s="23"/>
      <c r="G29" s="33" t="s">
        <v>202</v>
      </c>
      <c r="H29" s="23"/>
      <c r="I29" s="33" t="s">
        <v>60</v>
      </c>
      <c r="J29" s="23"/>
      <c r="K29" s="33" t="str">
        <f>close</f>
        <v>Close: 25 ft</v>
      </c>
      <c r="L29" s="23"/>
      <c r="M29" s="33" t="s">
        <v>272</v>
      </c>
      <c r="N29" s="23"/>
      <c r="O29" s="33" t="s">
        <v>61</v>
      </c>
      <c r="P29" s="23"/>
      <c r="Q29" s="33" t="s">
        <v>273</v>
      </c>
      <c r="R29" s="23"/>
      <c r="S29" s="33" t="s">
        <v>102</v>
      </c>
      <c r="T29" s="23"/>
      <c r="U29" s="35" t="s">
        <v>274</v>
      </c>
      <c r="V29" s="10"/>
      <c r="W29" s="10"/>
      <c r="X29" s="23"/>
      <c r="Y29" s="79"/>
      <c r="Z29" s="79"/>
      <c r="AA29" s="79"/>
      <c r="AB29" s="79"/>
    </row>
    <row r="30">
      <c r="A30" s="79"/>
      <c r="B30" s="91">
        <v>3.0</v>
      </c>
      <c r="C30" s="26" t="s">
        <v>347</v>
      </c>
      <c r="D30" s="18"/>
      <c r="E30" s="28" t="s">
        <v>196</v>
      </c>
      <c r="F30" s="18"/>
      <c r="G30" s="27" t="s">
        <v>119</v>
      </c>
      <c r="H30" s="18"/>
      <c r="I30" s="27" t="s">
        <v>60</v>
      </c>
      <c r="J30" s="18"/>
      <c r="K30" s="27" t="s">
        <v>66</v>
      </c>
      <c r="L30" s="18"/>
      <c r="M30" s="27" t="s">
        <v>344</v>
      </c>
      <c r="N30" s="18"/>
      <c r="O30" s="27" t="str">
        <f>CONCAT((Level+1)*10, " minute(s)
10 minutes/level")</f>
        <v>20 minute(s)
10 minutes/level</v>
      </c>
      <c r="P30" s="18"/>
      <c r="Q30" s="27" t="s">
        <v>81</v>
      </c>
      <c r="R30" s="18"/>
      <c r="S30" s="27" t="s">
        <v>189</v>
      </c>
      <c r="T30" s="18"/>
      <c r="U30" s="29" t="str">
        <f>"As protection spells, but 10 ft radius and "&amp;10*(Level+1)&amp;" minutes, 10 minutes/level"</f>
        <v>As protection spells, but 10 ft radius and 20 minutes, 10 minutes/level</v>
      </c>
      <c r="V30" s="4"/>
      <c r="W30" s="4"/>
      <c r="X30" s="18"/>
      <c r="Y30" s="79"/>
      <c r="Z30" s="79"/>
      <c r="AA30" s="79"/>
      <c r="AB30" s="79"/>
    </row>
    <row r="31">
      <c r="A31" s="79"/>
      <c r="B31" s="88">
        <v>4.0</v>
      </c>
      <c r="C31" s="32" t="s">
        <v>748</v>
      </c>
      <c r="D31" s="23"/>
      <c r="E31" s="34" t="s">
        <v>749</v>
      </c>
      <c r="F31" s="23"/>
      <c r="G31" s="33" t="s">
        <v>59</v>
      </c>
      <c r="H31" s="23"/>
      <c r="I31" s="33" t="s">
        <v>60</v>
      </c>
      <c r="J31" s="23"/>
      <c r="K31" s="33" t="str">
        <f>"Medium: "&amp;100+(10*(Level+1)) &amp;" ft"</f>
        <v>Medium: 120 ft</v>
      </c>
      <c r="L31" s="23"/>
      <c r="M31" s="33" t="s">
        <v>750</v>
      </c>
      <c r="N31" s="23"/>
      <c r="O31" s="33" t="s">
        <v>751</v>
      </c>
      <c r="P31" s="23"/>
      <c r="Q31" s="33" t="s">
        <v>752</v>
      </c>
      <c r="R31" s="23"/>
      <c r="S31" s="33" t="s">
        <v>82</v>
      </c>
      <c r="T31" s="23"/>
      <c r="U31" s="35" t="s">
        <v>753</v>
      </c>
      <c r="V31" s="10"/>
      <c r="W31" s="10"/>
      <c r="X31" s="23"/>
      <c r="Y31" s="79"/>
      <c r="Z31" s="79"/>
      <c r="AA31" s="79"/>
      <c r="AB31" s="79"/>
    </row>
    <row r="32">
      <c r="A32" s="79"/>
      <c r="B32" s="91">
        <v>5.0</v>
      </c>
      <c r="C32" s="26" t="s">
        <v>465</v>
      </c>
      <c r="D32" s="18"/>
      <c r="E32" s="28" t="s">
        <v>196</v>
      </c>
      <c r="F32" s="18"/>
      <c r="G32" s="27" t="s">
        <v>119</v>
      </c>
      <c r="H32" s="18"/>
      <c r="I32" s="27" t="s">
        <v>60</v>
      </c>
      <c r="J32" s="18"/>
      <c r="K32" s="27" t="s">
        <v>66</v>
      </c>
      <c r="L32" s="18"/>
      <c r="M32" s="27" t="s">
        <v>466</v>
      </c>
      <c r="N32" s="18"/>
      <c r="O32" s="27" t="str">
        <f>Level+1&amp;" rounds or until discharged, whichever comes first
1 round/level"</f>
        <v>2 rounds or until discharged, whichever comes first
1 round/level</v>
      </c>
      <c r="P32" s="18"/>
      <c r="Q32" s="27" t="s">
        <v>332</v>
      </c>
      <c r="R32" s="18"/>
      <c r="S32" s="27" t="s">
        <v>332</v>
      </c>
      <c r="T32" s="18"/>
      <c r="U32" s="62" t="s">
        <v>460</v>
      </c>
      <c r="V32" s="4"/>
      <c r="W32" s="4"/>
      <c r="X32" s="18"/>
      <c r="Y32" s="79"/>
      <c r="Z32" s="79"/>
      <c r="AA32" s="79"/>
      <c r="AB32" s="79"/>
    </row>
    <row r="33">
      <c r="A33" s="79"/>
      <c r="B33" s="88">
        <v>6.0</v>
      </c>
      <c r="C33" s="32" t="s">
        <v>523</v>
      </c>
      <c r="D33" s="23"/>
      <c r="E33" s="33" t="s">
        <v>94</v>
      </c>
      <c r="F33" s="23"/>
      <c r="G33" s="33" t="s">
        <v>59</v>
      </c>
      <c r="H33" s="23"/>
      <c r="I33" s="33" t="s">
        <v>60</v>
      </c>
      <c r="J33" s="23"/>
      <c r="K33" s="33" t="str">
        <f>medium</f>
        <v>Medium: 110 ft</v>
      </c>
      <c r="L33" s="23"/>
      <c r="M33" s="33" t="str">
        <f>CONCAT(Level," small object(s), 1 object/level, see text")</f>
        <v>1 small object(s), 1 object/level, see text</v>
      </c>
      <c r="N33" s="23"/>
      <c r="O33" s="33" t="str">
        <f>CONCAT(Level, " rounds
1 round/level")</f>
        <v>1 rounds
1 round/level</v>
      </c>
      <c r="P33" s="23"/>
      <c r="Q33" s="33" t="s">
        <v>62</v>
      </c>
      <c r="R33" s="23"/>
      <c r="S33" s="33" t="s">
        <v>63</v>
      </c>
      <c r="T33" s="23"/>
      <c r="U33" s="35" t="s">
        <v>524</v>
      </c>
      <c r="V33" s="10"/>
      <c r="W33" s="10"/>
      <c r="X33" s="23"/>
      <c r="Y33" s="79"/>
      <c r="Z33" s="79"/>
      <c r="AA33" s="79"/>
      <c r="AB33" s="79"/>
    </row>
    <row r="34">
      <c r="A34" s="79"/>
      <c r="B34" s="92">
        <v>7.0</v>
      </c>
      <c r="C34" s="26" t="s">
        <v>632</v>
      </c>
      <c r="D34" s="18"/>
      <c r="E34" s="28" t="s">
        <v>633</v>
      </c>
      <c r="F34" s="18"/>
      <c r="G34" s="27" t="s">
        <v>140</v>
      </c>
      <c r="H34" s="18"/>
      <c r="I34" s="27" t="s">
        <v>60</v>
      </c>
      <c r="J34" s="18"/>
      <c r="K34" s="27" t="s">
        <v>357</v>
      </c>
      <c r="L34" s="18"/>
      <c r="M34" s="27" t="s">
        <v>634</v>
      </c>
      <c r="N34" s="18"/>
      <c r="O34" s="27" t="s">
        <v>61</v>
      </c>
      <c r="P34" s="18"/>
      <c r="Q34" s="27" t="s">
        <v>434</v>
      </c>
      <c r="R34" s="18"/>
      <c r="S34" s="27" t="s">
        <v>82</v>
      </c>
      <c r="T34" s="18"/>
      <c r="U34" s="29" t="s">
        <v>635</v>
      </c>
      <c r="V34" s="4"/>
      <c r="W34" s="4"/>
      <c r="X34" s="18"/>
      <c r="Y34" s="79"/>
      <c r="Z34" s="79"/>
      <c r="AA34" s="79"/>
      <c r="AB34" s="79"/>
    </row>
    <row r="35">
      <c r="A35" s="79"/>
      <c r="B35" s="93">
        <v>8.0</v>
      </c>
      <c r="C35" s="32" t="s">
        <v>639</v>
      </c>
      <c r="D35" s="23"/>
      <c r="E35" s="34" t="s">
        <v>196</v>
      </c>
      <c r="F35" s="23"/>
      <c r="G35" s="33" t="s">
        <v>597</v>
      </c>
      <c r="H35" s="23"/>
      <c r="I35" s="33" t="s">
        <v>60</v>
      </c>
      <c r="J35" s="23"/>
      <c r="K35" s="33" t="s">
        <v>184</v>
      </c>
      <c r="L35" s="23"/>
      <c r="M35" s="33" t="str">
        <f>CONCAT(Level+1," creatures in a 20 ft radius burst centered on you, 1 creature/level")</f>
        <v>2 creatures in a 20 ft radius burst centered on you, 1 creature/level</v>
      </c>
      <c r="N35" s="23"/>
      <c r="O35" s="33" t="str">
        <f>Level+1&amp;" rounds (D)
1 round/level"</f>
        <v>2 rounds (D)
1 round/level</v>
      </c>
      <c r="P35" s="23"/>
      <c r="Q35" s="33" t="s">
        <v>332</v>
      </c>
      <c r="R35" s="23"/>
      <c r="S35" s="33" t="s">
        <v>113</v>
      </c>
      <c r="T35" s="23"/>
      <c r="U35" s="61" t="s">
        <v>640</v>
      </c>
      <c r="V35" s="10"/>
      <c r="W35" s="10"/>
      <c r="X35" s="23"/>
      <c r="Y35" s="79"/>
      <c r="Z35" s="79"/>
      <c r="AA35" s="79"/>
      <c r="AB35" s="79"/>
    </row>
    <row r="36">
      <c r="A36" s="79"/>
      <c r="B36" s="92">
        <v>9.0</v>
      </c>
      <c r="C36" s="59" t="s">
        <v>754</v>
      </c>
      <c r="D36" s="18"/>
      <c r="E36" s="28" t="s">
        <v>755</v>
      </c>
      <c r="F36" s="18"/>
      <c r="G36" s="27" t="s">
        <v>104</v>
      </c>
      <c r="H36" s="18"/>
      <c r="I36" s="27" t="s">
        <v>142</v>
      </c>
      <c r="J36" s="18"/>
      <c r="K36" s="27" t="str">
        <f>"Close: "&amp;25+(5*FLOOR((Level+1)/2,1)) &amp;" ft"</f>
        <v>Close: 30 ft</v>
      </c>
      <c r="L36" s="18"/>
      <c r="M36" s="27" t="s">
        <v>206</v>
      </c>
      <c r="N36" s="18"/>
      <c r="O36" s="27" t="str">
        <f>Level+1&amp;" rounds (D)
1 round/level"</f>
        <v>2 rounds (D)
1 round/level</v>
      </c>
      <c r="P36" s="18"/>
      <c r="Q36" s="27" t="s">
        <v>62</v>
      </c>
      <c r="R36" s="18"/>
      <c r="S36" s="27" t="s">
        <v>63</v>
      </c>
      <c r="T36" s="18"/>
      <c r="U36" s="29" t="s">
        <v>207</v>
      </c>
      <c r="V36" s="4"/>
      <c r="W36" s="4"/>
      <c r="X36" s="18"/>
      <c r="Y36" s="79"/>
      <c r="Z36" s="79"/>
      <c r="AA36" s="79"/>
      <c r="AB36" s="79"/>
    </row>
    <row r="37">
      <c r="A37" s="79"/>
      <c r="B37" s="84"/>
      <c r="C37" s="84"/>
      <c r="D37" s="84"/>
      <c r="E37" s="85"/>
      <c r="F37" s="85"/>
      <c r="G37" s="72"/>
      <c r="H37" s="72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6"/>
      <c r="V37" s="86"/>
      <c r="W37" s="86"/>
      <c r="X37" s="86"/>
      <c r="Y37" s="79"/>
      <c r="Z37" s="79"/>
      <c r="AA37" s="79"/>
      <c r="AB37" s="79"/>
    </row>
    <row r="38">
      <c r="A38" s="79"/>
      <c r="B38" s="87" t="s">
        <v>756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8"/>
      <c r="Y38" s="79"/>
      <c r="Z38" s="79"/>
      <c r="AA38" s="79"/>
      <c r="AB38" s="79"/>
    </row>
    <row r="39">
      <c r="A39" s="79"/>
      <c r="B39" s="88" t="s">
        <v>1</v>
      </c>
      <c r="C39" s="89" t="s">
        <v>15</v>
      </c>
      <c r="D39" s="23"/>
      <c r="E39" s="89" t="s">
        <v>18</v>
      </c>
      <c r="F39" s="23"/>
      <c r="G39" s="89" t="s">
        <v>19</v>
      </c>
      <c r="H39" s="23"/>
      <c r="I39" s="89" t="s">
        <v>20</v>
      </c>
      <c r="J39" s="23"/>
      <c r="K39" s="89" t="s">
        <v>21</v>
      </c>
      <c r="L39" s="23"/>
      <c r="M39" s="89" t="s">
        <v>22</v>
      </c>
      <c r="N39" s="23"/>
      <c r="O39" s="89" t="s">
        <v>23</v>
      </c>
      <c r="P39" s="23"/>
      <c r="Q39" s="89" t="s">
        <v>24</v>
      </c>
      <c r="R39" s="23"/>
      <c r="S39" s="89" t="s">
        <v>25</v>
      </c>
      <c r="T39" s="23"/>
      <c r="U39" s="89" t="s">
        <v>26</v>
      </c>
      <c r="V39" s="10"/>
      <c r="W39" s="10"/>
      <c r="X39" s="23"/>
      <c r="Y39" s="79"/>
      <c r="Z39" s="79"/>
      <c r="AA39" s="79"/>
      <c r="AB39" s="79"/>
    </row>
    <row r="40">
      <c r="A40" s="79"/>
      <c r="B40" s="91">
        <v>1.0</v>
      </c>
      <c r="C40" s="26" t="s">
        <v>132</v>
      </c>
      <c r="D40" s="18"/>
      <c r="E40" s="28" t="s">
        <v>133</v>
      </c>
      <c r="F40" s="18"/>
      <c r="G40" s="27" t="s">
        <v>59</v>
      </c>
      <c r="H40" s="18"/>
      <c r="I40" s="27" t="s">
        <v>60</v>
      </c>
      <c r="J40" s="18"/>
      <c r="K40" s="27" t="str">
        <f>close</f>
        <v>Close: 25 ft</v>
      </c>
      <c r="L40" s="18"/>
      <c r="M40" s="27" t="s">
        <v>134</v>
      </c>
      <c r="N40" s="18"/>
      <c r="O40" s="27" t="s">
        <v>135</v>
      </c>
      <c r="P40" s="18"/>
      <c r="Q40" s="27" t="s">
        <v>136</v>
      </c>
      <c r="R40" s="18"/>
      <c r="S40" s="27" t="s">
        <v>82</v>
      </c>
      <c r="T40" s="18"/>
      <c r="U40" s="29" t="s">
        <v>137</v>
      </c>
      <c r="V40" s="4"/>
      <c r="W40" s="4"/>
      <c r="X40" s="18"/>
      <c r="Y40" s="79"/>
      <c r="Z40" s="79"/>
      <c r="AA40" s="79"/>
      <c r="AB40" s="79"/>
    </row>
    <row r="41">
      <c r="A41" s="79"/>
      <c r="B41" s="88">
        <v>2.0</v>
      </c>
      <c r="C41" s="32" t="s">
        <v>234</v>
      </c>
      <c r="D41" s="23"/>
      <c r="E41" s="34" t="s">
        <v>235</v>
      </c>
      <c r="F41" s="23"/>
      <c r="G41" s="33" t="s">
        <v>59</v>
      </c>
      <c r="H41" s="23"/>
      <c r="I41" s="33" t="s">
        <v>60</v>
      </c>
      <c r="J41" s="23"/>
      <c r="K41" s="33" t="s">
        <v>66</v>
      </c>
      <c r="L41" s="23"/>
      <c r="M41" s="33" t="s">
        <v>210</v>
      </c>
      <c r="N41" s="23"/>
      <c r="O41" s="33" t="s">
        <v>236</v>
      </c>
      <c r="P41" s="23"/>
      <c r="Q41" s="33" t="s">
        <v>86</v>
      </c>
      <c r="R41" s="23"/>
      <c r="S41" s="33" t="s">
        <v>82</v>
      </c>
      <c r="T41" s="23"/>
      <c r="U41" s="35" t="s">
        <v>237</v>
      </c>
      <c r="V41" s="10"/>
      <c r="W41" s="10"/>
      <c r="X41" s="23"/>
      <c r="Y41" s="79"/>
      <c r="Z41" s="79"/>
      <c r="AA41" s="79"/>
      <c r="AB41" s="79"/>
    </row>
    <row r="42">
      <c r="A42" s="79"/>
      <c r="B42" s="91">
        <v>3.0</v>
      </c>
      <c r="C42" s="26" t="s">
        <v>301</v>
      </c>
      <c r="D42" s="18"/>
      <c r="E42" s="28" t="s">
        <v>148</v>
      </c>
      <c r="F42" s="18"/>
      <c r="G42" s="27" t="s">
        <v>302</v>
      </c>
      <c r="H42" s="18"/>
      <c r="I42" s="27" t="s">
        <v>60</v>
      </c>
      <c r="J42" s="18"/>
      <c r="K42" s="27" t="s">
        <v>66</v>
      </c>
      <c r="L42" s="18"/>
      <c r="M42" s="27" t="s">
        <v>303</v>
      </c>
      <c r="N42" s="18"/>
      <c r="O42" s="27" t="s">
        <v>61</v>
      </c>
      <c r="P42" s="18"/>
      <c r="Q42" s="27" t="s">
        <v>62</v>
      </c>
      <c r="R42" s="18"/>
      <c r="S42" s="27" t="s">
        <v>63</v>
      </c>
      <c r="T42" s="18"/>
      <c r="U42" s="29" t="s">
        <v>304</v>
      </c>
      <c r="V42" s="4"/>
      <c r="W42" s="4"/>
      <c r="X42" s="18"/>
      <c r="Y42" s="79"/>
      <c r="Z42" s="79"/>
      <c r="AA42" s="79"/>
      <c r="AB42" s="79"/>
    </row>
    <row r="43">
      <c r="A43" s="79"/>
      <c r="B43" s="88">
        <v>4.0</v>
      </c>
      <c r="C43" s="32" t="s">
        <v>393</v>
      </c>
      <c r="D43" s="23"/>
      <c r="E43" s="33" t="s">
        <v>85</v>
      </c>
      <c r="F43" s="23"/>
      <c r="G43" s="33" t="s">
        <v>119</v>
      </c>
      <c r="H43" s="23"/>
      <c r="I43" s="33" t="s">
        <v>60</v>
      </c>
      <c r="J43" s="23"/>
      <c r="K43" s="33" t="s">
        <v>66</v>
      </c>
      <c r="L43" s="23"/>
      <c r="M43" s="33" t="s">
        <v>210</v>
      </c>
      <c r="N43" s="23"/>
      <c r="O43" s="33" t="str">
        <f>CONCAT(Level, " minute(s)
1 minute/level")</f>
        <v>1 minute(s)
1 minute/level</v>
      </c>
      <c r="P43" s="23"/>
      <c r="Q43" s="33" t="s">
        <v>68</v>
      </c>
      <c r="R43" s="23"/>
      <c r="S43" s="33" t="s">
        <v>69</v>
      </c>
      <c r="T43" s="23"/>
      <c r="U43" s="35" t="s">
        <v>394</v>
      </c>
      <c r="V43" s="10"/>
      <c r="W43" s="10"/>
      <c r="X43" s="23"/>
      <c r="Y43" s="79"/>
      <c r="Z43" s="79"/>
      <c r="AA43" s="79"/>
      <c r="AB43" s="79"/>
    </row>
    <row r="44">
      <c r="A44" s="79"/>
      <c r="B44" s="91">
        <v>5.0</v>
      </c>
      <c r="C44" s="26" t="s">
        <v>500</v>
      </c>
      <c r="D44" s="18"/>
      <c r="E44" s="28" t="s">
        <v>501</v>
      </c>
      <c r="F44" s="18"/>
      <c r="G44" s="27" t="s">
        <v>59</v>
      </c>
      <c r="H44" s="18"/>
      <c r="I44" s="27" t="s">
        <v>60</v>
      </c>
      <c r="J44" s="18"/>
      <c r="K44" s="27" t="s">
        <v>66</v>
      </c>
      <c r="L44" s="18"/>
      <c r="M44" s="27" t="s">
        <v>210</v>
      </c>
      <c r="N44" s="18"/>
      <c r="O44" s="27" t="s">
        <v>61</v>
      </c>
      <c r="P44" s="18"/>
      <c r="Q44" s="27" t="s">
        <v>287</v>
      </c>
      <c r="R44" s="18"/>
      <c r="S44" s="27" t="s">
        <v>82</v>
      </c>
      <c r="T44" s="18"/>
      <c r="U44" s="29" t="s">
        <v>502</v>
      </c>
      <c r="V44" s="4"/>
      <c r="W44" s="4"/>
      <c r="X44" s="18"/>
      <c r="Y44" s="79"/>
      <c r="Z44" s="79"/>
      <c r="AA44" s="79"/>
      <c r="AB44" s="79"/>
    </row>
    <row r="45">
      <c r="A45" s="79"/>
      <c r="B45" s="88">
        <v>6.0</v>
      </c>
      <c r="C45" s="32" t="s">
        <v>534</v>
      </c>
      <c r="D45" s="23"/>
      <c r="E45" s="34" t="s">
        <v>148</v>
      </c>
      <c r="F45" s="23"/>
      <c r="G45" s="33" t="s">
        <v>535</v>
      </c>
      <c r="H45" s="23"/>
      <c r="I45" s="33" t="s">
        <v>448</v>
      </c>
      <c r="J45" s="23"/>
      <c r="K45" s="33" t="str">
        <f>close</f>
        <v>Close: 25 ft</v>
      </c>
      <c r="L45" s="23"/>
      <c r="M45" s="33" t="s">
        <v>536</v>
      </c>
      <c r="N45" s="23"/>
      <c r="O45" s="33" t="s">
        <v>61</v>
      </c>
      <c r="P45" s="23"/>
      <c r="Q45" s="33" t="s">
        <v>62</v>
      </c>
      <c r="R45" s="23"/>
      <c r="S45" s="33" t="s">
        <v>63</v>
      </c>
      <c r="T45" s="23"/>
      <c r="U45" s="35" t="s">
        <v>537</v>
      </c>
      <c r="V45" s="10"/>
      <c r="W45" s="10"/>
      <c r="X45" s="23"/>
      <c r="Y45" s="79"/>
      <c r="Z45" s="79"/>
      <c r="AA45" s="79"/>
      <c r="AB45" s="79"/>
    </row>
    <row r="46">
      <c r="A46" s="79"/>
      <c r="B46" s="92">
        <v>7.0</v>
      </c>
      <c r="C46" s="26" t="s">
        <v>596</v>
      </c>
      <c r="D46" s="18"/>
      <c r="E46" s="28" t="s">
        <v>501</v>
      </c>
      <c r="F46" s="18"/>
      <c r="G46" s="27" t="s">
        <v>597</v>
      </c>
      <c r="H46" s="18"/>
      <c r="I46" s="27" t="s">
        <v>60</v>
      </c>
      <c r="J46" s="18"/>
      <c r="K46" s="27" t="str">
        <f>close</f>
        <v>Close: 25 ft</v>
      </c>
      <c r="L46" s="18"/>
      <c r="M46" s="27" t="s">
        <v>277</v>
      </c>
      <c r="N46" s="18"/>
      <c r="O46" s="27" t="s">
        <v>61</v>
      </c>
      <c r="P46" s="18"/>
      <c r="Q46" s="27" t="s">
        <v>287</v>
      </c>
      <c r="R46" s="18"/>
      <c r="S46" s="27" t="s">
        <v>82</v>
      </c>
      <c r="T46" s="18"/>
      <c r="U46" s="29" t="s">
        <v>598</v>
      </c>
      <c r="V46" s="4"/>
      <c r="W46" s="4"/>
      <c r="X46" s="18"/>
      <c r="Y46" s="79"/>
      <c r="Z46" s="79"/>
      <c r="AA46" s="79"/>
      <c r="AB46" s="79"/>
    </row>
    <row r="47">
      <c r="A47" s="79"/>
      <c r="B47" s="93">
        <v>8.0</v>
      </c>
      <c r="C47" s="32" t="s">
        <v>641</v>
      </c>
      <c r="D47" s="23"/>
      <c r="E47" s="34" t="s">
        <v>148</v>
      </c>
      <c r="F47" s="23"/>
      <c r="G47" s="33" t="s">
        <v>535</v>
      </c>
      <c r="H47" s="23"/>
      <c r="I47" s="33" t="s">
        <v>448</v>
      </c>
      <c r="J47" s="23"/>
      <c r="K47" s="33" t="str">
        <f>close</f>
        <v>Close: 25 ft</v>
      </c>
      <c r="L47" s="23"/>
      <c r="M47" s="33" t="s">
        <v>536</v>
      </c>
      <c r="N47" s="23"/>
      <c r="O47" s="33" t="s">
        <v>61</v>
      </c>
      <c r="P47" s="23"/>
      <c r="Q47" s="33" t="s">
        <v>62</v>
      </c>
      <c r="R47" s="23"/>
      <c r="S47" s="33" t="s">
        <v>63</v>
      </c>
      <c r="T47" s="23"/>
      <c r="U47" s="35" t="s">
        <v>642</v>
      </c>
      <c r="V47" s="10"/>
      <c r="W47" s="10"/>
      <c r="X47" s="23"/>
      <c r="Y47" s="79"/>
      <c r="Z47" s="79"/>
      <c r="AA47" s="79"/>
      <c r="AB47" s="79"/>
    </row>
    <row r="48">
      <c r="A48" s="79"/>
      <c r="B48" s="92">
        <v>9.0</v>
      </c>
      <c r="C48" s="26" t="s">
        <v>757</v>
      </c>
      <c r="D48" s="18"/>
      <c r="E48" s="28" t="s">
        <v>758</v>
      </c>
      <c r="F48" s="18"/>
      <c r="G48" s="27" t="s">
        <v>140</v>
      </c>
      <c r="H48" s="18"/>
      <c r="I48" s="27" t="s">
        <v>60</v>
      </c>
      <c r="J48" s="18"/>
      <c r="K48" s="27" t="str">
        <f>close</f>
        <v>Close: 25 ft</v>
      </c>
      <c r="L48" s="18"/>
      <c r="M48" s="27" t="str">
        <f>Level&amp;" living creature(s), 1 creature/level, within a 40 ft radius spread"</f>
        <v>1 living creature(s), 1 creature/level, within a 40 ft radius spread</v>
      </c>
      <c r="N48" s="18"/>
      <c r="O48" s="27" t="s">
        <v>61</v>
      </c>
      <c r="P48" s="18"/>
      <c r="Q48" s="27" t="s">
        <v>310</v>
      </c>
      <c r="R48" s="18"/>
      <c r="S48" s="27" t="s">
        <v>82</v>
      </c>
      <c r="T48" s="18"/>
      <c r="U48" s="29" t="str">
        <f>"Kills "&amp;Level&amp;" creature(s), 1 creature/level"</f>
        <v>Kills 1 creature(s), 1 creature/level</v>
      </c>
      <c r="V48" s="4"/>
      <c r="W48" s="4"/>
      <c r="X48" s="18"/>
      <c r="Y48" s="79"/>
      <c r="Z48" s="79"/>
      <c r="AA48" s="79"/>
      <c r="AB48" s="79"/>
    </row>
    <row r="49">
      <c r="A49" s="79"/>
      <c r="B49" s="84"/>
      <c r="C49" s="84"/>
      <c r="D49" s="84"/>
      <c r="E49" s="85"/>
      <c r="F49" s="85"/>
      <c r="G49" s="72"/>
      <c r="H49" s="72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6"/>
      <c r="V49" s="86"/>
      <c r="W49" s="86"/>
      <c r="X49" s="86"/>
      <c r="Y49" s="79"/>
      <c r="Z49" s="79"/>
      <c r="AA49" s="79"/>
      <c r="AB49" s="79"/>
    </row>
    <row r="50">
      <c r="A50" s="79"/>
      <c r="B50" s="87" t="s">
        <v>759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18"/>
      <c r="Y50" s="79"/>
      <c r="Z50" s="79"/>
      <c r="AA50" s="79"/>
      <c r="AB50" s="79"/>
    </row>
    <row r="51">
      <c r="A51" s="79"/>
      <c r="B51" s="88" t="s">
        <v>1</v>
      </c>
      <c r="C51" s="89" t="s">
        <v>15</v>
      </c>
      <c r="D51" s="23"/>
      <c r="E51" s="89" t="s">
        <v>18</v>
      </c>
      <c r="F51" s="23"/>
      <c r="G51" s="89" t="s">
        <v>19</v>
      </c>
      <c r="H51" s="23"/>
      <c r="I51" s="89" t="s">
        <v>20</v>
      </c>
      <c r="J51" s="23"/>
      <c r="K51" s="89" t="s">
        <v>21</v>
      </c>
      <c r="L51" s="23"/>
      <c r="M51" s="89" t="s">
        <v>22</v>
      </c>
      <c r="N51" s="23"/>
      <c r="O51" s="89" t="s">
        <v>23</v>
      </c>
      <c r="P51" s="23"/>
      <c r="Q51" s="89" t="s">
        <v>24</v>
      </c>
      <c r="R51" s="23"/>
      <c r="S51" s="89" t="s">
        <v>25</v>
      </c>
      <c r="T51" s="23"/>
      <c r="U51" s="89" t="s">
        <v>26</v>
      </c>
      <c r="V51" s="10"/>
      <c r="W51" s="10"/>
      <c r="X51" s="23"/>
      <c r="Y51" s="79"/>
      <c r="Z51" s="79"/>
      <c r="AA51" s="79"/>
      <c r="AB51" s="79"/>
    </row>
    <row r="52">
      <c r="A52" s="79"/>
      <c r="B52" s="91">
        <v>1.0</v>
      </c>
      <c r="C52" s="26" t="s">
        <v>173</v>
      </c>
      <c r="D52" s="18"/>
      <c r="E52" s="27" t="s">
        <v>85</v>
      </c>
      <c r="F52" s="18"/>
      <c r="G52" s="27" t="s">
        <v>59</v>
      </c>
      <c r="H52" s="18"/>
      <c r="I52" s="27" t="s">
        <v>60</v>
      </c>
      <c r="J52" s="18"/>
      <c r="K52" s="27" t="s">
        <v>66</v>
      </c>
      <c r="L52" s="18"/>
      <c r="M52" s="27" t="s">
        <v>67</v>
      </c>
      <c r="N52" s="18"/>
      <c r="O52" s="27" t="s">
        <v>61</v>
      </c>
      <c r="P52" s="18"/>
      <c r="Q52" s="27" t="s">
        <v>174</v>
      </c>
      <c r="R52" s="18"/>
      <c r="S52" s="27" t="s">
        <v>82</v>
      </c>
      <c r="T52" s="18"/>
      <c r="U52" s="29" t="str">
        <f>CONCAT("Touch deals 1d8+",CONCAT(MIN(Level,5), " damage, +1/level, max +5"))</f>
        <v>Touch deals 1d8+1 damage, +1/level, max +5</v>
      </c>
      <c r="V52" s="4"/>
      <c r="W52" s="4"/>
      <c r="X52" s="18"/>
      <c r="Y52" s="79"/>
      <c r="Z52" s="79"/>
      <c r="AA52" s="79"/>
      <c r="AB52" s="79"/>
    </row>
    <row r="53">
      <c r="A53" s="79"/>
      <c r="B53" s="88">
        <v>2.0</v>
      </c>
      <c r="C53" s="32" t="s">
        <v>270</v>
      </c>
      <c r="D53" s="23"/>
      <c r="E53" s="34" t="s">
        <v>271</v>
      </c>
      <c r="F53" s="23"/>
      <c r="G53" s="33" t="s">
        <v>119</v>
      </c>
      <c r="H53" s="23"/>
      <c r="I53" s="33" t="s">
        <v>60</v>
      </c>
      <c r="J53" s="23"/>
      <c r="K53" s="33" t="str">
        <f>close</f>
        <v>Close: 25 ft</v>
      </c>
      <c r="L53" s="23"/>
      <c r="M53" s="33" t="s">
        <v>272</v>
      </c>
      <c r="N53" s="23"/>
      <c r="O53" s="33" t="s">
        <v>61</v>
      </c>
      <c r="P53" s="23"/>
      <c r="Q53" s="33" t="s">
        <v>273</v>
      </c>
      <c r="R53" s="23"/>
      <c r="S53" s="33" t="s">
        <v>102</v>
      </c>
      <c r="T53" s="23"/>
      <c r="U53" s="35" t="s">
        <v>274</v>
      </c>
      <c r="V53" s="10"/>
      <c r="W53" s="10"/>
      <c r="X53" s="23"/>
      <c r="Y53" s="79"/>
      <c r="Z53" s="79"/>
      <c r="AA53" s="79"/>
      <c r="AB53" s="79"/>
    </row>
    <row r="54">
      <c r="A54" s="79"/>
      <c r="B54" s="91">
        <v>3.0</v>
      </c>
      <c r="C54" s="26" t="s">
        <v>312</v>
      </c>
      <c r="D54" s="18"/>
      <c r="E54" s="28" t="s">
        <v>148</v>
      </c>
      <c r="F54" s="18"/>
      <c r="G54" s="27" t="s">
        <v>59</v>
      </c>
      <c r="H54" s="18"/>
      <c r="I54" s="27" t="s">
        <v>60</v>
      </c>
      <c r="J54" s="18"/>
      <c r="K54" s="27" t="s">
        <v>66</v>
      </c>
      <c r="L54" s="18"/>
      <c r="M54" s="27" t="s">
        <v>210</v>
      </c>
      <c r="N54" s="18"/>
      <c r="O54" s="27" t="s">
        <v>61</v>
      </c>
      <c r="P54" s="18"/>
      <c r="Q54" s="27" t="s">
        <v>310</v>
      </c>
      <c r="R54" s="18"/>
      <c r="S54" s="27" t="s">
        <v>82</v>
      </c>
      <c r="T54" s="18"/>
      <c r="U54" s="29" t="s">
        <v>313</v>
      </c>
      <c r="V54" s="4"/>
      <c r="W54" s="4"/>
      <c r="X54" s="18"/>
      <c r="Y54" s="79"/>
      <c r="Z54" s="79"/>
      <c r="AA54" s="79"/>
      <c r="AB54" s="79"/>
    </row>
    <row r="55">
      <c r="A55" s="79"/>
      <c r="B55" s="88">
        <v>4.0</v>
      </c>
      <c r="C55" s="32" t="s">
        <v>416</v>
      </c>
      <c r="D55" s="23"/>
      <c r="E55" s="33" t="s">
        <v>85</v>
      </c>
      <c r="F55" s="23"/>
      <c r="G55" s="33" t="s">
        <v>59</v>
      </c>
      <c r="H55" s="23"/>
      <c r="I55" s="33" t="s">
        <v>60</v>
      </c>
      <c r="J55" s="23"/>
      <c r="K55" s="33" t="s">
        <v>66</v>
      </c>
      <c r="L55" s="23"/>
      <c r="M55" s="33" t="s">
        <v>67</v>
      </c>
      <c r="N55" s="23"/>
      <c r="O55" s="33" t="s">
        <v>61</v>
      </c>
      <c r="P55" s="23"/>
      <c r="Q55" s="33" t="s">
        <v>174</v>
      </c>
      <c r="R55" s="23"/>
      <c r="S55" s="33" t="s">
        <v>82</v>
      </c>
      <c r="T55" s="23"/>
      <c r="U55" s="35" t="str">
        <f>CONCAT("Touch attack deals 4d8+",CONCAT(MIN(Level,20)," damage, +1/level, max +20"))</f>
        <v>Touch attack deals 4d8+1 damage, +1/level, max +20</v>
      </c>
      <c r="V55" s="10"/>
      <c r="W55" s="10"/>
      <c r="X55" s="23"/>
      <c r="Y55" s="79"/>
      <c r="Z55" s="79"/>
      <c r="AA55" s="79"/>
      <c r="AB55" s="79"/>
    </row>
    <row r="56">
      <c r="A56" s="79"/>
      <c r="B56" s="91">
        <v>5.0</v>
      </c>
      <c r="C56" s="26" t="s">
        <v>479</v>
      </c>
      <c r="D56" s="18"/>
      <c r="E56" s="27" t="s">
        <v>85</v>
      </c>
      <c r="F56" s="18"/>
      <c r="G56" s="27" t="s">
        <v>59</v>
      </c>
      <c r="H56" s="18"/>
      <c r="I56" s="27" t="s">
        <v>60</v>
      </c>
      <c r="J56" s="18"/>
      <c r="K56" s="27" t="str">
        <f>CONCAT("Close: ", CONCAT(25+(5*FLOOR(Level/2,1)), " ft"))</f>
        <v>Close: 25 ft</v>
      </c>
      <c r="L56" s="18"/>
      <c r="M56" s="27" t="str">
        <f>CONCAT(Level," creature(s), 1 creature/level, no 2 of which can be more than 30 ft apart")</f>
        <v>1 creature(s), 1 creature/level, no 2 of which can be more than 30 ft apart</v>
      </c>
      <c r="N56" s="18"/>
      <c r="O56" s="27" t="s">
        <v>61</v>
      </c>
      <c r="P56" s="18"/>
      <c r="Q56" s="27" t="s">
        <v>174</v>
      </c>
      <c r="R56" s="18"/>
      <c r="S56" s="27" t="s">
        <v>82</v>
      </c>
      <c r="T56" s="18"/>
      <c r="U56" s="29" t="str">
        <f>CONCAT("Deals 1d8+",CONCAT(MIN(Level,25)," damage to many creatures, +1/level, max +25"))</f>
        <v>Deals 1d8+1 damage to many creatures, +1/level, max +25</v>
      </c>
      <c r="V56" s="4"/>
      <c r="W56" s="4"/>
      <c r="X56" s="18"/>
      <c r="Y56" s="79"/>
      <c r="Z56" s="79"/>
      <c r="AA56" s="79"/>
      <c r="AB56" s="79"/>
    </row>
    <row r="57">
      <c r="A57" s="79"/>
      <c r="B57" s="88">
        <v>6.0</v>
      </c>
      <c r="C57" s="32" t="s">
        <v>558</v>
      </c>
      <c r="D57" s="23"/>
      <c r="E57" s="33" t="s">
        <v>85</v>
      </c>
      <c r="F57" s="23"/>
      <c r="G57" s="33" t="s">
        <v>59</v>
      </c>
      <c r="H57" s="23"/>
      <c r="I57" s="33" t="s">
        <v>60</v>
      </c>
      <c r="J57" s="23"/>
      <c r="K57" s="33" t="s">
        <v>66</v>
      </c>
      <c r="L57" s="23"/>
      <c r="M57" s="33" t="s">
        <v>166</v>
      </c>
      <c r="N57" s="23"/>
      <c r="O57" s="33" t="s">
        <v>61</v>
      </c>
      <c r="P57" s="23"/>
      <c r="Q57" s="33" t="s">
        <v>174</v>
      </c>
      <c r="R57" s="23"/>
      <c r="S57" s="33" t="s">
        <v>82</v>
      </c>
      <c r="T57" s="23"/>
      <c r="U57" s="35" t="str">
        <f>CONCAT("Deals ",CONCAT(Level*10," points of damage to target, 10 points/level"))</f>
        <v>Deals 10 points of damage to target, 10 points/level</v>
      </c>
      <c r="V57" s="10"/>
      <c r="W57" s="10"/>
      <c r="X57" s="23"/>
      <c r="Y57" s="79"/>
      <c r="Z57" s="79"/>
      <c r="AA57" s="79"/>
      <c r="AB57" s="79"/>
    </row>
    <row r="58">
      <c r="A58" s="79"/>
      <c r="B58" s="92">
        <v>7.0</v>
      </c>
      <c r="C58" s="26" t="s">
        <v>760</v>
      </c>
      <c r="D58" s="18"/>
      <c r="E58" s="27" t="s">
        <v>94</v>
      </c>
      <c r="F58" s="18"/>
      <c r="G58" s="27" t="s">
        <v>119</v>
      </c>
      <c r="H58" s="18"/>
      <c r="I58" s="27" t="s">
        <v>60</v>
      </c>
      <c r="J58" s="18"/>
      <c r="K58" s="27" t="str">
        <f>medium</f>
        <v>Medium: 110 ft</v>
      </c>
      <c r="L58" s="18"/>
      <c r="M58" s="27" t="s">
        <v>369</v>
      </c>
      <c r="N58" s="18"/>
      <c r="O58" s="27" t="s">
        <v>61</v>
      </c>
      <c r="P58" s="18"/>
      <c r="Q58" s="27" t="s">
        <v>761</v>
      </c>
      <c r="R58" s="18"/>
      <c r="S58" s="27" t="s">
        <v>82</v>
      </c>
      <c r="T58" s="18"/>
      <c r="U58" s="29" t="s">
        <v>762</v>
      </c>
      <c r="V58" s="4"/>
      <c r="W58" s="4"/>
      <c r="X58" s="18"/>
      <c r="Y58" s="79"/>
      <c r="Z58" s="79"/>
      <c r="AA58" s="79"/>
      <c r="AB58" s="79"/>
    </row>
    <row r="59">
      <c r="A59" s="79"/>
      <c r="B59" s="93">
        <v>8.0</v>
      </c>
      <c r="C59" s="32" t="s">
        <v>648</v>
      </c>
      <c r="D59" s="23"/>
      <c r="E59" s="34" t="s">
        <v>649</v>
      </c>
      <c r="F59" s="23"/>
      <c r="G59" s="33" t="s">
        <v>59</v>
      </c>
      <c r="H59" s="23"/>
      <c r="I59" s="33" t="s">
        <v>60</v>
      </c>
      <c r="J59" s="23"/>
      <c r="K59" s="33" t="str">
        <f>CONCAT("Long: ", CONCAT(400+(40*Level), " ft"))</f>
        <v>Long: 440 ft</v>
      </c>
      <c r="L59" s="23"/>
      <c r="M59" s="33" t="s">
        <v>650</v>
      </c>
      <c r="N59" s="23"/>
      <c r="O59" s="33" t="s">
        <v>142</v>
      </c>
      <c r="P59" s="23"/>
      <c r="Q59" s="33" t="s">
        <v>332</v>
      </c>
      <c r="R59" s="23"/>
      <c r="S59" s="33" t="s">
        <v>63</v>
      </c>
      <c r="T59" s="23"/>
      <c r="U59" s="35" t="s">
        <v>763</v>
      </c>
      <c r="V59" s="10"/>
      <c r="W59" s="10"/>
      <c r="X59" s="23"/>
      <c r="Y59" s="79"/>
      <c r="Z59" s="79"/>
      <c r="AA59" s="79"/>
      <c r="AB59" s="79"/>
    </row>
    <row r="60">
      <c r="A60" s="79"/>
      <c r="B60" s="92">
        <v>9.0</v>
      </c>
      <c r="C60" s="26" t="s">
        <v>688</v>
      </c>
      <c r="D60" s="18"/>
      <c r="E60" s="27" t="s">
        <v>162</v>
      </c>
      <c r="F60" s="18"/>
      <c r="G60" s="27" t="s">
        <v>59</v>
      </c>
      <c r="H60" s="18"/>
      <c r="I60" s="27" t="s">
        <v>60</v>
      </c>
      <c r="J60" s="18"/>
      <c r="K60" s="27" t="str">
        <f>close</f>
        <v>Close: 25 ft</v>
      </c>
      <c r="L60" s="18"/>
      <c r="M60" s="27" t="s">
        <v>689</v>
      </c>
      <c r="N60" s="18"/>
      <c r="O60" s="27" t="s">
        <v>690</v>
      </c>
      <c r="P60" s="18"/>
      <c r="Q60" s="27" t="s">
        <v>310</v>
      </c>
      <c r="R60" s="18"/>
      <c r="S60" s="27" t="s">
        <v>82</v>
      </c>
      <c r="T60" s="18"/>
      <c r="U60" s="29" t="s">
        <v>691</v>
      </c>
      <c r="V60" s="4"/>
      <c r="W60" s="4"/>
      <c r="X60" s="18"/>
      <c r="Y60" s="79"/>
      <c r="Z60" s="79"/>
      <c r="AA60" s="79"/>
      <c r="AB60" s="79"/>
    </row>
    <row r="61">
      <c r="A61" s="79"/>
      <c r="B61" s="84"/>
      <c r="C61" s="84"/>
      <c r="D61" s="84"/>
      <c r="E61" s="85"/>
      <c r="F61" s="85"/>
      <c r="G61" s="72"/>
      <c r="H61" s="72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6"/>
      <c r="V61" s="86"/>
      <c r="W61" s="86"/>
      <c r="X61" s="86"/>
      <c r="Y61" s="79"/>
      <c r="Z61" s="79"/>
      <c r="AA61" s="79"/>
      <c r="AB61" s="79"/>
    </row>
    <row r="62">
      <c r="A62" s="79"/>
      <c r="B62" s="87" t="s">
        <v>764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8"/>
      <c r="Y62" s="79"/>
      <c r="Z62" s="79"/>
      <c r="AA62" s="79"/>
      <c r="AB62" s="79"/>
    </row>
    <row r="63">
      <c r="A63" s="79"/>
      <c r="B63" s="88" t="s">
        <v>1</v>
      </c>
      <c r="C63" s="89" t="s">
        <v>15</v>
      </c>
      <c r="D63" s="23"/>
      <c r="E63" s="89" t="s">
        <v>18</v>
      </c>
      <c r="F63" s="23"/>
      <c r="G63" s="89" t="s">
        <v>19</v>
      </c>
      <c r="H63" s="23"/>
      <c r="I63" s="89" t="s">
        <v>20</v>
      </c>
      <c r="J63" s="23"/>
      <c r="K63" s="89" t="s">
        <v>21</v>
      </c>
      <c r="L63" s="23"/>
      <c r="M63" s="89" t="s">
        <v>22</v>
      </c>
      <c r="N63" s="23"/>
      <c r="O63" s="89" t="s">
        <v>23</v>
      </c>
      <c r="P63" s="23"/>
      <c r="Q63" s="89" t="s">
        <v>24</v>
      </c>
      <c r="R63" s="23"/>
      <c r="S63" s="89" t="s">
        <v>25</v>
      </c>
      <c r="T63" s="23"/>
      <c r="U63" s="89" t="s">
        <v>26</v>
      </c>
      <c r="V63" s="10"/>
      <c r="W63" s="10"/>
      <c r="X63" s="23"/>
      <c r="Y63" s="79"/>
      <c r="Z63" s="79"/>
      <c r="AA63" s="79"/>
      <c r="AB63" s="79"/>
    </row>
    <row r="64">
      <c r="A64" s="79"/>
      <c r="B64" s="91">
        <v>1.0</v>
      </c>
      <c r="C64" s="26" t="s">
        <v>175</v>
      </c>
      <c r="D64" s="18"/>
      <c r="E64" s="27" t="s">
        <v>94</v>
      </c>
      <c r="F64" s="18"/>
      <c r="G64" s="27" t="s">
        <v>119</v>
      </c>
      <c r="H64" s="18"/>
      <c r="I64" s="27" t="s">
        <v>60</v>
      </c>
      <c r="J64" s="18"/>
      <c r="K64" s="27" t="s">
        <v>66</v>
      </c>
      <c r="L64" s="18"/>
      <c r="M64" s="27" t="s">
        <v>176</v>
      </c>
      <c r="N64" s="18"/>
      <c r="O64" s="27" t="s">
        <v>177</v>
      </c>
      <c r="P64" s="18"/>
      <c r="Q64" s="27" t="s">
        <v>97</v>
      </c>
      <c r="R64" s="18"/>
      <c r="S64" s="27" t="s">
        <v>98</v>
      </c>
      <c r="T64" s="18"/>
      <c r="U64" s="29" t="s">
        <v>178</v>
      </c>
      <c r="V64" s="4"/>
      <c r="W64" s="4"/>
      <c r="X64" s="18"/>
      <c r="Y64" s="79"/>
      <c r="Z64" s="79"/>
      <c r="AA64" s="79"/>
      <c r="AB64" s="79"/>
    </row>
    <row r="65">
      <c r="A65" s="79"/>
      <c r="B65" s="88">
        <v>2.0</v>
      </c>
      <c r="C65" s="32" t="s">
        <v>765</v>
      </c>
      <c r="D65" s="23"/>
      <c r="E65" s="34" t="s">
        <v>351</v>
      </c>
      <c r="F65" s="23"/>
      <c r="G65" s="33" t="s">
        <v>119</v>
      </c>
      <c r="H65" s="23"/>
      <c r="I65" s="33" t="s">
        <v>60</v>
      </c>
      <c r="J65" s="23"/>
      <c r="K65" s="33" t="str">
        <f>CONCAT("Close: ", CONCAT(25+(5*FLOOR(Level/2,1)), " ft"))</f>
        <v>Close: 25 ft</v>
      </c>
      <c r="L65" s="23"/>
      <c r="M65" s="33" t="str">
        <f>CONCAT(Level, " ten ft square(s), 1 ten ft square/level, see text")</f>
        <v>1 ten ft square(s), 1 ten ft square/level, see text</v>
      </c>
      <c r="N65" s="23"/>
      <c r="O65" s="33" t="s">
        <v>61</v>
      </c>
      <c r="P65" s="23"/>
      <c r="Q65" s="33" t="s">
        <v>62</v>
      </c>
      <c r="R65" s="23"/>
      <c r="S65" s="33" t="s">
        <v>63</v>
      </c>
      <c r="T65" s="23"/>
      <c r="U65" s="35" t="s">
        <v>766</v>
      </c>
      <c r="V65" s="10"/>
      <c r="W65" s="10"/>
      <c r="X65" s="23"/>
      <c r="Y65" s="79"/>
      <c r="Z65" s="79"/>
      <c r="AA65" s="79"/>
      <c r="AB65" s="79"/>
    </row>
    <row r="66">
      <c r="A66" s="79"/>
      <c r="B66" s="91">
        <v>3.0</v>
      </c>
      <c r="C66" s="26" t="s">
        <v>373</v>
      </c>
      <c r="D66" s="18"/>
      <c r="E66" s="28" t="s">
        <v>351</v>
      </c>
      <c r="F66" s="18"/>
      <c r="G66" s="27" t="s">
        <v>119</v>
      </c>
      <c r="H66" s="18"/>
      <c r="I66" s="27" t="s">
        <v>60</v>
      </c>
      <c r="J66" s="18"/>
      <c r="K66" s="27" t="s">
        <v>66</v>
      </c>
      <c r="L66" s="18"/>
      <c r="M66" s="27" t="str">
        <f>CONCAT("Stone or stone object touched, up to ",CONCAT(Level+10," cu ft, 10+1 cu ft/level"))</f>
        <v>Stone or stone object touched, up to 11 cu ft, 10+1 cu ft/level</v>
      </c>
      <c r="N66" s="18"/>
      <c r="O66" s="27" t="s">
        <v>61</v>
      </c>
      <c r="P66" s="18"/>
      <c r="Q66" s="27" t="s">
        <v>62</v>
      </c>
      <c r="R66" s="18"/>
      <c r="S66" s="27" t="s">
        <v>63</v>
      </c>
      <c r="T66" s="18"/>
      <c r="U66" s="29" t="s">
        <v>374</v>
      </c>
      <c r="V66" s="4"/>
      <c r="W66" s="4"/>
      <c r="X66" s="18"/>
      <c r="Y66" s="79"/>
      <c r="Z66" s="79"/>
      <c r="AA66" s="79"/>
      <c r="AB66" s="79"/>
    </row>
    <row r="67">
      <c r="A67" s="79"/>
      <c r="B67" s="88">
        <v>4.0</v>
      </c>
      <c r="C67" s="32" t="s">
        <v>767</v>
      </c>
      <c r="D67" s="23"/>
      <c r="E67" s="34" t="s">
        <v>351</v>
      </c>
      <c r="F67" s="23"/>
      <c r="G67" s="33" t="s">
        <v>119</v>
      </c>
      <c r="H67" s="23"/>
      <c r="I67" s="33" t="s">
        <v>60</v>
      </c>
      <c r="J67" s="23"/>
      <c r="K67" s="33" t="str">
        <f>CONCAT("Medium: ", CONCAT(100+(10*Level), " ft"))</f>
        <v>Medium: 110 ft</v>
      </c>
      <c r="L67" s="23"/>
      <c r="M67" s="33" t="str">
        <f>CONCAT(Level," twenty ft square(s), 1 square/level")</f>
        <v>1 twenty ft square(s), 1 square/level</v>
      </c>
      <c r="N67" s="23"/>
      <c r="O67" s="33" t="str">
        <f>CONCAT(Level, " hour(s) (D)
1 hour/level")</f>
        <v>1 hour(s) (D)
1 hour/level</v>
      </c>
      <c r="P67" s="23"/>
      <c r="Q67" s="33" t="s">
        <v>768</v>
      </c>
      <c r="R67" s="23"/>
      <c r="S67" s="33" t="s">
        <v>82</v>
      </c>
      <c r="T67" s="23"/>
      <c r="U67" s="35" t="s">
        <v>769</v>
      </c>
      <c r="V67" s="10"/>
      <c r="W67" s="10"/>
      <c r="X67" s="23"/>
      <c r="Y67" s="79"/>
      <c r="Z67" s="79"/>
      <c r="AA67" s="79"/>
      <c r="AB67" s="79"/>
    </row>
    <row r="68">
      <c r="A68" s="79"/>
      <c r="B68" s="91">
        <v>5.0</v>
      </c>
      <c r="C68" s="26" t="s">
        <v>520</v>
      </c>
      <c r="D68" s="18"/>
      <c r="E68" s="28" t="s">
        <v>521</v>
      </c>
      <c r="F68" s="18"/>
      <c r="G68" s="27" t="s">
        <v>119</v>
      </c>
      <c r="H68" s="18"/>
      <c r="I68" s="27" t="s">
        <v>60</v>
      </c>
      <c r="J68" s="18"/>
      <c r="K68" s="27" t="str">
        <f>CONCAT("Medium: ", CONCAT(100+(10*Level), " ft"))</f>
        <v>Medium: 110 ft</v>
      </c>
      <c r="L68" s="18"/>
      <c r="M68" s="27" t="str">
        <f>CONCAT("Stone wall whose area is up to ",CONCAT(Level, " five ft square(s), 1 five ft sqaure/level"))</f>
        <v>Stone wall whose area is up to 1 five ft square(s), 1 five ft sqaure/level</v>
      </c>
      <c r="N68" s="18"/>
      <c r="O68" s="27" t="s">
        <v>61</v>
      </c>
      <c r="P68" s="18"/>
      <c r="Q68" s="27" t="s">
        <v>332</v>
      </c>
      <c r="R68" s="18"/>
      <c r="S68" s="27" t="s">
        <v>63</v>
      </c>
      <c r="T68" s="18"/>
      <c r="U68" s="29" t="s">
        <v>522</v>
      </c>
      <c r="V68" s="4"/>
      <c r="W68" s="4"/>
      <c r="X68" s="18"/>
      <c r="Y68" s="79"/>
      <c r="Z68" s="79"/>
      <c r="AA68" s="79"/>
      <c r="AB68" s="79"/>
    </row>
    <row r="69">
      <c r="A69" s="79"/>
      <c r="B69" s="88">
        <v>6.0</v>
      </c>
      <c r="C69" s="32" t="s">
        <v>770</v>
      </c>
      <c r="D69" s="23"/>
      <c r="E69" s="33" t="s">
        <v>110</v>
      </c>
      <c r="F69" s="23"/>
      <c r="G69" s="33" t="s">
        <v>512</v>
      </c>
      <c r="H69" s="23"/>
      <c r="I69" s="33" t="s">
        <v>60</v>
      </c>
      <c r="J69" s="23"/>
      <c r="K69" s="33" t="s">
        <v>66</v>
      </c>
      <c r="L69" s="23"/>
      <c r="M69" s="33" t="s">
        <v>166</v>
      </c>
      <c r="N69" s="23"/>
      <c r="O69" s="33" t="str">
        <f>CONCAT(Level, " minute(s) or until discharged
1 minute/level")</f>
        <v>1 minute(s) or until discharged
1 minute/level</v>
      </c>
      <c r="P69" s="23"/>
      <c r="Q69" s="33" t="s">
        <v>81</v>
      </c>
      <c r="R69" s="23"/>
      <c r="S69" s="33" t="s">
        <v>113</v>
      </c>
      <c r="T69" s="23"/>
      <c r="U69" s="35" t="s">
        <v>771</v>
      </c>
      <c r="V69" s="10"/>
      <c r="W69" s="10"/>
      <c r="X69" s="23"/>
      <c r="Y69" s="79"/>
      <c r="Z69" s="79"/>
      <c r="AA69" s="79"/>
      <c r="AB69" s="79"/>
    </row>
    <row r="70">
      <c r="A70" s="79"/>
      <c r="B70" s="92">
        <v>7.0</v>
      </c>
      <c r="C70" s="26" t="s">
        <v>648</v>
      </c>
      <c r="D70" s="18"/>
      <c r="E70" s="28" t="s">
        <v>649</v>
      </c>
      <c r="F70" s="18"/>
      <c r="G70" s="27" t="s">
        <v>59</v>
      </c>
      <c r="H70" s="18"/>
      <c r="I70" s="27" t="s">
        <v>60</v>
      </c>
      <c r="J70" s="18"/>
      <c r="K70" s="27" t="str">
        <f>CONCAT("Long: ", CONCAT(400+(40*Level), " ft"))</f>
        <v>Long: 440 ft</v>
      </c>
      <c r="L70" s="18"/>
      <c r="M70" s="27" t="s">
        <v>650</v>
      </c>
      <c r="N70" s="18"/>
      <c r="O70" s="27" t="s">
        <v>142</v>
      </c>
      <c r="P70" s="18"/>
      <c r="Q70" s="27" t="s">
        <v>332</v>
      </c>
      <c r="R70" s="18"/>
      <c r="S70" s="27" t="s">
        <v>63</v>
      </c>
      <c r="T70" s="18"/>
      <c r="U70" s="29" t="s">
        <v>763</v>
      </c>
      <c r="V70" s="4"/>
      <c r="W70" s="4"/>
      <c r="X70" s="18"/>
      <c r="Y70" s="79"/>
      <c r="Z70" s="79"/>
      <c r="AA70" s="79"/>
      <c r="AB70" s="79"/>
    </row>
    <row r="71">
      <c r="A71" s="79"/>
      <c r="B71" s="93">
        <v>8.0</v>
      </c>
      <c r="C71" s="32" t="s">
        <v>772</v>
      </c>
      <c r="D71" s="23"/>
      <c r="E71" s="33" t="s">
        <v>94</v>
      </c>
      <c r="F71" s="23"/>
      <c r="G71" s="33" t="s">
        <v>119</v>
      </c>
      <c r="H71" s="23"/>
      <c r="I71" s="33" t="s">
        <v>60</v>
      </c>
      <c r="J71" s="23"/>
      <c r="K71" s="33" t="s">
        <v>105</v>
      </c>
      <c r="L71" s="23"/>
      <c r="M71" s="33" t="s">
        <v>106</v>
      </c>
      <c r="N71" s="23"/>
      <c r="O71" s="33" t="str">
        <f>Level&amp;" minute(s) (D)
1 minute/level"</f>
        <v>1 minute(s) (D)
1 minute/level</v>
      </c>
      <c r="P71" s="23"/>
      <c r="Q71" s="33" t="s">
        <v>107</v>
      </c>
      <c r="R71" s="23"/>
      <c r="S71" s="33" t="s">
        <v>107</v>
      </c>
      <c r="T71" s="23"/>
      <c r="U71" s="35" t="s">
        <v>773</v>
      </c>
      <c r="V71" s="10"/>
      <c r="W71" s="10"/>
      <c r="X71" s="23"/>
      <c r="Y71" s="79"/>
      <c r="Z71" s="79"/>
      <c r="AA71" s="79"/>
      <c r="AB71" s="79"/>
    </row>
    <row r="72">
      <c r="A72" s="79"/>
      <c r="B72" s="92">
        <v>9.0</v>
      </c>
      <c r="C72" s="26" t="s">
        <v>774</v>
      </c>
      <c r="D72" s="18"/>
      <c r="E72" s="28" t="s">
        <v>775</v>
      </c>
      <c r="F72" s="18"/>
      <c r="G72" s="27" t="s">
        <v>59</v>
      </c>
      <c r="H72" s="18"/>
      <c r="I72" s="27" t="s">
        <v>319</v>
      </c>
      <c r="J72" s="18"/>
      <c r="K72" s="27" t="str">
        <f>CONCAT("Medium: ", CONCAT(100+(10*Level), " ft"))</f>
        <v>Medium: 110 ft</v>
      </c>
      <c r="L72" s="18"/>
      <c r="M72" s="27" t="s">
        <v>725</v>
      </c>
      <c r="N72" s="18"/>
      <c r="O72" s="27" t="str">
        <f>CONCAT(Level*10, " minute(s) (D)
10 minutes/level")</f>
        <v>10 minute(s) (D)
10 minutes/level</v>
      </c>
      <c r="P72" s="18"/>
      <c r="Q72" s="27" t="s">
        <v>62</v>
      </c>
      <c r="R72" s="18"/>
      <c r="S72" s="27" t="s">
        <v>63</v>
      </c>
      <c r="T72" s="18"/>
      <c r="U72" s="29" t="s">
        <v>726</v>
      </c>
      <c r="V72" s="4"/>
      <c r="W72" s="4"/>
      <c r="X72" s="18"/>
      <c r="Y72" s="79"/>
      <c r="Z72" s="79"/>
      <c r="AA72" s="79"/>
      <c r="AB72" s="79"/>
    </row>
    <row r="73">
      <c r="A73" s="79"/>
      <c r="B73" s="84"/>
      <c r="C73" s="84"/>
      <c r="D73" s="84"/>
      <c r="E73" s="85"/>
      <c r="F73" s="85"/>
      <c r="G73" s="72"/>
      <c r="H73" s="72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6"/>
      <c r="V73" s="86"/>
      <c r="W73" s="86"/>
      <c r="X73" s="86"/>
      <c r="Y73" s="79"/>
      <c r="Z73" s="79"/>
      <c r="AA73" s="79"/>
      <c r="AB73" s="79"/>
    </row>
    <row r="74">
      <c r="A74" s="79"/>
      <c r="B74" s="87" t="s">
        <v>776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8"/>
      <c r="Y74" s="79"/>
      <c r="Z74" s="79"/>
      <c r="AA74" s="79"/>
      <c r="AB74" s="79"/>
    </row>
    <row r="75">
      <c r="A75" s="79"/>
      <c r="B75" s="88" t="s">
        <v>1</v>
      </c>
      <c r="C75" s="89" t="s">
        <v>15</v>
      </c>
      <c r="D75" s="23"/>
      <c r="E75" s="89" t="s">
        <v>18</v>
      </c>
      <c r="F75" s="23"/>
      <c r="G75" s="89" t="s">
        <v>19</v>
      </c>
      <c r="H75" s="23"/>
      <c r="I75" s="89" t="s">
        <v>20</v>
      </c>
      <c r="J75" s="23"/>
      <c r="K75" s="89" t="s">
        <v>21</v>
      </c>
      <c r="L75" s="23"/>
      <c r="M75" s="89" t="s">
        <v>22</v>
      </c>
      <c r="N75" s="23"/>
      <c r="O75" s="89" t="s">
        <v>23</v>
      </c>
      <c r="P75" s="23"/>
      <c r="Q75" s="89" t="s">
        <v>24</v>
      </c>
      <c r="R75" s="23"/>
      <c r="S75" s="89" t="s">
        <v>25</v>
      </c>
      <c r="T75" s="23"/>
      <c r="U75" s="89" t="s">
        <v>26</v>
      </c>
      <c r="V75" s="10"/>
      <c r="W75" s="10"/>
      <c r="X75" s="23"/>
      <c r="Y75" s="79"/>
      <c r="Z75" s="79"/>
      <c r="AA75" s="79"/>
      <c r="AB75" s="79"/>
    </row>
    <row r="76">
      <c r="A76" s="79"/>
      <c r="B76" s="91">
        <v>1.0</v>
      </c>
      <c r="C76" s="26" t="s">
        <v>193</v>
      </c>
      <c r="D76" s="18"/>
      <c r="E76" s="28" t="s">
        <v>194</v>
      </c>
      <c r="F76" s="18"/>
      <c r="G76" s="27" t="s">
        <v>119</v>
      </c>
      <c r="H76" s="18"/>
      <c r="I76" s="27" t="s">
        <v>60</v>
      </c>
      <c r="J76" s="18"/>
      <c r="K76" s="27" t="s">
        <v>66</v>
      </c>
      <c r="L76" s="18"/>
      <c r="M76" s="27" t="s">
        <v>166</v>
      </c>
      <c r="N76" s="18"/>
      <c r="O76" s="27" t="str">
        <f>Level+1&amp;" minutes (D)
1 minute/level"</f>
        <v>2 minutes (D)
1 minute/level</v>
      </c>
      <c r="P76" s="18"/>
      <c r="Q76" s="27" t="s">
        <v>81</v>
      </c>
      <c r="R76" s="18"/>
      <c r="S76" s="27" t="s">
        <v>189</v>
      </c>
      <c r="T76" s="18"/>
      <c r="U76" s="62" t="s">
        <v>190</v>
      </c>
      <c r="V76" s="4"/>
      <c r="W76" s="4"/>
      <c r="X76" s="18"/>
      <c r="Y76" s="79"/>
      <c r="Z76" s="79"/>
      <c r="AA76" s="79"/>
      <c r="AB76" s="79"/>
    </row>
    <row r="77">
      <c r="A77" s="79"/>
      <c r="B77" s="88">
        <v>2.0</v>
      </c>
      <c r="C77" s="32" t="s">
        <v>240</v>
      </c>
      <c r="D77" s="23"/>
      <c r="E77" s="34" t="s">
        <v>241</v>
      </c>
      <c r="F77" s="23"/>
      <c r="G77" s="33" t="s">
        <v>242</v>
      </c>
      <c r="H77" s="23"/>
      <c r="I77" s="33" t="s">
        <v>60</v>
      </c>
      <c r="J77" s="23"/>
      <c r="K77" s="33" t="str">
        <f>"Close: "&amp;25+(5*FLOOR((Level+1)/2,1)) &amp;" ft"</f>
        <v>Close: 30 ft</v>
      </c>
      <c r="L77" s="23"/>
      <c r="M77" s="33" t="s">
        <v>226</v>
      </c>
      <c r="N77" s="23"/>
      <c r="O77" s="33" t="str">
        <f>CONCAT((Level+1)*2, " hours
2 hours/level")</f>
        <v>4 hours
2 hours/level</v>
      </c>
      <c r="P77" s="23"/>
      <c r="Q77" s="33" t="s">
        <v>62</v>
      </c>
      <c r="R77" s="23"/>
      <c r="S77" s="33" t="s">
        <v>82</v>
      </c>
      <c r="T77" s="23"/>
      <c r="U77" s="35" t="s">
        <v>243</v>
      </c>
      <c r="V77" s="10"/>
      <c r="W77" s="10"/>
      <c r="X77" s="23"/>
      <c r="Y77" s="79"/>
      <c r="Z77" s="79"/>
      <c r="AA77" s="79"/>
      <c r="AB77" s="79"/>
    </row>
    <row r="78">
      <c r="A78" s="79"/>
      <c r="B78" s="91">
        <v>3.0</v>
      </c>
      <c r="C78" s="26" t="s">
        <v>346</v>
      </c>
      <c r="D78" s="18"/>
      <c r="E78" s="28" t="s">
        <v>194</v>
      </c>
      <c r="F78" s="18"/>
      <c r="G78" s="27" t="s">
        <v>119</v>
      </c>
      <c r="H78" s="18"/>
      <c r="I78" s="27" t="s">
        <v>60</v>
      </c>
      <c r="J78" s="18"/>
      <c r="K78" s="27" t="s">
        <v>66</v>
      </c>
      <c r="L78" s="18"/>
      <c r="M78" s="27" t="s">
        <v>344</v>
      </c>
      <c r="N78" s="18"/>
      <c r="O78" s="27" t="str">
        <f>CONCAT((Level+1)*10, " minute(s)
10 minutes/level")</f>
        <v>20 minute(s)
10 minutes/level</v>
      </c>
      <c r="P78" s="18"/>
      <c r="Q78" s="27" t="s">
        <v>81</v>
      </c>
      <c r="R78" s="18"/>
      <c r="S78" s="27" t="s">
        <v>189</v>
      </c>
      <c r="T78" s="18"/>
      <c r="U78" s="29" t="str">
        <f>"As protection spells, but 10 ft radius and "&amp;10*(1+Level)&amp;" minutes, 10 minutes/level"</f>
        <v>As protection spells, but 10 ft radius and 20 minutes, 10 minutes/level</v>
      </c>
      <c r="V78" s="4"/>
      <c r="W78" s="4"/>
      <c r="X78" s="18"/>
      <c r="Y78" s="79"/>
      <c r="Z78" s="79"/>
      <c r="AA78" s="79"/>
      <c r="AB78" s="79"/>
    </row>
    <row r="79">
      <c r="A79" s="79"/>
      <c r="B79" s="88">
        <v>4.0</v>
      </c>
      <c r="C79" s="32" t="s">
        <v>777</v>
      </c>
      <c r="D79" s="23"/>
      <c r="E79" s="34" t="s">
        <v>241</v>
      </c>
      <c r="F79" s="23"/>
      <c r="G79" s="33" t="s">
        <v>59</v>
      </c>
      <c r="H79" s="23"/>
      <c r="I79" s="33" t="s">
        <v>60</v>
      </c>
      <c r="J79" s="23"/>
      <c r="K79" s="33" t="str">
        <f>"Medium: "&amp;100+(10*(1+Level)) &amp;" ft"</f>
        <v>Medium: 120 ft</v>
      </c>
      <c r="L79" s="23"/>
      <c r="M79" s="33" t="s">
        <v>778</v>
      </c>
      <c r="N79" s="23"/>
      <c r="O79" s="33" t="s">
        <v>779</v>
      </c>
      <c r="P79" s="23"/>
      <c r="Q79" s="33" t="s">
        <v>136</v>
      </c>
      <c r="R79" s="23"/>
      <c r="S79" s="33" t="s">
        <v>82</v>
      </c>
      <c r="T79" s="23"/>
      <c r="U79" s="35" t="s">
        <v>780</v>
      </c>
      <c r="V79" s="10"/>
      <c r="W79" s="10"/>
      <c r="X79" s="23"/>
      <c r="Y79" s="79"/>
      <c r="Z79" s="79"/>
      <c r="AA79" s="79"/>
      <c r="AB79" s="79"/>
    </row>
    <row r="80">
      <c r="A80" s="79"/>
      <c r="B80" s="91">
        <v>5.0</v>
      </c>
      <c r="C80" s="26" t="s">
        <v>463</v>
      </c>
      <c r="D80" s="18"/>
      <c r="E80" s="28" t="s">
        <v>194</v>
      </c>
      <c r="F80" s="18"/>
      <c r="G80" s="27" t="s">
        <v>119</v>
      </c>
      <c r="H80" s="18"/>
      <c r="I80" s="27" t="s">
        <v>60</v>
      </c>
      <c r="J80" s="18"/>
      <c r="K80" s="27" t="s">
        <v>66</v>
      </c>
      <c r="L80" s="18"/>
      <c r="M80" s="27" t="s">
        <v>464</v>
      </c>
      <c r="N80" s="18"/>
      <c r="O80" s="27" t="str">
        <f>Level+1&amp;" rounds or until discharged, whichever comes first
1 round/level"</f>
        <v>2 rounds or until discharged, whichever comes first
1 round/level</v>
      </c>
      <c r="P80" s="18"/>
      <c r="Q80" s="27" t="s">
        <v>332</v>
      </c>
      <c r="R80" s="18"/>
      <c r="S80" s="27" t="s">
        <v>332</v>
      </c>
      <c r="T80" s="18"/>
      <c r="U80" s="62" t="s">
        <v>460</v>
      </c>
      <c r="V80" s="4"/>
      <c r="W80" s="4"/>
      <c r="X80" s="18"/>
      <c r="Y80" s="79"/>
      <c r="Z80" s="79"/>
      <c r="AA80" s="79"/>
      <c r="AB80" s="79"/>
    </row>
    <row r="81">
      <c r="A81" s="79"/>
      <c r="B81" s="88">
        <v>6.0</v>
      </c>
      <c r="C81" s="32" t="s">
        <v>534</v>
      </c>
      <c r="D81" s="23"/>
      <c r="E81" s="34" t="s">
        <v>148</v>
      </c>
      <c r="F81" s="23"/>
      <c r="G81" s="33" t="s">
        <v>535</v>
      </c>
      <c r="H81" s="23"/>
      <c r="I81" s="33" t="s">
        <v>448</v>
      </c>
      <c r="J81" s="23"/>
      <c r="K81" s="33" t="str">
        <f>"Close: "&amp;25+(5*FLOOR((Level+1)/2,1)) &amp;" ft"</f>
        <v>Close: 30 ft</v>
      </c>
      <c r="L81" s="23"/>
      <c r="M81" s="33" t="s">
        <v>536</v>
      </c>
      <c r="N81" s="23"/>
      <c r="O81" s="33" t="s">
        <v>61</v>
      </c>
      <c r="P81" s="23"/>
      <c r="Q81" s="33" t="s">
        <v>62</v>
      </c>
      <c r="R81" s="23"/>
      <c r="S81" s="33" t="s">
        <v>63</v>
      </c>
      <c r="T81" s="23"/>
      <c r="U81" s="35" t="s">
        <v>537</v>
      </c>
      <c r="V81" s="10"/>
      <c r="W81" s="10"/>
      <c r="X81" s="23"/>
      <c r="Y81" s="79"/>
      <c r="Z81" s="79"/>
      <c r="AA81" s="79"/>
      <c r="AB81" s="79"/>
    </row>
    <row r="82">
      <c r="A82" s="79"/>
      <c r="B82" s="92">
        <v>7.0</v>
      </c>
      <c r="C82" s="26" t="s">
        <v>586</v>
      </c>
      <c r="D82" s="18"/>
      <c r="E82" s="28" t="s">
        <v>587</v>
      </c>
      <c r="F82" s="18"/>
      <c r="G82" s="27" t="s">
        <v>140</v>
      </c>
      <c r="H82" s="18"/>
      <c r="I82" s="27" t="s">
        <v>60</v>
      </c>
      <c r="J82" s="18"/>
      <c r="K82" s="27" t="s">
        <v>357</v>
      </c>
      <c r="L82" s="18"/>
      <c r="M82" s="27" t="s">
        <v>588</v>
      </c>
      <c r="N82" s="18"/>
      <c r="O82" s="27" t="s">
        <v>61</v>
      </c>
      <c r="P82" s="18"/>
      <c r="Q82" s="27" t="s">
        <v>434</v>
      </c>
      <c r="R82" s="18"/>
      <c r="S82" s="27" t="s">
        <v>82</v>
      </c>
      <c r="T82" s="18"/>
      <c r="U82" s="29" t="s">
        <v>589</v>
      </c>
      <c r="V82" s="4"/>
      <c r="W82" s="4"/>
      <c r="X82" s="18"/>
      <c r="Y82" s="79"/>
      <c r="Z82" s="79"/>
      <c r="AA82" s="79"/>
      <c r="AB82" s="79"/>
    </row>
    <row r="83">
      <c r="A83" s="79"/>
      <c r="B83" s="93">
        <v>8.0</v>
      </c>
      <c r="C83" s="32" t="s">
        <v>668</v>
      </c>
      <c r="D83" s="23"/>
      <c r="E83" s="34" t="s">
        <v>194</v>
      </c>
      <c r="F83" s="23"/>
      <c r="G83" s="33" t="s">
        <v>597</v>
      </c>
      <c r="H83" s="23"/>
      <c r="I83" s="33" t="s">
        <v>60</v>
      </c>
      <c r="J83" s="23"/>
      <c r="K83" s="33" t="s">
        <v>184</v>
      </c>
      <c r="L83" s="23"/>
      <c r="M83" s="33" t="str">
        <f>CONCAT(Level+1," creatures in a 20 ft radius burst centered on you, 1 creature/level")</f>
        <v>2 creatures in a 20 ft radius burst centered on you, 1 creature/level</v>
      </c>
      <c r="N83" s="23"/>
      <c r="O83" s="33" t="str">
        <f>Level+1&amp;" rounds (D)
1 round/level"</f>
        <v>2 rounds (D)
1 round/level</v>
      </c>
      <c r="P83" s="23"/>
      <c r="Q83" s="33" t="s">
        <v>332</v>
      </c>
      <c r="R83" s="23"/>
      <c r="S83" s="33" t="s">
        <v>113</v>
      </c>
      <c r="T83" s="23"/>
      <c r="U83" s="61" t="s">
        <v>669</v>
      </c>
      <c r="V83" s="10"/>
      <c r="W83" s="10"/>
      <c r="X83" s="23"/>
      <c r="Y83" s="79"/>
      <c r="Z83" s="79"/>
      <c r="AA83" s="79"/>
      <c r="AB83" s="79"/>
    </row>
    <row r="84">
      <c r="A84" s="79"/>
      <c r="B84" s="92">
        <v>9.0</v>
      </c>
      <c r="C84" s="59" t="s">
        <v>781</v>
      </c>
      <c r="D84" s="18"/>
      <c r="E84" s="28" t="s">
        <v>782</v>
      </c>
      <c r="F84" s="18"/>
      <c r="G84" s="27" t="s">
        <v>104</v>
      </c>
      <c r="H84" s="18"/>
      <c r="I84" s="27" t="s">
        <v>142</v>
      </c>
      <c r="J84" s="18"/>
      <c r="K84" s="27" t="str">
        <f>"Close: "&amp;25+(5*FLOOR((Level+1)/2,1)) &amp;" ft"</f>
        <v>Close: 30 ft</v>
      </c>
      <c r="L84" s="18"/>
      <c r="M84" s="27" t="s">
        <v>206</v>
      </c>
      <c r="N84" s="18"/>
      <c r="O84" s="27" t="str">
        <f>Level+1&amp;" rounds (D)
1 round/level"</f>
        <v>2 rounds (D)
1 round/level</v>
      </c>
      <c r="P84" s="18"/>
      <c r="Q84" s="27" t="s">
        <v>62</v>
      </c>
      <c r="R84" s="18"/>
      <c r="S84" s="27" t="s">
        <v>63</v>
      </c>
      <c r="T84" s="18"/>
      <c r="U84" s="29" t="s">
        <v>207</v>
      </c>
      <c r="V84" s="4"/>
      <c r="W84" s="4"/>
      <c r="X84" s="18"/>
      <c r="Y84" s="79"/>
      <c r="Z84" s="79"/>
      <c r="AA84" s="79"/>
      <c r="AB84" s="79"/>
    </row>
    <row r="85">
      <c r="A85" s="79"/>
      <c r="B85" s="84"/>
      <c r="C85" s="84"/>
      <c r="D85" s="84"/>
      <c r="E85" s="85"/>
      <c r="F85" s="85"/>
      <c r="G85" s="72"/>
      <c r="H85" s="72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6"/>
      <c r="V85" s="86"/>
      <c r="W85" s="86"/>
      <c r="X85" s="86"/>
      <c r="Y85" s="79"/>
      <c r="Z85" s="79"/>
      <c r="AA85" s="79"/>
      <c r="AB85" s="79"/>
    </row>
    <row r="86">
      <c r="A86" s="79"/>
      <c r="B86" s="87" t="s">
        <v>783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8"/>
      <c r="Y86" s="79"/>
      <c r="Z86" s="79"/>
      <c r="AA86" s="79"/>
      <c r="AB86" s="79"/>
    </row>
    <row r="87">
      <c r="A87" s="79"/>
      <c r="B87" s="88" t="s">
        <v>1</v>
      </c>
      <c r="C87" s="89" t="s">
        <v>15</v>
      </c>
      <c r="D87" s="23"/>
      <c r="E87" s="89" t="s">
        <v>18</v>
      </c>
      <c r="F87" s="23"/>
      <c r="G87" s="89" t="s">
        <v>19</v>
      </c>
      <c r="H87" s="23"/>
      <c r="I87" s="89" t="s">
        <v>20</v>
      </c>
      <c r="J87" s="23"/>
      <c r="K87" s="89" t="s">
        <v>21</v>
      </c>
      <c r="L87" s="23"/>
      <c r="M87" s="89" t="s">
        <v>22</v>
      </c>
      <c r="N87" s="23"/>
      <c r="O87" s="89" t="s">
        <v>23</v>
      </c>
      <c r="P87" s="23"/>
      <c r="Q87" s="89" t="s">
        <v>24</v>
      </c>
      <c r="R87" s="23"/>
      <c r="S87" s="89" t="s">
        <v>25</v>
      </c>
      <c r="T87" s="23"/>
      <c r="U87" s="89" t="s">
        <v>26</v>
      </c>
      <c r="V87" s="10"/>
      <c r="W87" s="10"/>
      <c r="X87" s="23"/>
      <c r="Y87" s="79"/>
      <c r="Z87" s="79"/>
      <c r="AA87" s="79"/>
      <c r="AB87" s="79"/>
    </row>
    <row r="88">
      <c r="A88" s="79"/>
      <c r="B88" s="91">
        <v>1.0</v>
      </c>
      <c r="C88" s="26" t="s">
        <v>784</v>
      </c>
      <c r="D88" s="18"/>
      <c r="E88" s="28" t="s">
        <v>472</v>
      </c>
      <c r="F88" s="18"/>
      <c r="G88" s="27" t="s">
        <v>59</v>
      </c>
      <c r="H88" s="18"/>
      <c r="I88" s="27" t="s">
        <v>60</v>
      </c>
      <c r="J88" s="18"/>
      <c r="K88" s="27" t="s">
        <v>785</v>
      </c>
      <c r="L88" s="18"/>
      <c r="M88" s="27" t="s">
        <v>786</v>
      </c>
      <c r="N88" s="18"/>
      <c r="O88" s="27" t="s">
        <v>61</v>
      </c>
      <c r="P88" s="18"/>
      <c r="Q88" s="27" t="s">
        <v>474</v>
      </c>
      <c r="R88" s="18"/>
      <c r="S88" s="27" t="s">
        <v>82</v>
      </c>
      <c r="T88" s="18"/>
      <c r="U88" s="29" t="str">
        <f>MIN(Level, 5)&amp;"d4 fire damage, 1d4/level (max 5d4)"</f>
        <v>1d4 fire damage, 1d4/level (max 5d4)</v>
      </c>
      <c r="V88" s="4"/>
      <c r="W88" s="4"/>
      <c r="X88" s="18"/>
      <c r="Y88" s="79"/>
      <c r="Z88" s="79"/>
      <c r="AA88" s="79"/>
      <c r="AB88" s="79"/>
    </row>
    <row r="89">
      <c r="A89" s="79"/>
      <c r="B89" s="88">
        <v>2.0</v>
      </c>
      <c r="C89" s="32" t="s">
        <v>787</v>
      </c>
      <c r="D89" s="23"/>
      <c r="E89" s="34" t="s">
        <v>472</v>
      </c>
      <c r="F89" s="23"/>
      <c r="G89" s="33" t="s">
        <v>59</v>
      </c>
      <c r="H89" s="23"/>
      <c r="I89" s="33" t="s">
        <v>60</v>
      </c>
      <c r="J89" s="23"/>
      <c r="K89" s="33" t="s">
        <v>788</v>
      </c>
      <c r="L89" s="23"/>
      <c r="M89" s="33" t="s">
        <v>789</v>
      </c>
      <c r="N89" s="23"/>
      <c r="O89" s="33" t="str">
        <f>CONCAT(Level, " minute(s) (D)
1 minute/level")</f>
        <v>1 minute(s) (D)
1 minute/level</v>
      </c>
      <c r="P89" s="23"/>
      <c r="Q89" s="33" t="s">
        <v>62</v>
      </c>
      <c r="R89" s="23"/>
      <c r="S89" s="33" t="s">
        <v>82</v>
      </c>
      <c r="T89" s="23"/>
      <c r="U89" s="35" t="str">
        <f>CONCAT("1d6+",CONCAT(Level, " damage, +1/level, touch or thrown"))</f>
        <v>1d6+1 damage, +1/level, touch or thrown</v>
      </c>
      <c r="V89" s="10"/>
      <c r="W89" s="10"/>
      <c r="X89" s="23"/>
      <c r="Y89" s="79"/>
      <c r="Z89" s="79"/>
      <c r="AA89" s="79"/>
      <c r="AB89" s="79"/>
    </row>
    <row r="90">
      <c r="A90" s="79"/>
      <c r="B90" s="91">
        <v>3.0</v>
      </c>
      <c r="C90" s="26" t="s">
        <v>790</v>
      </c>
      <c r="D90" s="18"/>
      <c r="E90" s="27" t="s">
        <v>110</v>
      </c>
      <c r="F90" s="18"/>
      <c r="G90" s="27" t="s">
        <v>119</v>
      </c>
      <c r="H90" s="18"/>
      <c r="I90" s="27" t="s">
        <v>60</v>
      </c>
      <c r="J90" s="18"/>
      <c r="K90" s="27" t="s">
        <v>66</v>
      </c>
      <c r="L90" s="18"/>
      <c r="M90" s="27" t="s">
        <v>166</v>
      </c>
      <c r="N90" s="18"/>
      <c r="O90" s="27" t="str">
        <f>CONCAT(Level*10, " minutes
10 minute/level")</f>
        <v>10 minutes
10 minute/level</v>
      </c>
      <c r="P90" s="18"/>
      <c r="Q90" s="27" t="s">
        <v>239</v>
      </c>
      <c r="R90" s="18"/>
      <c r="S90" s="27" t="s">
        <v>113</v>
      </c>
      <c r="T90" s="18"/>
      <c r="U90" s="29" t="s">
        <v>266</v>
      </c>
      <c r="V90" s="4"/>
      <c r="W90" s="4"/>
      <c r="X90" s="18"/>
      <c r="Y90" s="79"/>
      <c r="Z90" s="79"/>
      <c r="AA90" s="79"/>
      <c r="AB90" s="79"/>
    </row>
    <row r="91">
      <c r="A91" s="79"/>
      <c r="B91" s="88">
        <v>4.0</v>
      </c>
      <c r="C91" s="32" t="s">
        <v>791</v>
      </c>
      <c r="D91" s="23"/>
      <c r="E91" s="34" t="s">
        <v>472</v>
      </c>
      <c r="F91" s="23"/>
      <c r="G91" s="33" t="s">
        <v>119</v>
      </c>
      <c r="H91" s="23"/>
      <c r="I91" s="33" t="s">
        <v>60</v>
      </c>
      <c r="J91" s="23"/>
      <c r="K91" s="33" t="str">
        <f>CONCAT("Medium: ", CONCAT(100+(10*Level), " ft"))</f>
        <v>Medium: 110 ft</v>
      </c>
      <c r="L91" s="23"/>
      <c r="M91" s="33" t="str">
        <f>CONCAT("Opaque sheet of flame up to ",CONCAT(Level*20, CONCAT(" ft long, 20 ft/level, or a ring with a radius of up to ",CONCAT(MAX(FLOOR(Level/2,1),1)*5, " ft, 5 ft per 2 levels, either form 20 ft high"))))</f>
        <v>Opaque sheet of flame up to 20 ft long, 20 ft/level, or a ring with a radius of up to 5 ft, 5 ft per 2 levels, either form 20 ft high</v>
      </c>
      <c r="N91" s="23"/>
      <c r="O91" s="33" t="str">
        <f>CONCAT("Concentration + ",CONCAT(Level, " round(s)
1 round/level"))</f>
        <v>Concentration + 1 round(s)
1 round/level</v>
      </c>
      <c r="P91" s="23"/>
      <c r="Q91" s="33" t="s">
        <v>62</v>
      </c>
      <c r="R91" s="23"/>
      <c r="S91" s="33" t="s">
        <v>82</v>
      </c>
      <c r="T91" s="23"/>
      <c r="U91" s="35" t="str">
        <f>CONCAT("Deals 2d4 fire damage out to 10 ft and 1d4 out to 20 ft Passing through wall deals 2d6+",CONCAT(MIN(Level,20),", +1/level"))</f>
        <v>Deals 2d4 fire damage out to 10 ft and 1d4 out to 20 ft Passing through wall deals 2d6+1, +1/level</v>
      </c>
      <c r="V91" s="10"/>
      <c r="W91" s="10"/>
      <c r="X91" s="23"/>
      <c r="Y91" s="79"/>
      <c r="Z91" s="79"/>
      <c r="AA91" s="79"/>
      <c r="AB91" s="79"/>
    </row>
    <row r="92">
      <c r="A92" s="79"/>
      <c r="B92" s="91">
        <v>5.0</v>
      </c>
      <c r="C92" s="26" t="s">
        <v>792</v>
      </c>
      <c r="D92" s="18"/>
      <c r="E92" s="28" t="s">
        <v>793</v>
      </c>
      <c r="F92" s="18"/>
      <c r="G92" s="27" t="s">
        <v>202</v>
      </c>
      <c r="H92" s="18"/>
      <c r="I92" s="27" t="s">
        <v>60</v>
      </c>
      <c r="J92" s="18"/>
      <c r="K92" s="27" t="s">
        <v>105</v>
      </c>
      <c r="L92" s="18"/>
      <c r="M92" s="27" t="s">
        <v>106</v>
      </c>
      <c r="N92" s="18"/>
      <c r="O92" s="27" t="str">
        <f>Level&amp;" round(s) (D)
1 round/level"</f>
        <v>1 round(s) (D)
1 round/level</v>
      </c>
      <c r="P92" s="18"/>
      <c r="Q92" s="27" t="s">
        <v>107</v>
      </c>
      <c r="R92" s="18"/>
      <c r="S92" s="27" t="s">
        <v>107</v>
      </c>
      <c r="T92" s="18"/>
      <c r="U92" s="29" t="s">
        <v>794</v>
      </c>
      <c r="V92" s="4"/>
      <c r="W92" s="4"/>
      <c r="X92" s="18"/>
      <c r="Y92" s="79"/>
      <c r="Z92" s="79"/>
      <c r="AA92" s="79"/>
      <c r="AB92" s="79"/>
    </row>
    <row r="93">
      <c r="A93" s="79"/>
      <c r="B93" s="88">
        <v>6.0</v>
      </c>
      <c r="C93" s="32" t="s">
        <v>795</v>
      </c>
      <c r="D93" s="23"/>
      <c r="E93" s="34" t="s">
        <v>796</v>
      </c>
      <c r="F93" s="23"/>
      <c r="G93" s="33" t="s">
        <v>202</v>
      </c>
      <c r="H93" s="23"/>
      <c r="I93" s="33" t="s">
        <v>60</v>
      </c>
      <c r="J93" s="23"/>
      <c r="K93" s="33" t="s">
        <v>66</v>
      </c>
      <c r="L93" s="23"/>
      <c r="M93" s="33" t="s">
        <v>797</v>
      </c>
      <c r="N93" s="23"/>
      <c r="O93" s="33" t="str">
        <f>CONCAT(Level, " minute(s) or until used
1 minute/level")</f>
        <v>1 minute(s) or until used
1 minute/level</v>
      </c>
      <c r="P93" s="23"/>
      <c r="Q93" s="33" t="s">
        <v>798</v>
      </c>
      <c r="R93" s="23"/>
      <c r="S93" s="33" t="s">
        <v>63</v>
      </c>
      <c r="T93" s="23"/>
      <c r="U93" s="35" t="s">
        <v>799</v>
      </c>
      <c r="V93" s="10"/>
      <c r="W93" s="10"/>
      <c r="X93" s="23"/>
      <c r="Y93" s="79"/>
      <c r="Z93" s="79"/>
      <c r="AA93" s="79"/>
      <c r="AB93" s="79"/>
    </row>
    <row r="94">
      <c r="A94" s="79"/>
      <c r="B94" s="92">
        <v>7.0</v>
      </c>
      <c r="C94" s="26" t="s">
        <v>652</v>
      </c>
      <c r="D94" s="18"/>
      <c r="E94" s="28" t="s">
        <v>472</v>
      </c>
      <c r="F94" s="18"/>
      <c r="G94" s="27" t="s">
        <v>59</v>
      </c>
      <c r="H94" s="18"/>
      <c r="I94" s="27" t="s">
        <v>142</v>
      </c>
      <c r="J94" s="18"/>
      <c r="K94" s="27" t="str">
        <f>CONCAT("Medium: ", CONCAT(100+(10*Level), " ft"))</f>
        <v>Medium: 110 ft</v>
      </c>
      <c r="L94" s="18"/>
      <c r="M94" s="27" t="str">
        <f>CONCAT(Level*2, " 10 ft cubes, 2 per level.")</f>
        <v>2 10 ft cubes, 2 per level.</v>
      </c>
      <c r="N94" s="18"/>
      <c r="O94" s="27" t="s">
        <v>61</v>
      </c>
      <c r="P94" s="18"/>
      <c r="Q94" s="27" t="s">
        <v>474</v>
      </c>
      <c r="R94" s="18"/>
      <c r="S94" s="27" t="s">
        <v>82</v>
      </c>
      <c r="T94" s="18"/>
      <c r="U94" s="29" t="str">
        <f>CONCAT("Deals ",CONCAT(MIN(Level, 20),"d6 fire damage, 1d6/level"))</f>
        <v>Deals 1d6 fire damage, 1d6/level</v>
      </c>
      <c r="V94" s="4"/>
      <c r="W94" s="4"/>
      <c r="X94" s="18"/>
      <c r="Y94" s="79"/>
      <c r="Z94" s="79"/>
      <c r="AA94" s="79"/>
      <c r="AB94" s="79"/>
    </row>
    <row r="95">
      <c r="A95" s="79"/>
      <c r="B95" s="93">
        <v>8.0</v>
      </c>
      <c r="C95" s="32" t="s">
        <v>800</v>
      </c>
      <c r="D95" s="23"/>
      <c r="E95" s="34" t="s">
        <v>796</v>
      </c>
      <c r="F95" s="23"/>
      <c r="G95" s="33" t="s">
        <v>59</v>
      </c>
      <c r="H95" s="23"/>
      <c r="I95" s="33" t="s">
        <v>60</v>
      </c>
      <c r="J95" s="23"/>
      <c r="K95" s="33" t="str">
        <f>medium</f>
        <v>Medium: 110 ft</v>
      </c>
      <c r="L95" s="23"/>
      <c r="M95" s="33" t="s">
        <v>801</v>
      </c>
      <c r="N95" s="23"/>
      <c r="O95" s="33" t="str">
        <f>Level&amp;" round(s)
1 round/level"</f>
        <v>1 round(s)
1 round/level</v>
      </c>
      <c r="P95" s="23"/>
      <c r="Q95" s="33" t="s">
        <v>802</v>
      </c>
      <c r="R95" s="23"/>
      <c r="S95" s="33" t="s">
        <v>63</v>
      </c>
      <c r="T95" s="23"/>
      <c r="U95" s="35" t="s">
        <v>803</v>
      </c>
      <c r="V95" s="10"/>
      <c r="W95" s="10"/>
      <c r="X95" s="23"/>
      <c r="Y95" s="79"/>
      <c r="Z95" s="79"/>
      <c r="AA95" s="79"/>
      <c r="AB95" s="79"/>
    </row>
    <row r="96">
      <c r="A96" s="79"/>
      <c r="B96" s="92">
        <v>9.0</v>
      </c>
      <c r="C96" s="26" t="s">
        <v>804</v>
      </c>
      <c r="D96" s="18"/>
      <c r="E96" s="28" t="s">
        <v>805</v>
      </c>
      <c r="F96" s="18"/>
      <c r="G96" s="27" t="s">
        <v>59</v>
      </c>
      <c r="H96" s="18"/>
      <c r="I96" s="27" t="s">
        <v>319</v>
      </c>
      <c r="J96" s="18"/>
      <c r="K96" s="27" t="str">
        <f>CONCAT("Medium: ", CONCAT(100+(10*Level), " ft"))</f>
        <v>Medium: 110 ft</v>
      </c>
      <c r="L96" s="18"/>
      <c r="M96" s="27" t="s">
        <v>725</v>
      </c>
      <c r="N96" s="18"/>
      <c r="O96" s="27" t="str">
        <f>CONCAT(Level*10, " minutes (D)
10 minutes/level")</f>
        <v>10 minutes (D)
10 minutes/level</v>
      </c>
      <c r="P96" s="18"/>
      <c r="Q96" s="27" t="s">
        <v>62</v>
      </c>
      <c r="R96" s="18"/>
      <c r="S96" s="27" t="s">
        <v>63</v>
      </c>
      <c r="T96" s="18"/>
      <c r="U96" s="29" t="s">
        <v>726</v>
      </c>
      <c r="V96" s="4"/>
      <c r="W96" s="4"/>
      <c r="X96" s="18"/>
      <c r="Y96" s="79"/>
      <c r="Z96" s="79"/>
      <c r="AA96" s="79"/>
      <c r="AB96" s="79"/>
    </row>
    <row r="97">
      <c r="A97" s="79"/>
      <c r="B97" s="84"/>
      <c r="C97" s="84"/>
      <c r="D97" s="84"/>
      <c r="E97" s="85"/>
      <c r="F97" s="85"/>
      <c r="G97" s="72"/>
      <c r="H97" s="72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6"/>
      <c r="V97" s="86"/>
      <c r="W97" s="86"/>
      <c r="X97" s="86"/>
      <c r="Y97" s="79"/>
      <c r="Z97" s="79"/>
      <c r="AA97" s="79"/>
      <c r="AB97" s="79"/>
    </row>
    <row r="98">
      <c r="A98" s="79"/>
      <c r="B98" s="87" t="s">
        <v>806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18"/>
      <c r="Y98" s="79"/>
      <c r="Z98" s="79"/>
      <c r="AA98" s="79"/>
      <c r="AB98" s="79"/>
    </row>
    <row r="99">
      <c r="A99" s="79"/>
      <c r="B99" s="88" t="s">
        <v>1</v>
      </c>
      <c r="C99" s="89" t="s">
        <v>15</v>
      </c>
      <c r="D99" s="23"/>
      <c r="E99" s="89" t="s">
        <v>18</v>
      </c>
      <c r="F99" s="23"/>
      <c r="G99" s="89" t="s">
        <v>19</v>
      </c>
      <c r="H99" s="23"/>
      <c r="I99" s="89" t="s">
        <v>20</v>
      </c>
      <c r="J99" s="23"/>
      <c r="K99" s="89" t="s">
        <v>21</v>
      </c>
      <c r="L99" s="23"/>
      <c r="M99" s="89" t="s">
        <v>22</v>
      </c>
      <c r="N99" s="23"/>
      <c r="O99" s="89" t="s">
        <v>23</v>
      </c>
      <c r="P99" s="23"/>
      <c r="Q99" s="89" t="s">
        <v>24</v>
      </c>
      <c r="R99" s="23"/>
      <c r="S99" s="89" t="s">
        <v>25</v>
      </c>
      <c r="T99" s="23"/>
      <c r="U99" s="89" t="s">
        <v>26</v>
      </c>
      <c r="V99" s="10"/>
      <c r="W99" s="10"/>
      <c r="X99" s="23"/>
      <c r="Y99" s="79"/>
      <c r="Z99" s="79"/>
      <c r="AA99" s="79"/>
      <c r="AB99" s="79"/>
    </row>
    <row r="100">
      <c r="A100" s="79"/>
      <c r="B100" s="91">
        <v>1.0</v>
      </c>
      <c r="C100" s="26" t="s">
        <v>191</v>
      </c>
      <c r="D100" s="18"/>
      <c r="E100" s="28" t="s">
        <v>192</v>
      </c>
      <c r="F100" s="18"/>
      <c r="G100" s="27" t="s">
        <v>111</v>
      </c>
      <c r="H100" s="18"/>
      <c r="I100" s="27" t="s">
        <v>60</v>
      </c>
      <c r="J100" s="18"/>
      <c r="K100" s="27" t="s">
        <v>66</v>
      </c>
      <c r="L100" s="18"/>
      <c r="M100" s="27" t="s">
        <v>166</v>
      </c>
      <c r="N100" s="18"/>
      <c r="O100" s="27" t="str">
        <f>Level+1&amp;" minutes (D)
1 minute/level"</f>
        <v>2 minutes (D)
1 minute/level</v>
      </c>
      <c r="P100" s="18"/>
      <c r="Q100" s="27" t="s">
        <v>81</v>
      </c>
      <c r="R100" s="18"/>
      <c r="S100" s="27" t="s">
        <v>189</v>
      </c>
      <c r="T100" s="18"/>
      <c r="U100" s="62" t="s">
        <v>190</v>
      </c>
      <c r="V100" s="4"/>
      <c r="W100" s="4"/>
      <c r="X100" s="18"/>
      <c r="Y100" s="79"/>
      <c r="Z100" s="79"/>
      <c r="AA100" s="79"/>
      <c r="AB100" s="79"/>
    </row>
    <row r="101">
      <c r="A101" s="79"/>
      <c r="B101" s="88">
        <v>2.0</v>
      </c>
      <c r="C101" s="32" t="s">
        <v>208</v>
      </c>
      <c r="D101" s="23"/>
      <c r="E101" s="34" t="s">
        <v>124</v>
      </c>
      <c r="F101" s="23"/>
      <c r="G101" s="33" t="s">
        <v>119</v>
      </c>
      <c r="H101" s="23"/>
      <c r="I101" s="33" t="s">
        <v>60</v>
      </c>
      <c r="J101" s="23"/>
      <c r="K101" s="33" t="s">
        <v>66</v>
      </c>
      <c r="L101" s="23"/>
      <c r="M101" s="33" t="s">
        <v>210</v>
      </c>
      <c r="N101" s="23"/>
      <c r="O101" s="33" t="str">
        <f>CONCAT(Level, " minute(s)
1 minute/level")</f>
        <v>1 minute(s)
1 minute/level</v>
      </c>
      <c r="P101" s="23"/>
      <c r="Q101" s="33" t="s">
        <v>62</v>
      </c>
      <c r="R101" s="23"/>
      <c r="S101" s="33" t="s">
        <v>113</v>
      </c>
      <c r="T101" s="23"/>
      <c r="U101" s="35" t="str">
        <f>"+1 on attack rolls and saves against fear, 1d8+"&amp;MIN(Level, 10)&amp;" temporary hp, +1/level (max +10)"</f>
        <v>+1 on attack rolls and saves against fear, 1d8+1 temporary hp, +1/level (max +10)</v>
      </c>
      <c r="V101" s="10"/>
      <c r="W101" s="10"/>
      <c r="X101" s="23"/>
      <c r="Y101" s="79"/>
      <c r="Z101" s="79"/>
      <c r="AA101" s="79"/>
      <c r="AB101" s="79"/>
    </row>
    <row r="102">
      <c r="A102" s="79"/>
      <c r="B102" s="91">
        <v>3.0</v>
      </c>
      <c r="C102" s="26" t="s">
        <v>345</v>
      </c>
      <c r="D102" s="18"/>
      <c r="E102" s="28" t="s">
        <v>192</v>
      </c>
      <c r="F102" s="18"/>
      <c r="G102" s="27" t="s">
        <v>119</v>
      </c>
      <c r="H102" s="18"/>
      <c r="I102" s="27" t="s">
        <v>60</v>
      </c>
      <c r="J102" s="18"/>
      <c r="K102" s="27" t="s">
        <v>66</v>
      </c>
      <c r="L102" s="18"/>
      <c r="M102" s="27" t="s">
        <v>344</v>
      </c>
      <c r="N102" s="18"/>
      <c r="O102" s="27" t="str">
        <f>CONCAT((Level+1)*10, " minutes
10 minutes/level")</f>
        <v>20 minutes
10 minutes/level</v>
      </c>
      <c r="P102" s="18"/>
      <c r="Q102" s="27" t="s">
        <v>81</v>
      </c>
      <c r="R102" s="18"/>
      <c r="S102" s="27" t="s">
        <v>189</v>
      </c>
      <c r="T102" s="18"/>
      <c r="U102" s="29" t="str">
        <f>"As protection spells, but 10 ft radius and "&amp;10*(Level+1)&amp;" minutes, 10 minutes/level"</f>
        <v>As protection spells, but 10 ft radius and 20 minutes, 10 minutes/level</v>
      </c>
      <c r="V102" s="4"/>
      <c r="W102" s="4"/>
      <c r="X102" s="18"/>
      <c r="Y102" s="79"/>
      <c r="Z102" s="79"/>
      <c r="AA102" s="79"/>
      <c r="AB102" s="79"/>
    </row>
    <row r="103">
      <c r="A103" s="79"/>
      <c r="B103" s="88">
        <v>4.0</v>
      </c>
      <c r="C103" s="32" t="s">
        <v>807</v>
      </c>
      <c r="D103" s="23"/>
      <c r="E103" s="34" t="s">
        <v>224</v>
      </c>
      <c r="F103" s="23"/>
      <c r="G103" s="33" t="s">
        <v>59</v>
      </c>
      <c r="H103" s="23"/>
      <c r="I103" s="33" t="s">
        <v>60</v>
      </c>
      <c r="J103" s="23"/>
      <c r="K103" s="33" t="str">
        <f>"Medium: "&amp;100+(10*(Level+1)) &amp;" ft"</f>
        <v>Medium: 120 ft</v>
      </c>
      <c r="L103" s="23"/>
      <c r="M103" s="33" t="s">
        <v>750</v>
      </c>
      <c r="N103" s="23"/>
      <c r="O103" s="33" t="s">
        <v>808</v>
      </c>
      <c r="P103" s="23"/>
      <c r="Q103" s="33" t="s">
        <v>752</v>
      </c>
      <c r="R103" s="23"/>
      <c r="S103" s="33" t="s">
        <v>82</v>
      </c>
      <c r="T103" s="23"/>
      <c r="U103" s="35" t="s">
        <v>809</v>
      </c>
      <c r="V103" s="10"/>
      <c r="W103" s="10"/>
      <c r="X103" s="23"/>
      <c r="Y103" s="79"/>
      <c r="Z103" s="79"/>
      <c r="AA103" s="79"/>
      <c r="AB103" s="79"/>
    </row>
    <row r="104">
      <c r="A104" s="79"/>
      <c r="B104" s="91">
        <v>5.0</v>
      </c>
      <c r="C104" s="26" t="s">
        <v>461</v>
      </c>
      <c r="D104" s="18"/>
      <c r="E104" s="28" t="s">
        <v>192</v>
      </c>
      <c r="F104" s="18"/>
      <c r="G104" s="27" t="s">
        <v>119</v>
      </c>
      <c r="H104" s="18"/>
      <c r="I104" s="27" t="s">
        <v>60</v>
      </c>
      <c r="J104" s="18"/>
      <c r="K104" s="27" t="s">
        <v>66</v>
      </c>
      <c r="L104" s="18"/>
      <c r="M104" s="27" t="s">
        <v>462</v>
      </c>
      <c r="N104" s="18"/>
      <c r="O104" s="27" t="str">
        <f>Level+1&amp;" rounds or until discharged, whichever comes first
1 round/level"</f>
        <v>2 rounds or until discharged, whichever comes first
1 round/level</v>
      </c>
      <c r="P104" s="18"/>
      <c r="Q104" s="27" t="s">
        <v>332</v>
      </c>
      <c r="R104" s="18"/>
      <c r="S104" s="27" t="s">
        <v>332</v>
      </c>
      <c r="T104" s="18"/>
      <c r="U104" s="62" t="s">
        <v>460</v>
      </c>
      <c r="V104" s="4"/>
      <c r="W104" s="4"/>
      <c r="X104" s="18"/>
      <c r="Y104" s="79"/>
      <c r="Z104" s="79"/>
      <c r="AA104" s="79"/>
      <c r="AB104" s="79"/>
    </row>
    <row r="105">
      <c r="A105" s="79"/>
      <c r="B105" s="88">
        <v>6.0</v>
      </c>
      <c r="C105" s="32" t="s">
        <v>531</v>
      </c>
      <c r="D105" s="23"/>
      <c r="E105" s="34" t="s">
        <v>290</v>
      </c>
      <c r="F105" s="23"/>
      <c r="G105" s="33" t="s">
        <v>59</v>
      </c>
      <c r="H105" s="23"/>
      <c r="I105" s="33" t="s">
        <v>60</v>
      </c>
      <c r="J105" s="23"/>
      <c r="K105" s="33" t="str">
        <f>medium</f>
        <v>Medium: 110 ft</v>
      </c>
      <c r="L105" s="23"/>
      <c r="M105" s="33" t="str">
        <f>CONCAT("Wall of whirling blades up to ",CONCAT(Level*20, CONCAT(" ft long, 20 ft/level, or a ringed wall of whirling blades with a radius of up to ",CONCAT(MAX(FLOOR(Level/2,1)*5,5), " ft, 5 ft per 2 levels, either form 20 ft high"))))</f>
        <v>Wall of whirling blades up to 20 ft long, 20 ft/level, or a ringed wall of whirling blades with a radius of up to 5 ft, 5 ft per 2 levels, either form 20 ft high</v>
      </c>
      <c r="N105" s="23"/>
      <c r="O105" s="33" t="str">
        <f>CONCAT(Level, " minute(s) (D)
1 minute/level")</f>
        <v>1 minute(s) (D)
1 minute/level</v>
      </c>
      <c r="P105" s="23"/>
      <c r="Q105" s="33" t="s">
        <v>532</v>
      </c>
      <c r="R105" s="23"/>
      <c r="S105" s="33" t="s">
        <v>82</v>
      </c>
      <c r="T105" s="23"/>
      <c r="U105" s="35" t="str">
        <f>"Wall of blades deals "&amp;Level&amp;"d6 damage, 1d6/level"</f>
        <v>Wall of blades deals 1d6 damage, 1d6/level</v>
      </c>
      <c r="V105" s="10"/>
      <c r="W105" s="10"/>
      <c r="X105" s="23"/>
      <c r="Y105" s="79"/>
      <c r="Z105" s="79"/>
      <c r="AA105" s="79"/>
      <c r="AB105" s="79"/>
    </row>
    <row r="106">
      <c r="A106" s="79"/>
      <c r="B106" s="92">
        <v>7.0</v>
      </c>
      <c r="C106" s="26" t="s">
        <v>604</v>
      </c>
      <c r="D106" s="18"/>
      <c r="E106" s="28" t="s">
        <v>605</v>
      </c>
      <c r="F106" s="18"/>
      <c r="G106" s="27" t="s">
        <v>140</v>
      </c>
      <c r="H106" s="18"/>
      <c r="I106" s="27" t="s">
        <v>60</v>
      </c>
      <c r="J106" s="18"/>
      <c r="K106" s="27" t="s">
        <v>357</v>
      </c>
      <c r="L106" s="18"/>
      <c r="M106" s="27" t="s">
        <v>606</v>
      </c>
      <c r="N106" s="18"/>
      <c r="O106" s="27" t="s">
        <v>61</v>
      </c>
      <c r="P106" s="18"/>
      <c r="Q106" s="27" t="s">
        <v>434</v>
      </c>
      <c r="R106" s="18"/>
      <c r="S106" s="27" t="s">
        <v>82</v>
      </c>
      <c r="T106" s="18"/>
      <c r="U106" s="29" t="s">
        <v>607</v>
      </c>
      <c r="V106" s="4"/>
      <c r="W106" s="4"/>
      <c r="X106" s="18"/>
      <c r="Y106" s="79"/>
      <c r="Z106" s="79"/>
      <c r="AA106" s="79"/>
      <c r="AB106" s="79"/>
    </row>
    <row r="107">
      <c r="A107" s="79"/>
      <c r="B107" s="93">
        <v>8.0</v>
      </c>
      <c r="C107" s="32" t="s">
        <v>653</v>
      </c>
      <c r="D107" s="23"/>
      <c r="E107" s="34" t="s">
        <v>192</v>
      </c>
      <c r="F107" s="23"/>
      <c r="G107" s="33" t="s">
        <v>597</v>
      </c>
      <c r="H107" s="23"/>
      <c r="I107" s="33" t="s">
        <v>60</v>
      </c>
      <c r="J107" s="23"/>
      <c r="K107" s="33" t="s">
        <v>184</v>
      </c>
      <c r="L107" s="23"/>
      <c r="M107" s="33" t="str">
        <f>CONCAT(Level+1," creatures in a 20 ft radius burst centered on you, 1 creature/level")</f>
        <v>2 creatures in a 20 ft radius burst centered on you, 1 creature/level</v>
      </c>
      <c r="N107" s="23"/>
      <c r="O107" s="33" t="str">
        <f>Level+1&amp;" rounds (D)
1 round/level"</f>
        <v>2 rounds (D)
1 round/level</v>
      </c>
      <c r="P107" s="23"/>
      <c r="Q107" s="33" t="s">
        <v>332</v>
      </c>
      <c r="R107" s="23"/>
      <c r="S107" s="33" t="s">
        <v>113</v>
      </c>
      <c r="T107" s="23"/>
      <c r="U107" s="61" t="s">
        <v>654</v>
      </c>
      <c r="V107" s="10"/>
      <c r="W107" s="10"/>
      <c r="X107" s="23"/>
      <c r="Y107" s="79"/>
      <c r="Z107" s="79"/>
      <c r="AA107" s="79"/>
      <c r="AB107" s="79"/>
    </row>
    <row r="108">
      <c r="A108" s="79"/>
      <c r="B108" s="92">
        <v>9.0</v>
      </c>
      <c r="C108" s="59" t="s">
        <v>810</v>
      </c>
      <c r="D108" s="18"/>
      <c r="E108" s="28" t="s">
        <v>811</v>
      </c>
      <c r="F108" s="18"/>
      <c r="G108" s="27" t="s">
        <v>104</v>
      </c>
      <c r="H108" s="18"/>
      <c r="I108" s="27" t="s">
        <v>142</v>
      </c>
      <c r="J108" s="18"/>
      <c r="K108" s="27" t="str">
        <f>"Close: "&amp;25+(5*FLOOR(Level/2,1)) &amp;" ft"</f>
        <v>Close: 25 ft</v>
      </c>
      <c r="L108" s="18"/>
      <c r="M108" s="27" t="s">
        <v>206</v>
      </c>
      <c r="N108" s="18"/>
      <c r="O108" s="27" t="str">
        <f>Level+1&amp;" rounds (D)
1 round/level"</f>
        <v>2 rounds (D)
1 round/level</v>
      </c>
      <c r="P108" s="18"/>
      <c r="Q108" s="27" t="s">
        <v>62</v>
      </c>
      <c r="R108" s="18"/>
      <c r="S108" s="27" t="s">
        <v>63</v>
      </c>
      <c r="T108" s="18"/>
      <c r="U108" s="29" t="s">
        <v>207</v>
      </c>
      <c r="V108" s="4"/>
      <c r="W108" s="4"/>
      <c r="X108" s="18"/>
      <c r="Y108" s="79"/>
      <c r="Z108" s="79"/>
      <c r="AA108" s="79"/>
      <c r="AB108" s="79"/>
    </row>
    <row r="109">
      <c r="A109" s="79"/>
      <c r="B109" s="84"/>
      <c r="C109" s="84"/>
      <c r="D109" s="84"/>
      <c r="E109" s="85"/>
      <c r="F109" s="85"/>
      <c r="G109" s="72"/>
      <c r="H109" s="72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6"/>
      <c r="V109" s="86"/>
      <c r="W109" s="86"/>
      <c r="X109" s="86"/>
      <c r="Y109" s="79"/>
      <c r="Z109" s="79"/>
      <c r="AA109" s="79"/>
      <c r="AB109" s="79"/>
    </row>
    <row r="110">
      <c r="A110" s="79"/>
      <c r="B110" s="87" t="s">
        <v>812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/>
      <c r="Y110" s="79"/>
      <c r="Z110" s="79"/>
      <c r="AA110" s="79"/>
      <c r="AB110" s="79"/>
    </row>
    <row r="111">
      <c r="A111" s="79"/>
      <c r="B111" s="88" t="s">
        <v>1</v>
      </c>
      <c r="C111" s="89" t="s">
        <v>15</v>
      </c>
      <c r="D111" s="23"/>
      <c r="E111" s="89" t="s">
        <v>18</v>
      </c>
      <c r="F111" s="23"/>
      <c r="G111" s="89" t="s">
        <v>19</v>
      </c>
      <c r="H111" s="23"/>
      <c r="I111" s="89" t="s">
        <v>20</v>
      </c>
      <c r="J111" s="23"/>
      <c r="K111" s="89" t="s">
        <v>21</v>
      </c>
      <c r="L111" s="23"/>
      <c r="M111" s="89" t="s">
        <v>22</v>
      </c>
      <c r="N111" s="23"/>
      <c r="O111" s="89" t="s">
        <v>23</v>
      </c>
      <c r="P111" s="23"/>
      <c r="Q111" s="89" t="s">
        <v>24</v>
      </c>
      <c r="R111" s="23"/>
      <c r="S111" s="89" t="s">
        <v>25</v>
      </c>
      <c r="T111" s="23"/>
      <c r="U111" s="89" t="s">
        <v>26</v>
      </c>
      <c r="V111" s="10"/>
      <c r="W111" s="10"/>
      <c r="X111" s="23"/>
      <c r="Y111" s="79"/>
      <c r="Z111" s="79"/>
      <c r="AA111" s="79"/>
      <c r="AB111" s="79"/>
    </row>
    <row r="112">
      <c r="A112" s="79"/>
      <c r="B112" s="91">
        <v>1.0</v>
      </c>
      <c r="C112" s="26" t="s">
        <v>146</v>
      </c>
      <c r="D112" s="18"/>
      <c r="E112" s="28" t="s">
        <v>65</v>
      </c>
      <c r="F112" s="18"/>
      <c r="G112" s="27" t="s">
        <v>59</v>
      </c>
      <c r="H112" s="18"/>
      <c r="I112" s="27" t="s">
        <v>60</v>
      </c>
      <c r="J112" s="18"/>
      <c r="K112" s="27" t="s">
        <v>66</v>
      </c>
      <c r="L112" s="18"/>
      <c r="M112" s="27" t="s">
        <v>67</v>
      </c>
      <c r="N112" s="18"/>
      <c r="O112" s="27" t="s">
        <v>61</v>
      </c>
      <c r="P112" s="18"/>
      <c r="Q112" s="27" t="s">
        <v>68</v>
      </c>
      <c r="R112" s="18"/>
      <c r="S112" s="27" t="s">
        <v>69</v>
      </c>
      <c r="T112" s="18"/>
      <c r="U112" s="29" t="str">
        <f>CONCAT("Cures 1d8+",CONCAT(MIN(Level+1,5), " damage, +1/level, max +5"))</f>
        <v>Cures 1d8+2 damage, +1/level, max +5</v>
      </c>
      <c r="V112" s="4"/>
      <c r="W112" s="4"/>
      <c r="X112" s="18"/>
      <c r="Y112" s="79"/>
      <c r="Z112" s="79"/>
      <c r="AA112" s="79"/>
      <c r="AB112" s="79"/>
    </row>
    <row r="113">
      <c r="A113" s="79"/>
      <c r="B113" s="88">
        <v>2.0</v>
      </c>
      <c r="C113" s="32" t="s">
        <v>228</v>
      </c>
      <c r="D113" s="23"/>
      <c r="E113" s="34" t="s">
        <v>813</v>
      </c>
      <c r="F113" s="23"/>
      <c r="G113" s="33" t="s">
        <v>59</v>
      </c>
      <c r="H113" s="23"/>
      <c r="I113" s="33" t="s">
        <v>60</v>
      </c>
      <c r="J113" s="23"/>
      <c r="K113" s="33" t="s">
        <v>66</v>
      </c>
      <c r="L113" s="23"/>
      <c r="M113" s="33" t="s">
        <v>67</v>
      </c>
      <c r="N113" s="23"/>
      <c r="O113" s="33" t="s">
        <v>61</v>
      </c>
      <c r="P113" s="23"/>
      <c r="Q113" s="33" t="s">
        <v>68</v>
      </c>
      <c r="R113" s="23"/>
      <c r="S113" s="33" t="s">
        <v>69</v>
      </c>
      <c r="T113" s="23"/>
      <c r="U113" s="35" t="str">
        <f>CONCAT("Cures 2d8+",CONCAT(MIN(Level+1,10)," damage, +1/level, max +10"))</f>
        <v>Cures 2d8+2 damage, +1/level, max +10</v>
      </c>
      <c r="V113" s="10"/>
      <c r="W113" s="10"/>
      <c r="X113" s="23"/>
      <c r="Y113" s="79"/>
      <c r="Z113" s="79"/>
      <c r="AA113" s="79"/>
      <c r="AB113" s="79"/>
    </row>
    <row r="114">
      <c r="A114" s="79"/>
      <c r="B114" s="91">
        <v>3.0</v>
      </c>
      <c r="C114" s="26" t="s">
        <v>321</v>
      </c>
      <c r="D114" s="18"/>
      <c r="E114" s="28" t="s">
        <v>813</v>
      </c>
      <c r="F114" s="18"/>
      <c r="G114" s="27" t="s">
        <v>59</v>
      </c>
      <c r="H114" s="18"/>
      <c r="I114" s="27" t="s">
        <v>60</v>
      </c>
      <c r="J114" s="18"/>
      <c r="K114" s="27" t="s">
        <v>66</v>
      </c>
      <c r="L114" s="18"/>
      <c r="M114" s="27" t="s">
        <v>67</v>
      </c>
      <c r="N114" s="18"/>
      <c r="O114" s="27" t="s">
        <v>61</v>
      </c>
      <c r="P114" s="18"/>
      <c r="Q114" s="27" t="s">
        <v>68</v>
      </c>
      <c r="R114" s="18"/>
      <c r="S114" s="27" t="s">
        <v>69</v>
      </c>
      <c r="T114" s="18"/>
      <c r="U114" s="29" t="str">
        <f>CONCAT("Cures 3d8+",CONCAT(MIN(Level+1,15)," damage, +1/level, max +15"))</f>
        <v>Cures 3d8+2 damage, +1/level, max +15</v>
      </c>
      <c r="V114" s="4"/>
      <c r="W114" s="4"/>
      <c r="X114" s="18"/>
      <c r="Y114" s="79"/>
      <c r="Z114" s="79"/>
      <c r="AA114" s="79"/>
      <c r="AB114" s="79"/>
    </row>
    <row r="115">
      <c r="A115" s="79"/>
      <c r="B115" s="88">
        <v>4.0</v>
      </c>
      <c r="C115" s="32" t="s">
        <v>392</v>
      </c>
      <c r="D115" s="23"/>
      <c r="E115" s="34" t="s">
        <v>813</v>
      </c>
      <c r="F115" s="23"/>
      <c r="G115" s="33" t="s">
        <v>59</v>
      </c>
      <c r="H115" s="23"/>
      <c r="I115" s="33" t="s">
        <v>60</v>
      </c>
      <c r="J115" s="23"/>
      <c r="K115" s="33" t="s">
        <v>66</v>
      </c>
      <c r="L115" s="23"/>
      <c r="M115" s="33" t="s">
        <v>166</v>
      </c>
      <c r="N115" s="23"/>
      <c r="O115" s="33" t="s">
        <v>61</v>
      </c>
      <c r="P115" s="23"/>
      <c r="Q115" s="33" t="s">
        <v>68</v>
      </c>
      <c r="R115" s="23"/>
      <c r="S115" s="33" t="s">
        <v>69</v>
      </c>
      <c r="T115" s="23"/>
      <c r="U115" s="35" t="str">
        <f>CONCAT("Cures 4d8+",CONCAT(MIN(Level+1,20)," damage, +1/level, max +20"))</f>
        <v>Cures 4d8+2 damage, +1/level, max +20</v>
      </c>
      <c r="V115" s="10"/>
      <c r="W115" s="10"/>
      <c r="X115" s="23"/>
      <c r="Y115" s="79"/>
      <c r="Z115" s="79"/>
      <c r="AA115" s="79"/>
      <c r="AB115" s="79"/>
    </row>
    <row r="116">
      <c r="A116" s="79"/>
      <c r="B116" s="91">
        <v>5.0</v>
      </c>
      <c r="C116" s="26" t="s">
        <v>455</v>
      </c>
      <c r="D116" s="18"/>
      <c r="E116" s="28" t="s">
        <v>813</v>
      </c>
      <c r="F116" s="18"/>
      <c r="G116" s="27" t="s">
        <v>59</v>
      </c>
      <c r="H116" s="18"/>
      <c r="I116" s="27" t="s">
        <v>60</v>
      </c>
      <c r="J116" s="18"/>
      <c r="K116" s="27" t="str">
        <f>CONCAT("Close: ", CONCAT(25+(5*FLOOR((Level+1)/2,1)), " ft"))</f>
        <v>Close: 30 ft</v>
      </c>
      <c r="L116" s="18"/>
      <c r="M116" s="27" t="str">
        <f>CONCAT(Level+1," creatures, 1 creature/level, no 2 of which can be more than 30 ft apart")</f>
        <v>2 creatures, 1 creature/level, no 2 of which can be more than 30 ft apart</v>
      </c>
      <c r="N116" s="18"/>
      <c r="O116" s="27" t="s">
        <v>61</v>
      </c>
      <c r="P116" s="18"/>
      <c r="Q116" s="27" t="s">
        <v>456</v>
      </c>
      <c r="R116" s="18"/>
      <c r="S116" s="27" t="s">
        <v>457</v>
      </c>
      <c r="T116" s="18"/>
      <c r="U116" s="29" t="str">
        <f>CONCAT("Cures 1d8+",CONCAT(MIN(Level+1,25)," damage for many creatures, +1/level, max +25"))</f>
        <v>Cures 1d8+2 damage for many creatures, +1/level, max +25</v>
      </c>
      <c r="V116" s="4"/>
      <c r="W116" s="4"/>
      <c r="X116" s="18"/>
      <c r="Y116" s="79"/>
      <c r="Z116" s="79"/>
      <c r="AA116" s="79"/>
      <c r="AB116" s="79"/>
    </row>
    <row r="117">
      <c r="A117" s="79"/>
      <c r="B117" s="88">
        <v>6.0</v>
      </c>
      <c r="C117" s="32" t="s">
        <v>559</v>
      </c>
      <c r="D117" s="23"/>
      <c r="E117" s="34" t="s">
        <v>813</v>
      </c>
      <c r="F117" s="23"/>
      <c r="G117" s="33" t="s">
        <v>59</v>
      </c>
      <c r="H117" s="23"/>
      <c r="I117" s="33" t="s">
        <v>60</v>
      </c>
      <c r="J117" s="23"/>
      <c r="K117" s="33" t="s">
        <v>66</v>
      </c>
      <c r="L117" s="23"/>
      <c r="M117" s="33" t="s">
        <v>166</v>
      </c>
      <c r="N117" s="23"/>
      <c r="O117" s="33" t="s">
        <v>61</v>
      </c>
      <c r="P117" s="23"/>
      <c r="Q117" s="33" t="s">
        <v>81</v>
      </c>
      <c r="R117" s="23"/>
      <c r="S117" s="33" t="s">
        <v>113</v>
      </c>
      <c r="T117" s="23"/>
      <c r="U117" s="35" t="str">
        <f>CONCAT("Cures ",CONCAT((Level+1)*10," points of damage, 10 points/level, all diseases and medical conditions"))</f>
        <v>Cures 20 points of damage, 10 points/level, all diseases and medical conditions</v>
      </c>
      <c r="V117" s="10"/>
      <c r="W117" s="10"/>
      <c r="X117" s="23"/>
      <c r="Y117" s="79"/>
      <c r="Z117" s="79"/>
      <c r="AA117" s="79"/>
      <c r="AB117" s="79"/>
    </row>
    <row r="118">
      <c r="A118" s="79"/>
      <c r="B118" s="92">
        <v>7.0</v>
      </c>
      <c r="C118" s="26" t="s">
        <v>614</v>
      </c>
      <c r="D118" s="18"/>
      <c r="E118" s="28" t="s">
        <v>813</v>
      </c>
      <c r="F118" s="18"/>
      <c r="G118" s="27" t="s">
        <v>119</v>
      </c>
      <c r="H118" s="18"/>
      <c r="I118" s="27" t="s">
        <v>615</v>
      </c>
      <c r="J118" s="18"/>
      <c r="K118" s="27" t="s">
        <v>66</v>
      </c>
      <c r="L118" s="18"/>
      <c r="M118" s="27" t="s">
        <v>210</v>
      </c>
      <c r="N118" s="18"/>
      <c r="O118" s="27" t="s">
        <v>61</v>
      </c>
      <c r="P118" s="18"/>
      <c r="Q118" s="27" t="s">
        <v>239</v>
      </c>
      <c r="R118" s="18"/>
      <c r="S118" s="27" t="s">
        <v>113</v>
      </c>
      <c r="T118" s="18"/>
      <c r="U118" s="29" t="str">
        <f>CONCAT("Subject's severed limbs grow back, cures 4d8+",CONCAT(MIN(Level+1,35)," damage, +1/level, max +35"))</f>
        <v>Subject's severed limbs grow back, cures 4d8+2 damage, +1/level, max +35</v>
      </c>
      <c r="V118" s="4"/>
      <c r="W118" s="4"/>
      <c r="X118" s="18"/>
      <c r="Y118" s="79"/>
      <c r="Z118" s="79"/>
      <c r="AA118" s="79"/>
      <c r="AB118" s="79"/>
    </row>
    <row r="119">
      <c r="A119" s="79"/>
      <c r="B119" s="93">
        <v>8.0</v>
      </c>
      <c r="C119" s="32" t="s">
        <v>643</v>
      </c>
      <c r="D119" s="23"/>
      <c r="E119" s="34" t="s">
        <v>813</v>
      </c>
      <c r="F119" s="23"/>
      <c r="G119" s="33" t="s">
        <v>59</v>
      </c>
      <c r="H119" s="23"/>
      <c r="I119" s="33" t="s">
        <v>60</v>
      </c>
      <c r="J119" s="23"/>
      <c r="K119" s="33" t="str">
        <f>CONCAT("Close: ", CONCAT(25+(5*FLOOR((Level+1)/2,1)), " ft"))</f>
        <v>Close: 30 ft</v>
      </c>
      <c r="L119" s="23"/>
      <c r="M119" s="33" t="str">
        <f>CONCAT(Level+1," creatures, 1 creature/level, no 2 of which can be more than 30 ft apart")</f>
        <v>2 creatures, 1 creature/level, no 2 of which can be more than 30 ft apart</v>
      </c>
      <c r="N119" s="23"/>
      <c r="O119" s="33" t="s">
        <v>61</v>
      </c>
      <c r="P119" s="23"/>
      <c r="Q119" s="33" t="s">
        <v>456</v>
      </c>
      <c r="R119" s="23"/>
      <c r="S119" s="33" t="s">
        <v>457</v>
      </c>
      <c r="T119" s="23"/>
      <c r="U119" s="35" t="str">
        <f>CONCAT("Cures 4d8+",CONCAT(MIN(Level+1,40)," damage for many creatures, +1/level, max +40"))</f>
        <v>Cures 4d8+2 damage for many creatures, +1/level, max +40</v>
      </c>
      <c r="V119" s="10"/>
      <c r="W119" s="10"/>
      <c r="X119" s="23"/>
      <c r="Y119" s="79"/>
      <c r="Z119" s="79"/>
      <c r="AA119" s="79"/>
      <c r="AB119" s="79"/>
    </row>
    <row r="120">
      <c r="A120" s="79"/>
      <c r="B120" s="92">
        <v>9.0</v>
      </c>
      <c r="C120" s="26" t="s">
        <v>685</v>
      </c>
      <c r="D120" s="18"/>
      <c r="E120" s="28" t="s">
        <v>813</v>
      </c>
      <c r="F120" s="18"/>
      <c r="G120" s="27" t="s">
        <v>59</v>
      </c>
      <c r="H120" s="18"/>
      <c r="I120" s="27" t="s">
        <v>60</v>
      </c>
      <c r="J120" s="18"/>
      <c r="K120" s="27" t="str">
        <f>CONCAT("Close: ", CONCAT(25+(5*FLOOR((Level+1)/2,1)), " ft"))</f>
        <v>Close: 30 ft</v>
      </c>
      <c r="L120" s="18"/>
      <c r="M120" s="27" t="s">
        <v>686</v>
      </c>
      <c r="N120" s="18"/>
      <c r="O120" s="27" t="s">
        <v>61</v>
      </c>
      <c r="P120" s="18"/>
      <c r="Q120" s="27" t="s">
        <v>81</v>
      </c>
      <c r="R120" s="18"/>
      <c r="S120" s="27" t="s">
        <v>113</v>
      </c>
      <c r="T120" s="18"/>
      <c r="U120" s="29" t="s">
        <v>687</v>
      </c>
      <c r="V120" s="4"/>
      <c r="W120" s="4"/>
      <c r="X120" s="18"/>
      <c r="Y120" s="79"/>
      <c r="Z120" s="79"/>
      <c r="AA120" s="79"/>
      <c r="AB120" s="79"/>
    </row>
    <row r="121">
      <c r="A121" s="79"/>
      <c r="B121" s="84"/>
      <c r="C121" s="84"/>
      <c r="D121" s="84"/>
      <c r="E121" s="85"/>
      <c r="F121" s="85"/>
      <c r="G121" s="72"/>
      <c r="H121" s="72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6"/>
      <c r="V121" s="86"/>
      <c r="W121" s="86"/>
      <c r="X121" s="86"/>
      <c r="Y121" s="79"/>
      <c r="Z121" s="79"/>
      <c r="AA121" s="79"/>
      <c r="AB121" s="79"/>
    </row>
    <row r="122">
      <c r="A122" s="79"/>
      <c r="B122" s="87" t="s">
        <v>814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18"/>
      <c r="Y122" s="79"/>
      <c r="Z122" s="79"/>
      <c r="AA122" s="79"/>
      <c r="AB122" s="79"/>
    </row>
    <row r="123">
      <c r="A123" s="79"/>
      <c r="B123" s="88" t="s">
        <v>1</v>
      </c>
      <c r="C123" s="89" t="s">
        <v>15</v>
      </c>
      <c r="D123" s="23"/>
      <c r="E123" s="89" t="s">
        <v>18</v>
      </c>
      <c r="F123" s="23"/>
      <c r="G123" s="89" t="s">
        <v>19</v>
      </c>
      <c r="H123" s="23"/>
      <c r="I123" s="89" t="s">
        <v>20</v>
      </c>
      <c r="J123" s="23"/>
      <c r="K123" s="89" t="s">
        <v>21</v>
      </c>
      <c r="L123" s="23"/>
      <c r="M123" s="89" t="s">
        <v>22</v>
      </c>
      <c r="N123" s="23"/>
      <c r="O123" s="89" t="s">
        <v>23</v>
      </c>
      <c r="P123" s="23"/>
      <c r="Q123" s="89" t="s">
        <v>24</v>
      </c>
      <c r="R123" s="23"/>
      <c r="S123" s="89" t="s">
        <v>25</v>
      </c>
      <c r="T123" s="23"/>
      <c r="U123" s="89" t="s">
        <v>26</v>
      </c>
      <c r="V123" s="10"/>
      <c r="W123" s="10"/>
      <c r="X123" s="23"/>
      <c r="Y123" s="79"/>
      <c r="Z123" s="79"/>
      <c r="AA123" s="79"/>
      <c r="AB123" s="79"/>
    </row>
    <row r="124">
      <c r="A124" s="79"/>
      <c r="B124" s="91">
        <v>1.0</v>
      </c>
      <c r="C124" s="26" t="s">
        <v>815</v>
      </c>
      <c r="D124" s="18"/>
      <c r="E124" s="27" t="s">
        <v>72</v>
      </c>
      <c r="F124" s="18"/>
      <c r="G124" s="27" t="s">
        <v>59</v>
      </c>
      <c r="H124" s="18"/>
      <c r="I124" s="27" t="s">
        <v>60</v>
      </c>
      <c r="J124" s="18"/>
      <c r="K124" s="27" t="s">
        <v>73</v>
      </c>
      <c r="L124" s="18"/>
      <c r="M124" s="27" t="s">
        <v>152</v>
      </c>
      <c r="N124" s="18"/>
      <c r="O124" s="27" t="str">
        <f>"Concentration, up to "&amp;Level+1&amp;" minutes (D)
1 minute/level"</f>
        <v>Concentration, up to 2 minutes (D)
1 minute/level</v>
      </c>
      <c r="P124" s="18"/>
      <c r="Q124" s="27" t="s">
        <v>62</v>
      </c>
      <c r="R124" s="18"/>
      <c r="S124" s="27" t="s">
        <v>63</v>
      </c>
      <c r="T124" s="18"/>
      <c r="U124" s="29" t="s">
        <v>816</v>
      </c>
      <c r="V124" s="4"/>
      <c r="W124" s="4"/>
      <c r="X124" s="18"/>
      <c r="Y124" s="79"/>
      <c r="Z124" s="79"/>
      <c r="AA124" s="79"/>
      <c r="AB124" s="79"/>
    </row>
    <row r="125">
      <c r="A125" s="79"/>
      <c r="B125" s="88">
        <v>2.0</v>
      </c>
      <c r="C125" s="32" t="s">
        <v>817</v>
      </c>
      <c r="D125" s="23"/>
      <c r="E125" s="34" t="s">
        <v>818</v>
      </c>
      <c r="F125" s="23"/>
      <c r="G125" s="33" t="s">
        <v>819</v>
      </c>
      <c r="H125" s="23"/>
      <c r="I125" s="33" t="s">
        <v>60</v>
      </c>
      <c r="J125" s="23"/>
      <c r="K125" s="33" t="s">
        <v>73</v>
      </c>
      <c r="L125" s="23"/>
      <c r="M125" s="33" t="s">
        <v>152</v>
      </c>
      <c r="N125" s="23"/>
      <c r="O125" s="33" t="str">
        <f>"Concentration, up to "&amp;Level+1&amp;" minutes (D)
1 minute/level"</f>
        <v>Concentration, up to 2 minutes (D)
1 minute/level</v>
      </c>
      <c r="P125" s="23"/>
      <c r="Q125" s="33" t="s">
        <v>250</v>
      </c>
      <c r="R125" s="23"/>
      <c r="S125" s="33" t="s">
        <v>63</v>
      </c>
      <c r="T125" s="23"/>
      <c r="U125" s="35" t="s">
        <v>820</v>
      </c>
      <c r="V125" s="10"/>
      <c r="W125" s="10"/>
      <c r="X125" s="23"/>
      <c r="Y125" s="79"/>
      <c r="Z125" s="79"/>
      <c r="AA125" s="79"/>
      <c r="AB125" s="79"/>
    </row>
    <row r="126">
      <c r="A126" s="79"/>
      <c r="B126" s="91">
        <v>3.0</v>
      </c>
      <c r="C126" s="26" t="s">
        <v>821</v>
      </c>
      <c r="D126" s="18"/>
      <c r="E126" s="28" t="s">
        <v>496</v>
      </c>
      <c r="F126" s="18"/>
      <c r="G126" s="27" t="s">
        <v>104</v>
      </c>
      <c r="H126" s="18"/>
      <c r="I126" s="27" t="s">
        <v>319</v>
      </c>
      <c r="J126" s="18"/>
      <c r="K126" s="27" t="str">
        <f>"Long: "&amp; 400+40*(Level+1) &amp; " ft"</f>
        <v>Long: 480 ft</v>
      </c>
      <c r="L126" s="18"/>
      <c r="M126" s="27" t="s">
        <v>498</v>
      </c>
      <c r="N126" s="18"/>
      <c r="O126" s="27" t="str">
        <f>Level+1&amp;" minutes (D)
1 minute/level"</f>
        <v>2 minutes (D)
1 minute/level</v>
      </c>
      <c r="P126" s="18"/>
      <c r="Q126" s="27" t="s">
        <v>62</v>
      </c>
      <c r="R126" s="18"/>
      <c r="S126" s="27" t="s">
        <v>63</v>
      </c>
      <c r="T126" s="18"/>
      <c r="U126" s="29" t="str">
        <f>"Hear or see at a distance for "&amp;Level+1&amp;" minutes, 1 minute/level"</f>
        <v>Hear or see at a distance for 2 minutes, 1 minute/level</v>
      </c>
      <c r="V126" s="4"/>
      <c r="W126" s="4"/>
      <c r="X126" s="18"/>
      <c r="Y126" s="79"/>
      <c r="Z126" s="79"/>
      <c r="AA126" s="79"/>
      <c r="AB126" s="79"/>
    </row>
    <row r="127">
      <c r="A127" s="79"/>
      <c r="B127" s="88">
        <v>4.0</v>
      </c>
      <c r="C127" s="32" t="s">
        <v>72</v>
      </c>
      <c r="D127" s="23"/>
      <c r="E127" s="33" t="s">
        <v>72</v>
      </c>
      <c r="F127" s="23"/>
      <c r="G127" s="33" t="s">
        <v>129</v>
      </c>
      <c r="H127" s="23"/>
      <c r="I127" s="33" t="s">
        <v>319</v>
      </c>
      <c r="J127" s="23"/>
      <c r="K127" s="33" t="s">
        <v>105</v>
      </c>
      <c r="L127" s="23"/>
      <c r="M127" s="33" t="s">
        <v>106</v>
      </c>
      <c r="N127" s="23"/>
      <c r="O127" s="33" t="s">
        <v>61</v>
      </c>
      <c r="P127" s="23"/>
      <c r="Q127" s="33" t="s">
        <v>107</v>
      </c>
      <c r="R127" s="23"/>
      <c r="S127" s="33" t="s">
        <v>107</v>
      </c>
      <c r="T127" s="23"/>
      <c r="U127" s="35" t="s">
        <v>402</v>
      </c>
      <c r="V127" s="10"/>
      <c r="W127" s="10"/>
      <c r="X127" s="23"/>
      <c r="Y127" s="79"/>
      <c r="Z127" s="79"/>
      <c r="AA127" s="79"/>
      <c r="AB127" s="79"/>
    </row>
    <row r="128">
      <c r="A128" s="79"/>
      <c r="B128" s="91">
        <v>5.0</v>
      </c>
      <c r="C128" s="26" t="s">
        <v>511</v>
      </c>
      <c r="D128" s="18"/>
      <c r="E128" s="27" t="s">
        <v>72</v>
      </c>
      <c r="F128" s="18"/>
      <c r="G128" s="27" t="s">
        <v>512</v>
      </c>
      <c r="H128" s="18"/>
      <c r="I128" s="27" t="s">
        <v>60</v>
      </c>
      <c r="J128" s="18"/>
      <c r="K128" s="27" t="s">
        <v>66</v>
      </c>
      <c r="L128" s="18"/>
      <c r="M128" s="27" t="s">
        <v>166</v>
      </c>
      <c r="N128" s="18"/>
      <c r="O128" s="27" t="str">
        <f>CONCAT(Level+1, " minute(s)
1 minute/level")</f>
        <v>2 minute(s)
1 minute/level</v>
      </c>
      <c r="P128" s="18"/>
      <c r="Q128" s="27" t="s">
        <v>513</v>
      </c>
      <c r="R128" s="18"/>
      <c r="S128" s="27" t="s">
        <v>514</v>
      </c>
      <c r="T128" s="18"/>
      <c r="U128" s="29" t="s">
        <v>515</v>
      </c>
      <c r="V128" s="4"/>
      <c r="W128" s="4"/>
      <c r="X128" s="18"/>
      <c r="Y128" s="79"/>
      <c r="Z128" s="79"/>
      <c r="AA128" s="79"/>
      <c r="AB128" s="79"/>
    </row>
    <row r="129">
      <c r="A129" s="79"/>
      <c r="B129" s="88">
        <v>6.0</v>
      </c>
      <c r="C129" s="32" t="s">
        <v>543</v>
      </c>
      <c r="D129" s="23"/>
      <c r="E129" s="33" t="s">
        <v>72</v>
      </c>
      <c r="F129" s="23"/>
      <c r="G129" s="33" t="s">
        <v>104</v>
      </c>
      <c r="H129" s="23"/>
      <c r="I129" s="33" t="s">
        <v>268</v>
      </c>
      <c r="J129" s="23"/>
      <c r="K129" s="33" t="s">
        <v>544</v>
      </c>
      <c r="L129" s="23"/>
      <c r="M129" s="33" t="s">
        <v>407</v>
      </c>
      <c r="N129" s="23"/>
      <c r="O129" s="33" t="str">
        <f>CONCAT(Level+1, " minute(s)
1 minute/level")</f>
        <v>2 minute(s)
1 minute/level</v>
      </c>
      <c r="P129" s="23"/>
      <c r="Q129" s="33" t="s">
        <v>545</v>
      </c>
      <c r="R129" s="23"/>
      <c r="S129" s="33" t="s">
        <v>546</v>
      </c>
      <c r="T129" s="23"/>
      <c r="U129" s="35" t="s">
        <v>547</v>
      </c>
      <c r="V129" s="10"/>
      <c r="W129" s="10"/>
      <c r="X129" s="23"/>
      <c r="Y129" s="79"/>
      <c r="Z129" s="79"/>
      <c r="AA129" s="79"/>
      <c r="AB129" s="79"/>
    </row>
    <row r="130">
      <c r="A130" s="79"/>
      <c r="B130" s="92">
        <v>7.0</v>
      </c>
      <c r="C130" s="26" t="s">
        <v>822</v>
      </c>
      <c r="D130" s="18"/>
      <c r="E130" s="27" t="s">
        <v>72</v>
      </c>
      <c r="F130" s="18"/>
      <c r="G130" s="27" t="s">
        <v>823</v>
      </c>
      <c r="H130" s="18"/>
      <c r="I130" s="27" t="s">
        <v>332</v>
      </c>
      <c r="J130" s="18"/>
      <c r="K130" s="27" t="s">
        <v>105</v>
      </c>
      <c r="L130" s="18"/>
      <c r="M130" s="27" t="s">
        <v>106</v>
      </c>
      <c r="N130" s="18"/>
      <c r="O130" s="27" t="s">
        <v>332</v>
      </c>
      <c r="P130" s="18"/>
      <c r="Q130" s="27" t="s">
        <v>107</v>
      </c>
      <c r="R130" s="18"/>
      <c r="S130" s="27" t="s">
        <v>107</v>
      </c>
      <c r="T130" s="18"/>
      <c r="U130" s="29" t="s">
        <v>824</v>
      </c>
      <c r="V130" s="4"/>
      <c r="W130" s="4"/>
      <c r="X130" s="18"/>
      <c r="Y130" s="79"/>
      <c r="Z130" s="79"/>
      <c r="AA130" s="79"/>
      <c r="AB130" s="79"/>
    </row>
    <row r="131">
      <c r="A131" s="79"/>
      <c r="B131" s="93">
        <v>8.0</v>
      </c>
      <c r="C131" s="32" t="s">
        <v>646</v>
      </c>
      <c r="D131" s="23"/>
      <c r="E131" s="33" t="s">
        <v>72</v>
      </c>
      <c r="F131" s="23"/>
      <c r="G131" s="33" t="s">
        <v>119</v>
      </c>
      <c r="H131" s="23"/>
      <c r="I131" s="33" t="s">
        <v>319</v>
      </c>
      <c r="J131" s="23"/>
      <c r="K131" s="33" t="s">
        <v>581</v>
      </c>
      <c r="L131" s="23"/>
      <c r="M131" s="33" t="s">
        <v>297</v>
      </c>
      <c r="N131" s="23"/>
      <c r="O131" s="33" t="s">
        <v>61</v>
      </c>
      <c r="P131" s="23"/>
      <c r="Q131" s="33" t="s">
        <v>62</v>
      </c>
      <c r="R131" s="23"/>
      <c r="S131" s="33" t="s">
        <v>63</v>
      </c>
      <c r="T131" s="23"/>
      <c r="U131" s="35" t="s">
        <v>647</v>
      </c>
      <c r="V131" s="10"/>
      <c r="W131" s="10"/>
      <c r="X131" s="23"/>
      <c r="Y131" s="79"/>
      <c r="Z131" s="79"/>
      <c r="AA131" s="79"/>
      <c r="AB131" s="79"/>
    </row>
    <row r="132">
      <c r="A132" s="79"/>
      <c r="B132" s="92">
        <v>9.0</v>
      </c>
      <c r="C132" s="26" t="s">
        <v>825</v>
      </c>
      <c r="D132" s="18"/>
      <c r="E132" s="27" t="s">
        <v>72</v>
      </c>
      <c r="F132" s="18"/>
      <c r="G132" s="27" t="s">
        <v>119</v>
      </c>
      <c r="H132" s="18"/>
      <c r="I132" s="27" t="s">
        <v>60</v>
      </c>
      <c r="J132" s="18"/>
      <c r="K132" s="27" t="s">
        <v>406</v>
      </c>
      <c r="L132" s="18"/>
      <c r="M132" s="27" t="s">
        <v>332</v>
      </c>
      <c r="N132" s="18"/>
      <c r="O132" s="27" t="str">
        <f>CONCAT((Level+1)*10, " minutes
10 minutes/level")</f>
        <v>20 minutes
10 minutes/level</v>
      </c>
      <c r="P132" s="18"/>
      <c r="Q132" s="27" t="s">
        <v>545</v>
      </c>
      <c r="R132" s="18"/>
      <c r="S132" s="27" t="s">
        <v>546</v>
      </c>
      <c r="T132" s="18"/>
      <c r="U132" s="29" t="s">
        <v>826</v>
      </c>
      <c r="V132" s="4"/>
      <c r="W132" s="4"/>
      <c r="X132" s="18"/>
      <c r="Y132" s="79"/>
      <c r="Z132" s="79"/>
      <c r="AA132" s="79"/>
      <c r="AB132" s="79"/>
    </row>
    <row r="133">
      <c r="A133" s="79"/>
      <c r="B133" s="84"/>
      <c r="C133" s="84"/>
      <c r="D133" s="84"/>
      <c r="E133" s="85"/>
      <c r="F133" s="85"/>
      <c r="G133" s="72"/>
      <c r="H133" s="72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6"/>
      <c r="V133" s="86"/>
      <c r="W133" s="86"/>
      <c r="X133" s="86"/>
      <c r="Y133" s="79"/>
      <c r="Z133" s="79"/>
      <c r="AA133" s="79"/>
      <c r="AB133" s="79"/>
    </row>
    <row r="134">
      <c r="A134" s="79"/>
      <c r="B134" s="87" t="s">
        <v>827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18"/>
      <c r="Y134" s="79"/>
      <c r="Z134" s="79"/>
      <c r="AA134" s="79"/>
      <c r="AB134" s="79"/>
    </row>
    <row r="135">
      <c r="A135" s="79"/>
      <c r="B135" s="88" t="s">
        <v>1</v>
      </c>
      <c r="C135" s="89" t="s">
        <v>15</v>
      </c>
      <c r="D135" s="23"/>
      <c r="E135" s="89" t="s">
        <v>18</v>
      </c>
      <c r="F135" s="23"/>
      <c r="G135" s="89" t="s">
        <v>19</v>
      </c>
      <c r="H135" s="23"/>
      <c r="I135" s="89" t="s">
        <v>20</v>
      </c>
      <c r="J135" s="23"/>
      <c r="K135" s="89" t="s">
        <v>21</v>
      </c>
      <c r="L135" s="23"/>
      <c r="M135" s="89" t="s">
        <v>22</v>
      </c>
      <c r="N135" s="23"/>
      <c r="O135" s="89" t="s">
        <v>23</v>
      </c>
      <c r="P135" s="23"/>
      <c r="Q135" s="89" t="s">
        <v>24</v>
      </c>
      <c r="R135" s="23"/>
      <c r="S135" s="89" t="s">
        <v>25</v>
      </c>
      <c r="T135" s="23"/>
      <c r="U135" s="89" t="s">
        <v>26</v>
      </c>
      <c r="V135" s="10"/>
      <c r="W135" s="10"/>
      <c r="X135" s="23"/>
      <c r="Y135" s="79"/>
      <c r="Z135" s="79"/>
      <c r="AA135" s="79"/>
      <c r="AB135" s="79"/>
    </row>
    <row r="136">
      <c r="A136" s="79"/>
      <c r="B136" s="91">
        <v>1.0</v>
      </c>
      <c r="C136" s="26" t="s">
        <v>187</v>
      </c>
      <c r="D136" s="18"/>
      <c r="E136" s="28" t="s">
        <v>188</v>
      </c>
      <c r="F136" s="18"/>
      <c r="G136" s="27" t="s">
        <v>119</v>
      </c>
      <c r="H136" s="18"/>
      <c r="I136" s="27" t="s">
        <v>60</v>
      </c>
      <c r="J136" s="18"/>
      <c r="K136" s="27" t="s">
        <v>66</v>
      </c>
      <c r="L136" s="18"/>
      <c r="M136" s="27" t="s">
        <v>166</v>
      </c>
      <c r="N136" s="18"/>
      <c r="O136" s="27" t="str">
        <f>Level+1&amp;" minutes (D)
1 minute/level"</f>
        <v>2 minutes (D)
1 minute/level</v>
      </c>
      <c r="P136" s="18"/>
      <c r="Q136" s="27" t="s">
        <v>81</v>
      </c>
      <c r="R136" s="18"/>
      <c r="S136" s="27" t="s">
        <v>189</v>
      </c>
      <c r="T136" s="18"/>
      <c r="U136" s="62" t="s">
        <v>190</v>
      </c>
      <c r="V136" s="4"/>
      <c r="W136" s="4"/>
      <c r="X136" s="18"/>
      <c r="Y136" s="79"/>
      <c r="Z136" s="79"/>
      <c r="AA136" s="79"/>
      <c r="AB136" s="79"/>
    </row>
    <row r="137">
      <c r="A137" s="79"/>
      <c r="B137" s="88">
        <v>2.0</v>
      </c>
      <c r="C137" s="32" t="s">
        <v>220</v>
      </c>
      <c r="D137" s="23"/>
      <c r="E137" s="34" t="s">
        <v>124</v>
      </c>
      <c r="F137" s="23"/>
      <c r="G137" s="33" t="s">
        <v>119</v>
      </c>
      <c r="H137" s="23"/>
      <c r="I137" s="33" t="s">
        <v>60</v>
      </c>
      <c r="J137" s="23"/>
      <c r="K137" s="33" t="str">
        <f>medium</f>
        <v>Medium: 110 ft</v>
      </c>
      <c r="L137" s="23"/>
      <c r="M137" s="33" t="s">
        <v>221</v>
      </c>
      <c r="N137" s="23"/>
      <c r="O137" s="33" t="str">
        <f>"Concentration, up to "&amp;Level&amp;" round(s) (D)
1 round/level"</f>
        <v>Concentration, up to 1 round(s) (D)
1 round/level</v>
      </c>
      <c r="P137" s="23"/>
      <c r="Q137" s="33" t="s">
        <v>86</v>
      </c>
      <c r="R137" s="23"/>
      <c r="S137" s="33" t="s">
        <v>82</v>
      </c>
      <c r="T137" s="23"/>
      <c r="U137" s="35" t="s">
        <v>222</v>
      </c>
      <c r="V137" s="10"/>
      <c r="W137" s="10"/>
      <c r="X137" s="23"/>
      <c r="Y137" s="79"/>
      <c r="Z137" s="79"/>
      <c r="AA137" s="79"/>
      <c r="AB137" s="79"/>
    </row>
    <row r="138">
      <c r="A138" s="79"/>
      <c r="B138" s="91">
        <v>3.0</v>
      </c>
      <c r="C138" s="26" t="s">
        <v>343</v>
      </c>
      <c r="D138" s="18"/>
      <c r="E138" s="28" t="s">
        <v>188</v>
      </c>
      <c r="F138" s="18"/>
      <c r="G138" s="27" t="s">
        <v>119</v>
      </c>
      <c r="H138" s="18"/>
      <c r="I138" s="27" t="s">
        <v>60</v>
      </c>
      <c r="J138" s="18"/>
      <c r="K138" s="27" t="s">
        <v>66</v>
      </c>
      <c r="L138" s="18"/>
      <c r="M138" s="27" t="s">
        <v>344</v>
      </c>
      <c r="N138" s="18"/>
      <c r="O138" s="27" t="str">
        <f>CONCAT((Level+1)*10, " minutes
10 minutes/level")</f>
        <v>20 minutes
10 minutes/level</v>
      </c>
      <c r="P138" s="18"/>
      <c r="Q138" s="27" t="s">
        <v>81</v>
      </c>
      <c r="R138" s="18"/>
      <c r="S138" s="27" t="s">
        <v>189</v>
      </c>
      <c r="T138" s="18"/>
      <c r="U138" s="29" t="str">
        <f>"As protection spells, but 10 ft radius and "&amp;10*(1+Level)&amp;" minutes, 10 minutes/level"</f>
        <v>As protection spells, but 10 ft radius and 20 minutes, 10 minutes/level</v>
      </c>
      <c r="V138" s="4"/>
      <c r="W138" s="4"/>
      <c r="X138" s="18"/>
      <c r="Y138" s="79"/>
      <c r="Z138" s="79"/>
      <c r="AA138" s="79"/>
      <c r="AB138" s="79"/>
    </row>
    <row r="139">
      <c r="A139" s="79"/>
      <c r="B139" s="88">
        <v>4.0</v>
      </c>
      <c r="C139" s="32" t="s">
        <v>828</v>
      </c>
      <c r="D139" s="23"/>
      <c r="E139" s="34" t="s">
        <v>829</v>
      </c>
      <c r="F139" s="23"/>
      <c r="G139" s="33" t="s">
        <v>59</v>
      </c>
      <c r="H139" s="23"/>
      <c r="I139" s="33" t="s">
        <v>60</v>
      </c>
      <c r="J139" s="23"/>
      <c r="K139" s="33" t="str">
        <f>"Medium: "&amp;100+(10*(1+Level)) &amp;" ft"</f>
        <v>Medium: 120 ft</v>
      </c>
      <c r="L139" s="23"/>
      <c r="M139" s="33" t="s">
        <v>750</v>
      </c>
      <c r="N139" s="23"/>
      <c r="O139" s="33" t="s">
        <v>808</v>
      </c>
      <c r="P139" s="23"/>
      <c r="Q139" s="33" t="s">
        <v>752</v>
      </c>
      <c r="R139" s="23"/>
      <c r="S139" s="33" t="s">
        <v>82</v>
      </c>
      <c r="T139" s="23"/>
      <c r="U139" s="35" t="s">
        <v>830</v>
      </c>
      <c r="V139" s="10"/>
      <c r="W139" s="10"/>
      <c r="X139" s="23"/>
      <c r="Y139" s="79"/>
      <c r="Z139" s="79"/>
      <c r="AA139" s="79"/>
      <c r="AB139" s="79"/>
    </row>
    <row r="140">
      <c r="A140" s="79"/>
      <c r="B140" s="91">
        <v>5.0</v>
      </c>
      <c r="C140" s="26" t="s">
        <v>458</v>
      </c>
      <c r="D140" s="18"/>
      <c r="E140" s="28" t="s">
        <v>188</v>
      </c>
      <c r="F140" s="18"/>
      <c r="G140" s="27" t="s">
        <v>119</v>
      </c>
      <c r="H140" s="18"/>
      <c r="I140" s="27" t="s">
        <v>60</v>
      </c>
      <c r="J140" s="18"/>
      <c r="K140" s="27" t="s">
        <v>66</v>
      </c>
      <c r="L140" s="18"/>
      <c r="M140" s="27" t="s">
        <v>459</v>
      </c>
      <c r="N140" s="18"/>
      <c r="O140" s="27" t="str">
        <f>Level+1&amp;" rounds or until discharged, whichever comes first
1 round/level"</f>
        <v>2 rounds or until discharged, whichever comes first
1 round/level</v>
      </c>
      <c r="P140" s="18"/>
      <c r="Q140" s="27" t="s">
        <v>332</v>
      </c>
      <c r="R140" s="18"/>
      <c r="S140" s="27" t="s">
        <v>332</v>
      </c>
      <c r="T140" s="18"/>
      <c r="U140" s="62" t="s">
        <v>460</v>
      </c>
      <c r="V140" s="4"/>
      <c r="W140" s="4"/>
      <c r="X140" s="18"/>
      <c r="Y140" s="79"/>
      <c r="Z140" s="79"/>
      <c r="AA140" s="79"/>
      <c r="AB140" s="79"/>
    </row>
    <row r="141">
      <c r="A141" s="79"/>
      <c r="B141" s="88">
        <v>6.0</v>
      </c>
      <c r="C141" s="32" t="s">
        <v>831</v>
      </c>
      <c r="D141" s="23"/>
      <c r="E141" s="34" t="s">
        <v>832</v>
      </c>
      <c r="F141" s="23"/>
      <c r="G141" s="33" t="s">
        <v>119</v>
      </c>
      <c r="H141" s="23"/>
      <c r="I141" s="33" t="s">
        <v>60</v>
      </c>
      <c r="J141" s="23"/>
      <c r="K141" s="33" t="str">
        <f>medium</f>
        <v>Medium: 110 ft</v>
      </c>
      <c r="L141" s="23"/>
      <c r="M141" s="33" t="s">
        <v>141</v>
      </c>
      <c r="N141" s="23"/>
      <c r="O141" s="33" t="str">
        <f>Level&amp;" round(s), see text (D)
1 round/level"</f>
        <v>1 round(s), see text (D)
1 round/level</v>
      </c>
      <c r="P141" s="23"/>
      <c r="Q141" s="33" t="s">
        <v>250</v>
      </c>
      <c r="R141" s="23"/>
      <c r="S141" s="33" t="s">
        <v>82</v>
      </c>
      <c r="T141" s="23"/>
      <c r="U141" s="35" t="s">
        <v>833</v>
      </c>
      <c r="V141" s="10"/>
      <c r="W141" s="10"/>
      <c r="X141" s="23"/>
      <c r="Y141" s="79"/>
      <c r="Z141" s="79"/>
      <c r="AA141" s="79"/>
      <c r="AB141" s="79"/>
    </row>
    <row r="142">
      <c r="A142" s="79"/>
      <c r="B142" s="92">
        <v>7.0</v>
      </c>
      <c r="C142" s="26" t="s">
        <v>599</v>
      </c>
      <c r="D142" s="18"/>
      <c r="E142" s="28" t="s">
        <v>600</v>
      </c>
      <c r="F142" s="18"/>
      <c r="G142" s="27" t="s">
        <v>140</v>
      </c>
      <c r="H142" s="18"/>
      <c r="I142" s="27" t="s">
        <v>60</v>
      </c>
      <c r="J142" s="18"/>
      <c r="K142" s="27" t="s">
        <v>357</v>
      </c>
      <c r="L142" s="18"/>
      <c r="M142" s="27" t="s">
        <v>601</v>
      </c>
      <c r="N142" s="18"/>
      <c r="O142" s="27" t="s">
        <v>61</v>
      </c>
      <c r="P142" s="18"/>
      <c r="Q142" s="27" t="s">
        <v>434</v>
      </c>
      <c r="R142" s="18"/>
      <c r="S142" s="27" t="s">
        <v>82</v>
      </c>
      <c r="T142" s="18"/>
      <c r="U142" s="29" t="s">
        <v>602</v>
      </c>
      <c r="V142" s="4"/>
      <c r="W142" s="4"/>
      <c r="X142" s="18"/>
      <c r="Y142" s="79"/>
      <c r="Z142" s="79"/>
      <c r="AA142" s="79"/>
      <c r="AB142" s="79"/>
    </row>
    <row r="143">
      <c r="A143" s="79"/>
      <c r="B143" s="93">
        <v>8.0</v>
      </c>
      <c r="C143" s="32" t="s">
        <v>659</v>
      </c>
      <c r="D143" s="23"/>
      <c r="E143" s="34" t="s">
        <v>188</v>
      </c>
      <c r="F143" s="23"/>
      <c r="G143" s="33" t="s">
        <v>597</v>
      </c>
      <c r="H143" s="23"/>
      <c r="I143" s="33" t="s">
        <v>60</v>
      </c>
      <c r="J143" s="23"/>
      <c r="K143" s="33" t="s">
        <v>184</v>
      </c>
      <c r="L143" s="23"/>
      <c r="M143" s="33" t="str">
        <f>CONCAT(Level+1," creatures in a 20 ft radius burst centered on you, 1 creature/level")</f>
        <v>2 creatures in a 20 ft radius burst centered on you, 1 creature/level</v>
      </c>
      <c r="N143" s="23"/>
      <c r="O143" s="33" t="str">
        <f>Level+1&amp;" rounds (D)
1 round/level"</f>
        <v>2 rounds (D)
1 round/level</v>
      </c>
      <c r="P143" s="23"/>
      <c r="Q143" s="33" t="s">
        <v>332</v>
      </c>
      <c r="R143" s="23"/>
      <c r="S143" s="33" t="s">
        <v>113</v>
      </c>
      <c r="T143" s="23"/>
      <c r="U143" s="61" t="s">
        <v>660</v>
      </c>
      <c r="V143" s="10"/>
      <c r="W143" s="10"/>
      <c r="X143" s="23"/>
      <c r="Y143" s="79"/>
      <c r="Z143" s="79"/>
      <c r="AA143" s="79"/>
      <c r="AB143" s="79"/>
    </row>
    <row r="144">
      <c r="A144" s="79"/>
      <c r="B144" s="92">
        <v>9.0</v>
      </c>
      <c r="C144" s="59" t="s">
        <v>834</v>
      </c>
      <c r="D144" s="18"/>
      <c r="E144" s="28" t="s">
        <v>835</v>
      </c>
      <c r="F144" s="18"/>
      <c r="G144" s="27" t="s">
        <v>104</v>
      </c>
      <c r="H144" s="18"/>
      <c r="I144" s="27" t="s">
        <v>142</v>
      </c>
      <c r="J144" s="18"/>
      <c r="K144" s="27" t="str">
        <f>"Close: "&amp;25+(5*FLOOR((Level+1)/2,1)) &amp;" ft"</f>
        <v>Close: 30 ft</v>
      </c>
      <c r="L144" s="18"/>
      <c r="M144" s="27" t="s">
        <v>206</v>
      </c>
      <c r="N144" s="18"/>
      <c r="O144" s="27" t="str">
        <f>Level+1&amp;" rounds (D)
1 round/level"</f>
        <v>2 rounds (D)
1 round/level</v>
      </c>
      <c r="P144" s="18"/>
      <c r="Q144" s="27" t="s">
        <v>62</v>
      </c>
      <c r="R144" s="18"/>
      <c r="S144" s="27" t="s">
        <v>63</v>
      </c>
      <c r="T144" s="18"/>
      <c r="U144" s="29" t="s">
        <v>207</v>
      </c>
      <c r="V144" s="4"/>
      <c r="W144" s="4"/>
      <c r="X144" s="18"/>
      <c r="Y144" s="79"/>
      <c r="Z144" s="79"/>
      <c r="AA144" s="79"/>
      <c r="AB144" s="79"/>
    </row>
    <row r="145">
      <c r="A145" s="79"/>
      <c r="B145" s="84"/>
      <c r="C145" s="84"/>
      <c r="D145" s="84"/>
      <c r="E145" s="85"/>
      <c r="F145" s="85"/>
      <c r="G145" s="72"/>
      <c r="H145" s="72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6"/>
      <c r="V145" s="86"/>
      <c r="W145" s="86"/>
      <c r="X145" s="86"/>
      <c r="Y145" s="79"/>
      <c r="Z145" s="79"/>
      <c r="AA145" s="79"/>
      <c r="AB145" s="79"/>
    </row>
    <row r="146">
      <c r="A146" s="79"/>
      <c r="B146" s="87" t="s">
        <v>836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18"/>
      <c r="Y146" s="79"/>
      <c r="Z146" s="79"/>
      <c r="AA146" s="79"/>
      <c r="AB146" s="79"/>
    </row>
    <row r="147">
      <c r="A147" s="79"/>
      <c r="B147" s="88" t="s">
        <v>1</v>
      </c>
      <c r="C147" s="89" t="s">
        <v>15</v>
      </c>
      <c r="D147" s="23"/>
      <c r="E147" s="89" t="s">
        <v>18</v>
      </c>
      <c r="F147" s="23"/>
      <c r="G147" s="89" t="s">
        <v>19</v>
      </c>
      <c r="H147" s="23"/>
      <c r="I147" s="89" t="s">
        <v>20</v>
      </c>
      <c r="J147" s="23"/>
      <c r="K147" s="89" t="s">
        <v>21</v>
      </c>
      <c r="L147" s="23"/>
      <c r="M147" s="89" t="s">
        <v>22</v>
      </c>
      <c r="N147" s="23"/>
      <c r="O147" s="89" t="s">
        <v>23</v>
      </c>
      <c r="P147" s="23"/>
      <c r="Q147" s="89" t="s">
        <v>24</v>
      </c>
      <c r="R147" s="23"/>
      <c r="S147" s="89" t="s">
        <v>25</v>
      </c>
      <c r="T147" s="23"/>
      <c r="U147" s="89" t="s">
        <v>26</v>
      </c>
      <c r="V147" s="10"/>
      <c r="W147" s="10"/>
      <c r="X147" s="23"/>
      <c r="Y147" s="79"/>
      <c r="Z147" s="79"/>
      <c r="AA147" s="79"/>
      <c r="AB147" s="79"/>
    </row>
    <row r="148">
      <c r="A148" s="79"/>
      <c r="B148" s="91">
        <v>1.0</v>
      </c>
      <c r="C148" s="26" t="s">
        <v>169</v>
      </c>
      <c r="D148" s="18"/>
      <c r="E148" s="27" t="s">
        <v>110</v>
      </c>
      <c r="F148" s="18"/>
      <c r="G148" s="27" t="s">
        <v>59</v>
      </c>
      <c r="H148" s="18"/>
      <c r="I148" s="27" t="s">
        <v>60</v>
      </c>
      <c r="J148" s="18"/>
      <c r="K148" s="27" t="s">
        <v>105</v>
      </c>
      <c r="L148" s="18"/>
      <c r="M148" s="27" t="s">
        <v>106</v>
      </c>
      <c r="N148" s="18"/>
      <c r="O148" s="27" t="str">
        <f>Level&amp;" minute(s) (D)
1 minute/level"</f>
        <v>1 minute(s) (D)
1 minute/level</v>
      </c>
      <c r="P148" s="18"/>
      <c r="Q148" s="27" t="s">
        <v>107</v>
      </c>
      <c r="R148" s="18"/>
      <c r="S148" s="27" t="s">
        <v>107</v>
      </c>
      <c r="T148" s="18"/>
      <c r="U148" s="29" t="s">
        <v>170</v>
      </c>
      <c r="V148" s="4"/>
      <c r="W148" s="4"/>
      <c r="X148" s="18"/>
      <c r="Y148" s="79"/>
      <c r="Z148" s="79"/>
      <c r="AA148" s="79"/>
      <c r="AB148" s="79"/>
    </row>
    <row r="149">
      <c r="A149" s="79"/>
      <c r="B149" s="88">
        <v>2.0</v>
      </c>
      <c r="C149" s="32" t="s">
        <v>208</v>
      </c>
      <c r="D149" s="23"/>
      <c r="E149" s="34" t="s">
        <v>124</v>
      </c>
      <c r="F149" s="23"/>
      <c r="G149" s="33" t="s">
        <v>119</v>
      </c>
      <c r="H149" s="23"/>
      <c r="I149" s="33" t="s">
        <v>60</v>
      </c>
      <c r="J149" s="23"/>
      <c r="K149" s="33" t="s">
        <v>66</v>
      </c>
      <c r="L149" s="23"/>
      <c r="M149" s="33" t="s">
        <v>210</v>
      </c>
      <c r="N149" s="23"/>
      <c r="O149" s="33" t="str">
        <f>CONCAT(Level, " minute(s)
1 minute/level")</f>
        <v>1 minute(s)
1 minute/level</v>
      </c>
      <c r="P149" s="23"/>
      <c r="Q149" s="33" t="s">
        <v>62</v>
      </c>
      <c r="R149" s="23"/>
      <c r="S149" s="33" t="s">
        <v>113</v>
      </c>
      <c r="T149" s="23"/>
      <c r="U149" s="35" t="str">
        <f>"+1 on attack rolls and saves against fear, 1d8+"&amp;MIN(Level, 10)&amp;" temporary hp, +1/level (max +10)"</f>
        <v>+1 on attack rolls and saves against fear, 1d8+1 temporary hp, +1/level (max +10)</v>
      </c>
      <c r="V149" s="10"/>
      <c r="W149" s="10"/>
      <c r="X149" s="23"/>
      <c r="Y149" s="79"/>
      <c r="Z149" s="79"/>
      <c r="AA149" s="79"/>
      <c r="AB149" s="79"/>
    </row>
    <row r="150">
      <c r="A150" s="79"/>
      <c r="B150" s="91">
        <v>3.0</v>
      </c>
      <c r="C150" s="26" t="s">
        <v>360</v>
      </c>
      <c r="D150" s="18"/>
      <c r="E150" s="27" t="s">
        <v>110</v>
      </c>
      <c r="F150" s="18"/>
      <c r="G150" s="27" t="s">
        <v>119</v>
      </c>
      <c r="H150" s="18"/>
      <c r="I150" s="27" t="s">
        <v>60</v>
      </c>
      <c r="J150" s="18"/>
      <c r="K150" s="27" t="s">
        <v>66</v>
      </c>
      <c r="L150" s="18"/>
      <c r="M150" s="27" t="s">
        <v>166</v>
      </c>
      <c r="N150" s="18"/>
      <c r="O150" s="27" t="str">
        <f>CONCAT(Level*10, " minutes or until discharged
10 minutes/level")</f>
        <v>10 minutes or until discharged
10 minutes/level</v>
      </c>
      <c r="P150" s="18"/>
      <c r="Q150" s="27" t="s">
        <v>239</v>
      </c>
      <c r="R150" s="18"/>
      <c r="S150" s="27" t="s">
        <v>113</v>
      </c>
      <c r="T150" s="18"/>
      <c r="U150" s="29" t="str">
        <f>CONCAT("Absorb ",CONCAT(MIN(Level*12, 120)," points of damage from one kind of energy, 12 points/level"))</f>
        <v>Absorb 12 points of damage from one kind of energy, 12 points/level</v>
      </c>
      <c r="V150" s="4"/>
      <c r="W150" s="4"/>
      <c r="X150" s="18"/>
      <c r="Y150" s="79"/>
      <c r="Z150" s="79"/>
      <c r="AA150" s="79"/>
      <c r="AB150" s="79"/>
    </row>
    <row r="151">
      <c r="A151" s="79"/>
      <c r="B151" s="88">
        <v>4.0</v>
      </c>
      <c r="C151" s="32" t="s">
        <v>404</v>
      </c>
      <c r="D151" s="23"/>
      <c r="E151" s="33" t="s">
        <v>110</v>
      </c>
      <c r="F151" s="23"/>
      <c r="G151" s="33" t="s">
        <v>405</v>
      </c>
      <c r="H151" s="23"/>
      <c r="I151" s="33" t="s">
        <v>60</v>
      </c>
      <c r="J151" s="23"/>
      <c r="K151" s="33" t="s">
        <v>406</v>
      </c>
      <c r="L151" s="23"/>
      <c r="M151" s="33" t="s">
        <v>407</v>
      </c>
      <c r="N151" s="23"/>
      <c r="O151" s="33" t="str">
        <f>CONCAT(Level*10, " minutes
10 minutes/level")</f>
        <v>10 minutes
10 minutes/level</v>
      </c>
      <c r="P151" s="23"/>
      <c r="Q151" s="33" t="s">
        <v>81</v>
      </c>
      <c r="R151" s="23"/>
      <c r="S151" s="33" t="s">
        <v>113</v>
      </c>
      <c r="T151" s="23"/>
      <c r="U151" s="35" t="s">
        <v>408</v>
      </c>
      <c r="V151" s="10"/>
      <c r="W151" s="10"/>
      <c r="X151" s="23"/>
      <c r="Y151" s="79"/>
      <c r="Z151" s="79"/>
      <c r="AA151" s="79"/>
      <c r="AB151" s="79"/>
    </row>
    <row r="152">
      <c r="A152" s="79"/>
      <c r="B152" s="91">
        <v>5.0</v>
      </c>
      <c r="C152" s="26" t="s">
        <v>450</v>
      </c>
      <c r="D152" s="18"/>
      <c r="E152" s="27" t="s">
        <v>110</v>
      </c>
      <c r="F152" s="18"/>
      <c r="G152" s="27" t="s">
        <v>59</v>
      </c>
      <c r="H152" s="18"/>
      <c r="I152" s="27" t="s">
        <v>112</v>
      </c>
      <c r="J152" s="18"/>
      <c r="K152" s="27" t="str">
        <f>close</f>
        <v>Close: 25 ft</v>
      </c>
      <c r="L152" s="18"/>
      <c r="M152" s="27" t="str">
        <f>"Up to "&amp;Level&amp;" creatures, 1 creature/level, all within 30 ft of each other"</f>
        <v>Up to 1 creatures, 1 creature/level, all within 30 ft of each other</v>
      </c>
      <c r="N152" s="18"/>
      <c r="O152" s="27" t="s">
        <v>61</v>
      </c>
      <c r="P152" s="18"/>
      <c r="Q152" s="27" t="s">
        <v>332</v>
      </c>
      <c r="R152" s="18"/>
      <c r="S152" s="27" t="s">
        <v>63</v>
      </c>
      <c r="T152" s="18"/>
      <c r="U152" s="29" t="s">
        <v>451</v>
      </c>
      <c r="V152" s="4"/>
      <c r="W152" s="4"/>
      <c r="X152" s="18"/>
      <c r="Y152" s="79"/>
      <c r="Z152" s="79"/>
      <c r="AA152" s="79"/>
      <c r="AB152" s="79"/>
    </row>
    <row r="153">
      <c r="A153" s="79"/>
      <c r="B153" s="88">
        <v>6.0</v>
      </c>
      <c r="C153" s="32" t="s">
        <v>837</v>
      </c>
      <c r="D153" s="23"/>
      <c r="E153" s="34" t="s">
        <v>838</v>
      </c>
      <c r="F153" s="23"/>
      <c r="G153" s="33" t="s">
        <v>839</v>
      </c>
      <c r="H153" s="23"/>
      <c r="I153" s="33" t="s">
        <v>60</v>
      </c>
      <c r="J153" s="23"/>
      <c r="K153" s="33" t="str">
        <f>close</f>
        <v>Close: 25 ft</v>
      </c>
      <c r="L153" s="23"/>
      <c r="M153" s="33" t="s">
        <v>840</v>
      </c>
      <c r="N153" s="23"/>
      <c r="O153" s="33" t="str">
        <f>Level&amp;" round(s) (D)
1 round/level
and concentration + 3 rounds, see text"</f>
        <v>1 round(s) (D)
1 round/level
and concentration + 3 rounds, see text</v>
      </c>
      <c r="P153" s="23"/>
      <c r="Q153" s="33" t="s">
        <v>841</v>
      </c>
      <c r="R153" s="23"/>
      <c r="S153" s="33" t="s">
        <v>63</v>
      </c>
      <c r="T153" s="23"/>
      <c r="U153" s="35" t="s">
        <v>842</v>
      </c>
      <c r="V153" s="10"/>
      <c r="W153" s="10"/>
      <c r="X153" s="23"/>
      <c r="Y153" s="79"/>
      <c r="Z153" s="79"/>
      <c r="AA153" s="79"/>
      <c r="AB153" s="79"/>
    </row>
    <row r="154">
      <c r="A154" s="79"/>
      <c r="B154" s="92">
        <v>7.0</v>
      </c>
      <c r="C154" s="26" t="s">
        <v>843</v>
      </c>
      <c r="D154" s="18"/>
      <c r="E154" s="27" t="s">
        <v>110</v>
      </c>
      <c r="F154" s="18"/>
      <c r="G154" s="27" t="s">
        <v>202</v>
      </c>
      <c r="H154" s="18"/>
      <c r="I154" s="27" t="s">
        <v>60</v>
      </c>
      <c r="J154" s="18"/>
      <c r="K154" s="27" t="s">
        <v>105</v>
      </c>
      <c r="L154" s="18"/>
      <c r="M154" s="27" t="s">
        <v>106</v>
      </c>
      <c r="N154" s="18"/>
      <c r="O154" s="27" t="str">
        <f>"Until expended or "&amp;Level*10&amp;" minutes
10 minutes/level"</f>
        <v>Until expended or 10 minutes
10 minutes/level</v>
      </c>
      <c r="P154" s="18"/>
      <c r="Q154" s="27" t="s">
        <v>107</v>
      </c>
      <c r="R154" s="18"/>
      <c r="S154" s="27" t="s">
        <v>107</v>
      </c>
      <c r="T154" s="18"/>
      <c r="U154" s="29" t="s">
        <v>844</v>
      </c>
      <c r="V154" s="4"/>
      <c r="W154" s="4"/>
      <c r="X154" s="18"/>
      <c r="Y154" s="79"/>
      <c r="Z154" s="79"/>
      <c r="AA154" s="79"/>
      <c r="AB154" s="79"/>
    </row>
    <row r="155">
      <c r="A155" s="79"/>
      <c r="B155" s="93">
        <v>8.0</v>
      </c>
      <c r="C155" s="32" t="s">
        <v>845</v>
      </c>
      <c r="D155" s="23"/>
      <c r="E155" s="33" t="s">
        <v>72</v>
      </c>
      <c r="F155" s="23"/>
      <c r="G155" s="33" t="s">
        <v>59</v>
      </c>
      <c r="H155" s="23"/>
      <c r="I155" s="33" t="s">
        <v>60</v>
      </c>
      <c r="J155" s="23"/>
      <c r="K155" s="33" t="s">
        <v>105</v>
      </c>
      <c r="L155" s="23"/>
      <c r="M155" s="33" t="s">
        <v>106</v>
      </c>
      <c r="N155" s="23"/>
      <c r="O155" s="33" t="str">
        <f>Level&amp;" hour(s) or until discharged
1 hour/level"</f>
        <v>1 hour(s) or until discharged
1 hour/level</v>
      </c>
      <c r="P155" s="23"/>
      <c r="Q155" s="33" t="s">
        <v>107</v>
      </c>
      <c r="R155" s="23"/>
      <c r="S155" s="33" t="s">
        <v>107</v>
      </c>
      <c r="T155" s="23"/>
      <c r="U155" s="35" t="s">
        <v>846</v>
      </c>
      <c r="V155" s="10"/>
      <c r="W155" s="10"/>
      <c r="X155" s="23"/>
      <c r="Y155" s="79"/>
      <c r="Z155" s="79"/>
      <c r="AA155" s="79"/>
      <c r="AB155" s="79"/>
    </row>
    <row r="156">
      <c r="A156" s="79"/>
      <c r="B156" s="92">
        <v>9.0</v>
      </c>
      <c r="C156" s="26" t="s">
        <v>692</v>
      </c>
      <c r="D156" s="18"/>
      <c r="E156" s="27" t="s">
        <v>162</v>
      </c>
      <c r="F156" s="18"/>
      <c r="G156" s="27" t="s">
        <v>683</v>
      </c>
      <c r="H156" s="18"/>
      <c r="I156" s="27" t="s">
        <v>60</v>
      </c>
      <c r="J156" s="18"/>
      <c r="K156" s="27" t="s">
        <v>332</v>
      </c>
      <c r="L156" s="18"/>
      <c r="M156" s="27" t="s">
        <v>332</v>
      </c>
      <c r="N156" s="18"/>
      <c r="O156" s="27" t="s">
        <v>332</v>
      </c>
      <c r="P156" s="18"/>
      <c r="Q156" s="27" t="s">
        <v>332</v>
      </c>
      <c r="R156" s="18"/>
      <c r="S156" s="27" t="s">
        <v>82</v>
      </c>
      <c r="T156" s="18"/>
      <c r="U156" s="29" t="s">
        <v>693</v>
      </c>
      <c r="V156" s="4"/>
      <c r="W156" s="4"/>
      <c r="X156" s="18"/>
      <c r="Y156" s="79"/>
      <c r="Z156" s="79"/>
      <c r="AA156" s="79"/>
      <c r="AB156" s="79"/>
    </row>
    <row r="157">
      <c r="A157" s="79"/>
      <c r="B157" s="84"/>
      <c r="C157" s="84"/>
      <c r="D157" s="84"/>
      <c r="E157" s="85"/>
      <c r="F157" s="85"/>
      <c r="G157" s="72"/>
      <c r="H157" s="72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6"/>
      <c r="V157" s="86"/>
      <c r="W157" s="86"/>
      <c r="X157" s="86"/>
      <c r="Y157" s="79"/>
      <c r="Z157" s="79"/>
      <c r="AA157" s="79"/>
      <c r="AB157" s="79"/>
    </row>
    <row r="158">
      <c r="A158" s="79"/>
      <c r="B158" s="87" t="s">
        <v>847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18"/>
      <c r="Y158" s="79"/>
      <c r="Z158" s="79"/>
      <c r="AA158" s="79"/>
      <c r="AB158" s="79"/>
    </row>
    <row r="159">
      <c r="A159" s="79"/>
      <c r="B159" s="88" t="s">
        <v>1</v>
      </c>
      <c r="C159" s="89" t="s">
        <v>15</v>
      </c>
      <c r="D159" s="23"/>
      <c r="E159" s="89" t="s">
        <v>18</v>
      </c>
      <c r="F159" s="23"/>
      <c r="G159" s="89" t="s">
        <v>19</v>
      </c>
      <c r="H159" s="23"/>
      <c r="I159" s="89" t="s">
        <v>20</v>
      </c>
      <c r="J159" s="23"/>
      <c r="K159" s="89" t="s">
        <v>21</v>
      </c>
      <c r="L159" s="23"/>
      <c r="M159" s="89" t="s">
        <v>22</v>
      </c>
      <c r="N159" s="23"/>
      <c r="O159" s="89" t="s">
        <v>23</v>
      </c>
      <c r="P159" s="23"/>
      <c r="Q159" s="89" t="s">
        <v>24</v>
      </c>
      <c r="R159" s="23"/>
      <c r="S159" s="89" t="s">
        <v>25</v>
      </c>
      <c r="T159" s="23"/>
      <c r="U159" s="89" t="s">
        <v>26</v>
      </c>
      <c r="V159" s="10"/>
      <c r="W159" s="10"/>
      <c r="X159" s="23"/>
      <c r="Y159" s="79"/>
      <c r="Z159" s="79"/>
      <c r="AA159" s="79"/>
      <c r="AB159" s="79"/>
    </row>
    <row r="160">
      <c r="A160" s="79"/>
      <c r="B160" s="91">
        <v>1.0</v>
      </c>
      <c r="C160" s="26" t="s">
        <v>848</v>
      </c>
      <c r="D160" s="18"/>
      <c r="E160" s="28" t="s">
        <v>280</v>
      </c>
      <c r="F160" s="18"/>
      <c r="G160" s="27" t="s">
        <v>104</v>
      </c>
      <c r="H160" s="18"/>
      <c r="I160" s="27" t="s">
        <v>60</v>
      </c>
      <c r="J160" s="18"/>
      <c r="K160" s="27" t="s">
        <v>66</v>
      </c>
      <c r="L160" s="18"/>
      <c r="M160" s="27" t="str">
        <f>"One touched object weighing up to "&amp;Level*5&amp;" lbs, 5 lbs/level"</f>
        <v>One touched object weighing up to 5 lbs, 5 lbs/level</v>
      </c>
      <c r="N160" s="18"/>
      <c r="O160" s="27" t="str">
        <f>Level&amp;" day(s) (D)
1 day/level"</f>
        <v>1 day(s) (D)
1 day/level</v>
      </c>
      <c r="P160" s="18"/>
      <c r="Q160" s="27" t="s">
        <v>384</v>
      </c>
      <c r="R160" s="18"/>
      <c r="S160" s="27" t="s">
        <v>63</v>
      </c>
      <c r="T160" s="18"/>
      <c r="U160" s="29" t="s">
        <v>849</v>
      </c>
      <c r="V160" s="4"/>
      <c r="W160" s="4"/>
      <c r="X160" s="18"/>
      <c r="Y160" s="79"/>
      <c r="Z160" s="79"/>
      <c r="AA160" s="79"/>
      <c r="AB160" s="79"/>
    </row>
    <row r="161">
      <c r="A161" s="79"/>
      <c r="B161" s="88">
        <v>2.0</v>
      </c>
      <c r="C161" s="32" t="s">
        <v>850</v>
      </c>
      <c r="D161" s="23"/>
      <c r="E161" s="33" t="s">
        <v>72</v>
      </c>
      <c r="F161" s="23"/>
      <c r="G161" s="33" t="s">
        <v>119</v>
      </c>
      <c r="H161" s="23"/>
      <c r="I161" s="33" t="s">
        <v>448</v>
      </c>
      <c r="J161" s="23"/>
      <c r="K161" s="33" t="s">
        <v>66</v>
      </c>
      <c r="L161" s="23"/>
      <c r="M161" s="33" t="s">
        <v>851</v>
      </c>
      <c r="N161" s="23"/>
      <c r="O161" s="33" t="s">
        <v>61</v>
      </c>
      <c r="P161" s="23"/>
      <c r="Q161" s="33" t="s">
        <v>62</v>
      </c>
      <c r="R161" s="23"/>
      <c r="S161" s="33" t="s">
        <v>63</v>
      </c>
      <c r="T161" s="23"/>
      <c r="U161" s="35" t="s">
        <v>852</v>
      </c>
      <c r="V161" s="10"/>
      <c r="W161" s="10"/>
      <c r="X161" s="23"/>
      <c r="Y161" s="79"/>
      <c r="Z161" s="79"/>
      <c r="AA161" s="79"/>
      <c r="AB161" s="79"/>
    </row>
    <row r="162">
      <c r="A162" s="79"/>
      <c r="B162" s="91">
        <v>3.0</v>
      </c>
      <c r="C162" s="26" t="s">
        <v>326</v>
      </c>
      <c r="D162" s="18"/>
      <c r="E162" s="27" t="s">
        <v>110</v>
      </c>
      <c r="F162" s="18"/>
      <c r="G162" s="27" t="s">
        <v>59</v>
      </c>
      <c r="H162" s="18"/>
      <c r="I162" s="27" t="s">
        <v>60</v>
      </c>
      <c r="J162" s="18"/>
      <c r="K162" s="27" t="str">
        <f>CONCAT("Medium: ", CONCAT(100+(10*Level), " ft"))</f>
        <v>Medium: 110 ft</v>
      </c>
      <c r="L162" s="18"/>
      <c r="M162" s="27" t="s">
        <v>853</v>
      </c>
      <c r="N162" s="18"/>
      <c r="O162" s="27" t="s">
        <v>61</v>
      </c>
      <c r="P162" s="18"/>
      <c r="Q162" s="27" t="s">
        <v>62</v>
      </c>
      <c r="R162" s="18"/>
      <c r="S162" s="27" t="s">
        <v>63</v>
      </c>
      <c r="T162" s="18"/>
      <c r="U162" s="29" t="s">
        <v>328</v>
      </c>
      <c r="V162" s="4"/>
      <c r="W162" s="4"/>
      <c r="X162" s="18"/>
      <c r="Y162" s="79"/>
      <c r="Z162" s="79"/>
      <c r="AA162" s="79"/>
      <c r="AB162" s="79"/>
    </row>
    <row r="163">
      <c r="A163" s="79"/>
      <c r="B163" s="88">
        <v>4.0</v>
      </c>
      <c r="C163" s="32" t="s">
        <v>412</v>
      </c>
      <c r="D163" s="23"/>
      <c r="E163" s="33" t="s">
        <v>162</v>
      </c>
      <c r="F163" s="23"/>
      <c r="G163" s="33" t="s">
        <v>119</v>
      </c>
      <c r="H163" s="23"/>
      <c r="I163" s="33" t="s">
        <v>319</v>
      </c>
      <c r="J163" s="23"/>
      <c r="K163" s="33" t="s">
        <v>66</v>
      </c>
      <c r="L163" s="23"/>
      <c r="M163" s="33" t="s">
        <v>413</v>
      </c>
      <c r="N163" s="23"/>
      <c r="O163" s="33" t="s">
        <v>414</v>
      </c>
      <c r="P163" s="23"/>
      <c r="Q163" s="33" t="s">
        <v>81</v>
      </c>
      <c r="R163" s="23"/>
      <c r="S163" s="33" t="s">
        <v>113</v>
      </c>
      <c r="T163" s="23"/>
      <c r="U163" s="35" t="s">
        <v>415</v>
      </c>
      <c r="V163" s="10"/>
      <c r="W163" s="10"/>
      <c r="X163" s="23"/>
      <c r="Y163" s="79"/>
      <c r="Z163" s="79"/>
      <c r="AA163" s="79"/>
      <c r="AB163" s="79"/>
    </row>
    <row r="164">
      <c r="A164" s="79"/>
      <c r="B164" s="91">
        <v>5.0</v>
      </c>
      <c r="C164" s="26" t="s">
        <v>25</v>
      </c>
      <c r="D164" s="18"/>
      <c r="E164" s="27" t="s">
        <v>110</v>
      </c>
      <c r="F164" s="18"/>
      <c r="G164" s="27" t="s">
        <v>119</v>
      </c>
      <c r="H164" s="18"/>
      <c r="I164" s="27" t="s">
        <v>60</v>
      </c>
      <c r="J164" s="18"/>
      <c r="K164" s="27" t="s">
        <v>66</v>
      </c>
      <c r="L164" s="18"/>
      <c r="M164" s="27" t="s">
        <v>166</v>
      </c>
      <c r="N164" s="18"/>
      <c r="O164" s="27" t="str">
        <f>CONCAT(Level, " minute(s)
1 minute/level")</f>
        <v>1 minute(s)
1 minute/level</v>
      </c>
      <c r="P164" s="18"/>
      <c r="Q164" s="27" t="s">
        <v>81</v>
      </c>
      <c r="R164" s="18"/>
      <c r="S164" s="27" t="s">
        <v>113</v>
      </c>
      <c r="T164" s="18"/>
      <c r="U164" s="29" t="str">
        <f>"Subject gains SR "&amp;Level+12&amp;", 12 + level"</f>
        <v>Subject gains SR 13, 12 + level</v>
      </c>
      <c r="V164" s="4"/>
      <c r="W164" s="4"/>
      <c r="X164" s="18"/>
      <c r="Y164" s="79"/>
      <c r="Z164" s="79"/>
      <c r="AA164" s="79"/>
      <c r="AB164" s="79"/>
    </row>
    <row r="165">
      <c r="A165" s="79"/>
      <c r="B165" s="88">
        <v>6.0</v>
      </c>
      <c r="C165" s="32" t="s">
        <v>636</v>
      </c>
      <c r="D165" s="23"/>
      <c r="E165" s="33" t="s">
        <v>110</v>
      </c>
      <c r="F165" s="23"/>
      <c r="G165" s="33" t="s">
        <v>202</v>
      </c>
      <c r="H165" s="23"/>
      <c r="I165" s="33" t="s">
        <v>60</v>
      </c>
      <c r="J165" s="23"/>
      <c r="K165" s="33" t="s">
        <v>95</v>
      </c>
      <c r="L165" s="23"/>
      <c r="M165" s="33" t="s">
        <v>637</v>
      </c>
      <c r="N165" s="23"/>
      <c r="O165" s="33" t="str">
        <f>Level*10&amp;" minutes (D)
10 minutes/level"</f>
        <v>10 minutes (D)
10 minutes/level</v>
      </c>
      <c r="P165" s="23"/>
      <c r="Q165" s="33" t="s">
        <v>62</v>
      </c>
      <c r="R165" s="23"/>
      <c r="S165" s="33" t="s">
        <v>332</v>
      </c>
      <c r="T165" s="23"/>
      <c r="U165" s="35" t="s">
        <v>638</v>
      </c>
      <c r="V165" s="10"/>
      <c r="W165" s="10"/>
      <c r="X165" s="23"/>
      <c r="Y165" s="79"/>
      <c r="Z165" s="79"/>
      <c r="AA165" s="79"/>
      <c r="AB165" s="79"/>
    </row>
    <row r="166">
      <c r="A166" s="79"/>
      <c r="B166" s="92">
        <v>7.0</v>
      </c>
      <c r="C166" s="26" t="s">
        <v>843</v>
      </c>
      <c r="D166" s="18"/>
      <c r="E166" s="27" t="s">
        <v>110</v>
      </c>
      <c r="F166" s="18"/>
      <c r="G166" s="27" t="s">
        <v>202</v>
      </c>
      <c r="H166" s="18"/>
      <c r="I166" s="27" t="s">
        <v>60</v>
      </c>
      <c r="J166" s="18"/>
      <c r="K166" s="27" t="s">
        <v>105</v>
      </c>
      <c r="L166" s="18"/>
      <c r="M166" s="27" t="s">
        <v>106</v>
      </c>
      <c r="N166" s="18"/>
      <c r="O166" s="27" t="str">
        <f>"Until expended or "&amp;Level*10&amp;" minutes
10 minutes/level"</f>
        <v>Until expended or 10 minutes
10 minutes/level</v>
      </c>
      <c r="P166" s="18"/>
      <c r="Q166" s="27" t="s">
        <v>107</v>
      </c>
      <c r="R166" s="18"/>
      <c r="S166" s="27" t="s">
        <v>107</v>
      </c>
      <c r="T166" s="18"/>
      <c r="U166" s="29" t="s">
        <v>844</v>
      </c>
      <c r="V166" s="4"/>
      <c r="W166" s="4"/>
      <c r="X166" s="18"/>
      <c r="Y166" s="79"/>
      <c r="Z166" s="79"/>
      <c r="AA166" s="79"/>
      <c r="AB166" s="79"/>
    </row>
    <row r="167">
      <c r="A167" s="79"/>
      <c r="B167" s="93">
        <v>8.0</v>
      </c>
      <c r="C167" s="32" t="s">
        <v>854</v>
      </c>
      <c r="D167" s="23"/>
      <c r="E167" s="33" t="s">
        <v>110</v>
      </c>
      <c r="F167" s="23"/>
      <c r="G167" s="33" t="s">
        <v>855</v>
      </c>
      <c r="H167" s="23"/>
      <c r="I167" s="33" t="s">
        <v>60</v>
      </c>
      <c r="J167" s="23"/>
      <c r="K167" s="33" t="s">
        <v>66</v>
      </c>
      <c r="L167" s="23"/>
      <c r="M167" s="33" t="str">
        <f>"Up to "&amp;MAX(FLOOR(Level/4,1),1)&amp;" creature(s) touched, 1 creature per 4 levels"</f>
        <v>Up to 1 creature(s) touched, 1 creature per 4 levels</v>
      </c>
      <c r="N167" s="23"/>
      <c r="O167" s="33" t="str">
        <f>Level*10&amp;" minutes (D)
10 minutes/level"</f>
        <v>10 minutes (D)
10 minutes/level</v>
      </c>
      <c r="P167" s="23"/>
      <c r="Q167" s="33" t="s">
        <v>81</v>
      </c>
      <c r="R167" s="23"/>
      <c r="S167" s="33" t="s">
        <v>113</v>
      </c>
      <c r="T167" s="23"/>
      <c r="U167" s="35" t="s">
        <v>856</v>
      </c>
      <c r="V167" s="10"/>
      <c r="W167" s="10"/>
      <c r="X167" s="23"/>
      <c r="Y167" s="79"/>
      <c r="Z167" s="79"/>
      <c r="AA167" s="79"/>
      <c r="AB167" s="79"/>
    </row>
    <row r="168">
      <c r="A168" s="79"/>
      <c r="B168" s="92">
        <v>9.0</v>
      </c>
      <c r="C168" s="26" t="s">
        <v>857</v>
      </c>
      <c r="D168" s="18"/>
      <c r="E168" s="27" t="s">
        <v>110</v>
      </c>
      <c r="F168" s="18"/>
      <c r="G168" s="27" t="s">
        <v>140</v>
      </c>
      <c r="H168" s="18"/>
      <c r="I168" s="27" t="s">
        <v>60</v>
      </c>
      <c r="J168" s="18"/>
      <c r="K168" s="27" t="str">
        <f>close</f>
        <v>Close: 25 ft</v>
      </c>
      <c r="L168" s="18"/>
      <c r="M168" s="27" t="s">
        <v>858</v>
      </c>
      <c r="N168" s="18"/>
      <c r="O168" s="27" t="s">
        <v>61</v>
      </c>
      <c r="P168" s="18"/>
      <c r="Q168" s="27" t="s">
        <v>101</v>
      </c>
      <c r="R168" s="18"/>
      <c r="S168" s="27" t="s">
        <v>63</v>
      </c>
      <c r="T168" s="18"/>
      <c r="U168" s="29" t="s">
        <v>859</v>
      </c>
      <c r="V168" s="4"/>
      <c r="W168" s="4"/>
      <c r="X168" s="18"/>
      <c r="Y168" s="79"/>
      <c r="Z168" s="79"/>
      <c r="AA168" s="79"/>
      <c r="AB168" s="79"/>
    </row>
    <row r="169">
      <c r="A169" s="79"/>
      <c r="B169" s="84"/>
      <c r="C169" s="84"/>
      <c r="D169" s="84"/>
      <c r="E169" s="85"/>
      <c r="F169" s="85"/>
      <c r="G169" s="72"/>
      <c r="H169" s="72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6"/>
      <c r="V169" s="86"/>
      <c r="W169" s="86"/>
      <c r="X169" s="86"/>
      <c r="Y169" s="79"/>
      <c r="Z169" s="79"/>
      <c r="AA169" s="79"/>
      <c r="AB169" s="79"/>
    </row>
    <row r="170">
      <c r="A170" s="79"/>
      <c r="B170" s="87" t="s">
        <v>860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18"/>
      <c r="Y170" s="79"/>
      <c r="Z170" s="79"/>
      <c r="AA170" s="79"/>
      <c r="AB170" s="79"/>
    </row>
    <row r="171">
      <c r="A171" s="79"/>
      <c r="B171" s="88" t="s">
        <v>1</v>
      </c>
      <c r="C171" s="89" t="s">
        <v>15</v>
      </c>
      <c r="D171" s="23"/>
      <c r="E171" s="89" t="s">
        <v>18</v>
      </c>
      <c r="F171" s="23"/>
      <c r="G171" s="89" t="s">
        <v>19</v>
      </c>
      <c r="H171" s="23"/>
      <c r="I171" s="89" t="s">
        <v>20</v>
      </c>
      <c r="J171" s="23"/>
      <c r="K171" s="89" t="s">
        <v>21</v>
      </c>
      <c r="L171" s="23"/>
      <c r="M171" s="89" t="s">
        <v>22</v>
      </c>
      <c r="N171" s="23"/>
      <c r="O171" s="89" t="s">
        <v>23</v>
      </c>
      <c r="P171" s="23"/>
      <c r="Q171" s="89" t="s">
        <v>24</v>
      </c>
      <c r="R171" s="23"/>
      <c r="S171" s="89" t="s">
        <v>25</v>
      </c>
      <c r="T171" s="23"/>
      <c r="U171" s="89" t="s">
        <v>26</v>
      </c>
      <c r="V171" s="10"/>
      <c r="W171" s="10"/>
      <c r="X171" s="23"/>
      <c r="Y171" s="79"/>
      <c r="Z171" s="79"/>
      <c r="AA171" s="79"/>
      <c r="AB171" s="79"/>
    </row>
    <row r="172">
      <c r="A172" s="79"/>
      <c r="B172" s="91">
        <v>1.0</v>
      </c>
      <c r="C172" s="26" t="s">
        <v>861</v>
      </c>
      <c r="D172" s="18"/>
      <c r="E172" s="27" t="s">
        <v>94</v>
      </c>
      <c r="F172" s="18"/>
      <c r="G172" s="27" t="s">
        <v>119</v>
      </c>
      <c r="H172" s="18"/>
      <c r="I172" s="27" t="s">
        <v>60</v>
      </c>
      <c r="J172" s="18"/>
      <c r="K172" s="27" t="str">
        <f>CONCAT("Long: ", CONCAT(400+(40*Level), " ft"))</f>
        <v>Long: 440 ft</v>
      </c>
      <c r="L172" s="18"/>
      <c r="M172" s="27" t="s">
        <v>862</v>
      </c>
      <c r="N172" s="18"/>
      <c r="O172" s="27" t="str">
        <f>CONCAT(Level, " minute(s) (D)
1 minute/level")</f>
        <v>1 minute(s) (D)
1 minute/level</v>
      </c>
      <c r="P172" s="18"/>
      <c r="Q172" s="27" t="s">
        <v>863</v>
      </c>
      <c r="R172" s="18"/>
      <c r="S172" s="27" t="s">
        <v>63</v>
      </c>
      <c r="T172" s="18"/>
      <c r="U172" s="29" t="s">
        <v>864</v>
      </c>
      <c r="V172" s="4"/>
      <c r="W172" s="4"/>
      <c r="X172" s="18"/>
      <c r="Y172" s="79"/>
      <c r="Z172" s="79"/>
      <c r="AA172" s="79"/>
      <c r="AB172" s="79"/>
    </row>
    <row r="173">
      <c r="A173" s="79"/>
      <c r="B173" s="88">
        <v>2.0</v>
      </c>
      <c r="C173" s="32" t="s">
        <v>865</v>
      </c>
      <c r="D173" s="23"/>
      <c r="E173" s="33" t="s">
        <v>94</v>
      </c>
      <c r="F173" s="23"/>
      <c r="G173" s="33" t="s">
        <v>119</v>
      </c>
      <c r="H173" s="23"/>
      <c r="I173" s="33" t="s">
        <v>60</v>
      </c>
      <c r="J173" s="23"/>
      <c r="K173" s="33" t="s">
        <v>66</v>
      </c>
      <c r="L173" s="23"/>
      <c r="M173" s="33" t="s">
        <v>210</v>
      </c>
      <c r="N173" s="23"/>
      <c r="O173" s="33" t="str">
        <f>CONCAT(Level*10, " minutes
10 minutes/level")</f>
        <v>10 minutes
10 minutes/level</v>
      </c>
      <c r="P173" s="23"/>
      <c r="Q173" s="33" t="s">
        <v>62</v>
      </c>
      <c r="R173" s="23"/>
      <c r="S173" s="33" t="s">
        <v>113</v>
      </c>
      <c r="T173" s="23"/>
      <c r="U173" s="35" t="s">
        <v>866</v>
      </c>
      <c r="V173" s="10"/>
      <c r="W173" s="10"/>
      <c r="X173" s="23"/>
      <c r="Y173" s="79"/>
      <c r="Z173" s="79"/>
      <c r="AA173" s="79"/>
      <c r="AB173" s="79"/>
    </row>
    <row r="174">
      <c r="A174" s="79"/>
      <c r="B174" s="91">
        <v>3.0</v>
      </c>
      <c r="C174" s="26" t="s">
        <v>867</v>
      </c>
      <c r="D174" s="18"/>
      <c r="E174" s="27" t="s">
        <v>94</v>
      </c>
      <c r="F174" s="18"/>
      <c r="G174" s="27" t="s">
        <v>119</v>
      </c>
      <c r="H174" s="18"/>
      <c r="I174" s="27" t="s">
        <v>60</v>
      </c>
      <c r="J174" s="18"/>
      <c r="K174" s="27" t="s">
        <v>332</v>
      </c>
      <c r="L174" s="18"/>
      <c r="M174" s="27" t="s">
        <v>332</v>
      </c>
      <c r="N174" s="18"/>
      <c r="O174" s="27" t="s">
        <v>61</v>
      </c>
      <c r="P174" s="18"/>
      <c r="Q174" s="27" t="s">
        <v>62</v>
      </c>
      <c r="R174" s="18"/>
      <c r="S174" s="27" t="s">
        <v>63</v>
      </c>
      <c r="T174" s="18"/>
      <c r="U174" s="29" t="s">
        <v>868</v>
      </c>
      <c r="V174" s="4"/>
      <c r="W174" s="4"/>
      <c r="X174" s="18"/>
      <c r="Y174" s="79"/>
      <c r="Z174" s="79"/>
      <c r="AA174" s="79"/>
      <c r="AB174" s="79"/>
    </row>
    <row r="175">
      <c r="A175" s="79"/>
      <c r="B175" s="88">
        <v>4.0</v>
      </c>
      <c r="C175" s="32" t="s">
        <v>869</v>
      </c>
      <c r="D175" s="23"/>
      <c r="E175" s="33" t="s">
        <v>94</v>
      </c>
      <c r="F175" s="23"/>
      <c r="G175" s="33" t="s">
        <v>870</v>
      </c>
      <c r="H175" s="23"/>
      <c r="I175" s="33" t="s">
        <v>60</v>
      </c>
      <c r="J175" s="23"/>
      <c r="K175" s="33" t="str">
        <f>CONCAT("Close: ", CONCAT(25+(5*FLOOR(Level/2,1)), " ft"))</f>
        <v>Close: 25 ft</v>
      </c>
      <c r="L175" s="23"/>
      <c r="M175" s="33" t="str">
        <f>CONCAT("Up to ",CONCAT(Level*2," HD of plant creatures, 2 HD/level, no two of which can be more than 30 ft apart"))</f>
        <v>Up to 2 HD of plant creatures, 2 HD/level, no two of which can be more than 30 ft apart</v>
      </c>
      <c r="N175" s="23"/>
      <c r="O175" s="33" t="str">
        <f>CONCAT(Level, " day(s)
1 day/level")</f>
        <v>1 day(s)
1 day/level</v>
      </c>
      <c r="P175" s="23"/>
      <c r="Q175" s="33" t="s">
        <v>86</v>
      </c>
      <c r="R175" s="23"/>
      <c r="S175" s="33" t="s">
        <v>82</v>
      </c>
      <c r="T175" s="23"/>
      <c r="U175" s="35" t="s">
        <v>871</v>
      </c>
      <c r="V175" s="10"/>
      <c r="W175" s="10"/>
      <c r="X175" s="23"/>
      <c r="Y175" s="79"/>
      <c r="Z175" s="79"/>
      <c r="AA175" s="79"/>
      <c r="AB175" s="79"/>
    </row>
    <row r="176">
      <c r="A176" s="79"/>
      <c r="B176" s="91">
        <v>5.0</v>
      </c>
      <c r="C176" s="26" t="s">
        <v>872</v>
      </c>
      <c r="D176" s="18"/>
      <c r="E176" s="28" t="s">
        <v>183</v>
      </c>
      <c r="F176" s="18"/>
      <c r="G176" s="27" t="s">
        <v>59</v>
      </c>
      <c r="H176" s="18"/>
      <c r="I176" s="27" t="s">
        <v>60</v>
      </c>
      <c r="J176" s="18"/>
      <c r="K176" s="27" t="str">
        <f>CONCAT("Medium: ", CONCAT(100+(10*Level), " ft"))</f>
        <v>Medium: 110 ft</v>
      </c>
      <c r="L176" s="18"/>
      <c r="M176" s="27" t="str">
        <f>CONCAT("Wall of thorny brush, up to ",CONCAT(Level, " ten ft cubes, 1 per level."))</f>
        <v>Wall of thorny brush, up to 1 ten ft cubes, 1 per level.</v>
      </c>
      <c r="N176" s="18"/>
      <c r="O176" s="27" t="str">
        <f>CONCAT(Level, " minute(s) (D)
1 minute/level")</f>
        <v>1 minute(s) (D)
1 minute/level</v>
      </c>
      <c r="P176" s="18"/>
      <c r="Q176" s="27" t="s">
        <v>62</v>
      </c>
      <c r="R176" s="18"/>
      <c r="S176" s="27" t="s">
        <v>63</v>
      </c>
      <c r="T176" s="18"/>
      <c r="U176" s="29" t="s">
        <v>873</v>
      </c>
      <c r="V176" s="4"/>
      <c r="W176" s="4"/>
      <c r="X176" s="18"/>
      <c r="Y176" s="79"/>
      <c r="Z176" s="79"/>
      <c r="AA176" s="79"/>
      <c r="AB176" s="79"/>
    </row>
    <row r="177">
      <c r="A177" s="79"/>
      <c r="B177" s="88">
        <v>6.0</v>
      </c>
      <c r="C177" s="32" t="s">
        <v>874</v>
      </c>
      <c r="D177" s="23"/>
      <c r="E177" s="33" t="s">
        <v>94</v>
      </c>
      <c r="F177" s="23"/>
      <c r="G177" s="33" t="s">
        <v>59</v>
      </c>
      <c r="H177" s="23"/>
      <c r="I177" s="33" t="s">
        <v>60</v>
      </c>
      <c r="J177" s="23"/>
      <c r="K177" s="33" t="s">
        <v>73</v>
      </c>
      <c r="L177" s="23"/>
      <c r="M177" s="33" t="s">
        <v>875</v>
      </c>
      <c r="N177" s="23"/>
      <c r="O177" s="33" t="str">
        <f>CONCAT(Level, " minute(s) (D)
1 minute/level")</f>
        <v>1 minute(s) (D)
1 minute/level</v>
      </c>
      <c r="P177" s="23"/>
      <c r="Q177" s="33" t="s">
        <v>62</v>
      </c>
      <c r="R177" s="23"/>
      <c r="S177" s="33" t="s">
        <v>63</v>
      </c>
      <c r="T177" s="23"/>
      <c r="U177" s="35" t="s">
        <v>876</v>
      </c>
      <c r="V177" s="10"/>
      <c r="W177" s="10"/>
      <c r="X177" s="23"/>
      <c r="Y177" s="79"/>
      <c r="Z177" s="79"/>
      <c r="AA177" s="79"/>
      <c r="AB177" s="79"/>
    </row>
    <row r="178">
      <c r="A178" s="79"/>
      <c r="B178" s="92">
        <v>7.0</v>
      </c>
      <c r="C178" s="26" t="s">
        <v>877</v>
      </c>
      <c r="D178" s="18"/>
      <c r="E178" s="27" t="s">
        <v>94</v>
      </c>
      <c r="F178" s="18"/>
      <c r="G178" s="27" t="s">
        <v>140</v>
      </c>
      <c r="H178" s="18"/>
      <c r="I178" s="27" t="s">
        <v>60</v>
      </c>
      <c r="J178" s="18"/>
      <c r="K178" s="27" t="str">
        <f>CONCAT("Close: ", CONCAT(25+(5*FLOOR(Level/2,1)), " ft"))</f>
        <v>Close: 25 ft</v>
      </c>
      <c r="L178" s="18"/>
      <c r="M178" s="27" t="str">
        <f>CONCAT(MAX(FLOOR(Level/3,1),1)," large plant(s), 1 plant per 3 levels, or all plants within range
see text")</f>
        <v>1 large plant(s), 1 plant per 3 levels, or all plants within range
see text</v>
      </c>
      <c r="N178" s="18"/>
      <c r="O178" s="27" t="str">
        <f>CONCAT(Level, CONCAT(" round(s), 1 round/level or ",CONCAT(Level, " hours, 1 hour/level
see text")))</f>
        <v>1 round(s), 1 round/level or 1 hours, 1 hour/level
see text</v>
      </c>
      <c r="P178" s="18"/>
      <c r="Q178" s="27" t="s">
        <v>62</v>
      </c>
      <c r="R178" s="18"/>
      <c r="S178" s="27" t="s">
        <v>63</v>
      </c>
      <c r="T178" s="18"/>
      <c r="U178" s="29" t="s">
        <v>878</v>
      </c>
      <c r="V178" s="4"/>
      <c r="W178" s="4"/>
      <c r="X178" s="18"/>
      <c r="Y178" s="79"/>
      <c r="Z178" s="79"/>
      <c r="AA178" s="79"/>
      <c r="AB178" s="79"/>
    </row>
    <row r="179">
      <c r="A179" s="79"/>
      <c r="B179" s="93">
        <v>8.0</v>
      </c>
      <c r="C179" s="32" t="s">
        <v>879</v>
      </c>
      <c r="D179" s="23"/>
      <c r="E179" s="33" t="s">
        <v>94</v>
      </c>
      <c r="F179" s="23"/>
      <c r="G179" s="33" t="s">
        <v>119</v>
      </c>
      <c r="H179" s="23"/>
      <c r="I179" s="33" t="s">
        <v>60</v>
      </c>
      <c r="J179" s="23"/>
      <c r="K179" s="33" t="str">
        <f>CONCAT("Close: ", CONCAT(25+(5*FLOOR(Level/2,1)), " ft"))</f>
        <v>Close: 25 ft</v>
      </c>
      <c r="L179" s="23"/>
      <c r="M179" s="33" t="str">
        <f>CONCAT("Up to ",CONCAT(Level*2, " HD of plant creatures, 2 HD/level, all within 30 ft of each other"))</f>
        <v>Up to 2 HD of plant creatures, 2 HD/level, all within 30 ft of each other</v>
      </c>
      <c r="N179" s="23"/>
      <c r="O179" s="33" t="str">
        <f>CONCAT(Level, " minute(s)
1 minute/level")</f>
        <v>1 minute(s)
1 minute/level</v>
      </c>
      <c r="P179" s="23"/>
      <c r="Q179" s="33" t="s">
        <v>86</v>
      </c>
      <c r="R179" s="23"/>
      <c r="S179" s="33" t="s">
        <v>63</v>
      </c>
      <c r="T179" s="23"/>
      <c r="U179" s="35" t="s">
        <v>880</v>
      </c>
      <c r="V179" s="10"/>
      <c r="W179" s="10"/>
      <c r="X179" s="23"/>
      <c r="Y179" s="79"/>
      <c r="Z179" s="79"/>
      <c r="AA179" s="79"/>
      <c r="AB179" s="79"/>
    </row>
    <row r="180">
      <c r="A180" s="79"/>
      <c r="B180" s="92">
        <v>9.0</v>
      </c>
      <c r="C180" s="26" t="s">
        <v>881</v>
      </c>
      <c r="D180" s="18"/>
      <c r="E180" s="28" t="s">
        <v>183</v>
      </c>
      <c r="F180" s="18"/>
      <c r="G180" s="27" t="s">
        <v>59</v>
      </c>
      <c r="H180" s="18"/>
      <c r="I180" s="27" t="s">
        <v>60</v>
      </c>
      <c r="J180" s="18"/>
      <c r="K180" s="27" t="str">
        <f>CONCAT("Medium: ", CONCAT(100+(10*Level), " ft"))</f>
        <v>Medium: 110 ft</v>
      </c>
      <c r="L180" s="18"/>
      <c r="M180" s="27" t="s">
        <v>882</v>
      </c>
      <c r="N180" s="18"/>
      <c r="O180" s="27" t="s">
        <v>883</v>
      </c>
      <c r="P180" s="18"/>
      <c r="Q180" s="27" t="s">
        <v>62</v>
      </c>
      <c r="R180" s="18"/>
      <c r="S180" s="27" t="s">
        <v>63</v>
      </c>
      <c r="T180" s="18"/>
      <c r="U180" s="29" t="s">
        <v>884</v>
      </c>
      <c r="V180" s="4"/>
      <c r="W180" s="4"/>
      <c r="X180" s="18"/>
      <c r="Y180" s="79"/>
      <c r="Z180" s="79"/>
      <c r="AA180" s="79"/>
      <c r="AB180" s="79"/>
    </row>
    <row r="181">
      <c r="A181" s="79"/>
      <c r="B181" s="84"/>
      <c r="C181" s="84"/>
      <c r="D181" s="84"/>
      <c r="E181" s="85"/>
      <c r="F181" s="85"/>
      <c r="G181" s="72"/>
      <c r="H181" s="72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6"/>
      <c r="V181" s="86"/>
      <c r="W181" s="86"/>
      <c r="X181" s="86"/>
      <c r="Y181" s="79"/>
      <c r="Z181" s="79"/>
      <c r="AA181" s="79"/>
      <c r="AB181" s="79"/>
    </row>
    <row r="182">
      <c r="A182" s="79"/>
      <c r="B182" s="87" t="s">
        <v>885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18"/>
      <c r="Y182" s="79"/>
      <c r="Z182" s="79"/>
      <c r="AA182" s="79"/>
      <c r="AB182" s="79"/>
    </row>
    <row r="183">
      <c r="A183" s="79"/>
      <c r="B183" s="88" t="s">
        <v>1</v>
      </c>
      <c r="C183" s="89" t="s">
        <v>15</v>
      </c>
      <c r="D183" s="23"/>
      <c r="E183" s="89" t="s">
        <v>18</v>
      </c>
      <c r="F183" s="23"/>
      <c r="G183" s="89" t="s">
        <v>19</v>
      </c>
      <c r="H183" s="23"/>
      <c r="I183" s="89" t="s">
        <v>20</v>
      </c>
      <c r="J183" s="23"/>
      <c r="K183" s="89" t="s">
        <v>21</v>
      </c>
      <c r="L183" s="23"/>
      <c r="M183" s="89" t="s">
        <v>22</v>
      </c>
      <c r="N183" s="23"/>
      <c r="O183" s="89" t="s">
        <v>23</v>
      </c>
      <c r="P183" s="23"/>
      <c r="Q183" s="89" t="s">
        <v>24</v>
      </c>
      <c r="R183" s="23"/>
      <c r="S183" s="89" t="s">
        <v>25</v>
      </c>
      <c r="T183" s="23"/>
      <c r="U183" s="89" t="s">
        <v>26</v>
      </c>
      <c r="V183" s="10"/>
      <c r="W183" s="10"/>
      <c r="X183" s="23"/>
      <c r="Y183" s="79"/>
      <c r="Z183" s="79"/>
      <c r="AA183" s="79"/>
      <c r="AB183" s="79"/>
    </row>
    <row r="184">
      <c r="A184" s="79"/>
      <c r="B184" s="91">
        <v>1.0</v>
      </c>
      <c r="C184" s="26" t="s">
        <v>199</v>
      </c>
      <c r="D184" s="18"/>
      <c r="E184" s="27" t="s">
        <v>110</v>
      </c>
      <c r="F184" s="18"/>
      <c r="G184" s="27" t="s">
        <v>119</v>
      </c>
      <c r="H184" s="18"/>
      <c r="I184" s="27" t="s">
        <v>60</v>
      </c>
      <c r="J184" s="18"/>
      <c r="K184" s="27" t="s">
        <v>66</v>
      </c>
      <c r="L184" s="18"/>
      <c r="M184" s="27" t="s">
        <v>166</v>
      </c>
      <c r="N184" s="18"/>
      <c r="O184" s="27" t="str">
        <f>Level&amp;" round(s)
1 round/level"</f>
        <v>1 round(s)
1 round/level</v>
      </c>
      <c r="P184" s="18"/>
      <c r="Q184" s="27" t="s">
        <v>86</v>
      </c>
      <c r="R184" s="18"/>
      <c r="S184" s="27" t="s">
        <v>63</v>
      </c>
      <c r="T184" s="18"/>
      <c r="U184" s="29" t="s">
        <v>200</v>
      </c>
      <c r="V184" s="4"/>
      <c r="W184" s="4"/>
      <c r="X184" s="18"/>
      <c r="Y184" s="79"/>
      <c r="Z184" s="79"/>
      <c r="AA184" s="79"/>
      <c r="AB184" s="79"/>
    </row>
    <row r="185">
      <c r="A185" s="79"/>
      <c r="B185" s="88">
        <v>2.0</v>
      </c>
      <c r="C185" s="32" t="s">
        <v>275</v>
      </c>
      <c r="D185" s="23"/>
      <c r="E185" s="33" t="s">
        <v>110</v>
      </c>
      <c r="F185" s="23"/>
      <c r="G185" s="33" t="s">
        <v>276</v>
      </c>
      <c r="H185" s="23"/>
      <c r="I185" s="33" t="s">
        <v>60</v>
      </c>
      <c r="J185" s="23"/>
      <c r="K185" s="33" t="str">
        <f>close</f>
        <v>Close: 25 ft</v>
      </c>
      <c r="L185" s="23"/>
      <c r="M185" s="33" t="s">
        <v>277</v>
      </c>
      <c r="N185" s="23"/>
      <c r="O185" s="33" t="str">
        <f>Level&amp;" hour(s)
1 hour/level"</f>
        <v>1 hour(s)
1 hour/level</v>
      </c>
      <c r="P185" s="23"/>
      <c r="Q185" s="33" t="s">
        <v>81</v>
      </c>
      <c r="R185" s="23"/>
      <c r="S185" s="33" t="s">
        <v>113</v>
      </c>
      <c r="T185" s="23"/>
      <c r="U185" s="35" t="s">
        <v>278</v>
      </c>
      <c r="V185" s="10"/>
      <c r="W185" s="10"/>
      <c r="X185" s="23"/>
      <c r="Y185" s="79"/>
      <c r="Z185" s="79"/>
      <c r="AA185" s="79"/>
      <c r="AB185" s="79"/>
    </row>
    <row r="186">
      <c r="A186" s="79"/>
      <c r="B186" s="91">
        <v>3.0</v>
      </c>
      <c r="C186" s="26" t="s">
        <v>360</v>
      </c>
      <c r="D186" s="18"/>
      <c r="E186" s="27" t="s">
        <v>110</v>
      </c>
      <c r="F186" s="18"/>
      <c r="G186" s="27" t="s">
        <v>119</v>
      </c>
      <c r="H186" s="18"/>
      <c r="I186" s="27" t="s">
        <v>60</v>
      </c>
      <c r="J186" s="18"/>
      <c r="K186" s="27" t="s">
        <v>66</v>
      </c>
      <c r="L186" s="18"/>
      <c r="M186" s="27" t="s">
        <v>166</v>
      </c>
      <c r="N186" s="18"/>
      <c r="O186" s="27" t="str">
        <f>CONCAT(Level*10, " minutes or until discharged
10 minutes/level")</f>
        <v>10 minutes or until discharged
10 minutes/level</v>
      </c>
      <c r="P186" s="18"/>
      <c r="Q186" s="27" t="s">
        <v>239</v>
      </c>
      <c r="R186" s="18"/>
      <c r="S186" s="27" t="s">
        <v>113</v>
      </c>
      <c r="T186" s="18"/>
      <c r="U186" s="29" t="str">
        <f>CONCAT("Absorb ",CONCAT(MIN(Level*12, 120)," points of damage from one kind of energy, 12 points/level"))</f>
        <v>Absorb 12 points of damage from one kind of energy, 12 points/level</v>
      </c>
      <c r="V186" s="4"/>
      <c r="W186" s="4"/>
      <c r="X186" s="18"/>
      <c r="Y186" s="79"/>
      <c r="Z186" s="79"/>
      <c r="AA186" s="79"/>
      <c r="AB186" s="79"/>
    </row>
    <row r="187">
      <c r="A187" s="79"/>
      <c r="B187" s="88">
        <v>4.0</v>
      </c>
      <c r="C187" s="32" t="s">
        <v>442</v>
      </c>
      <c r="D187" s="23"/>
      <c r="E187" s="33" t="s">
        <v>110</v>
      </c>
      <c r="F187" s="23"/>
      <c r="G187" s="33" t="s">
        <v>119</v>
      </c>
      <c r="H187" s="23"/>
      <c r="I187" s="33" t="s">
        <v>60</v>
      </c>
      <c r="J187" s="23"/>
      <c r="K187" s="33" t="s">
        <v>66</v>
      </c>
      <c r="L187" s="23"/>
      <c r="M187" s="33" t="s">
        <v>166</v>
      </c>
      <c r="N187" s="23"/>
      <c r="O187" s="33" t="str">
        <f>CONCAT(Level*10, " minutes
10 minutes/level")</f>
        <v>10 minutes
10 minutes/level</v>
      </c>
      <c r="P187" s="23"/>
      <c r="Q187" s="33" t="s">
        <v>81</v>
      </c>
      <c r="R187" s="23"/>
      <c r="S187" s="33" t="s">
        <v>113</v>
      </c>
      <c r="T187" s="23"/>
      <c r="U187" s="35" t="str">
        <f>"Subject is immune to "&amp;MAX(FLOOR(Level/4,1),1)&amp;" spell, 1 spell per 4 levels"</f>
        <v>Subject is immune to 1 spell, 1 spell per 4 levels</v>
      </c>
      <c r="V187" s="10"/>
      <c r="W187" s="10"/>
      <c r="X187" s="23"/>
      <c r="Y187" s="79"/>
      <c r="Z187" s="79"/>
      <c r="AA187" s="79"/>
      <c r="AB187" s="79"/>
    </row>
    <row r="188">
      <c r="A188" s="79"/>
      <c r="B188" s="91">
        <v>5.0</v>
      </c>
      <c r="C188" s="26" t="s">
        <v>25</v>
      </c>
      <c r="D188" s="18"/>
      <c r="E188" s="27" t="s">
        <v>110</v>
      </c>
      <c r="F188" s="18"/>
      <c r="G188" s="27" t="s">
        <v>119</v>
      </c>
      <c r="H188" s="18"/>
      <c r="I188" s="27" t="s">
        <v>60</v>
      </c>
      <c r="J188" s="18"/>
      <c r="K188" s="27" t="s">
        <v>66</v>
      </c>
      <c r="L188" s="18"/>
      <c r="M188" s="27" t="s">
        <v>166</v>
      </c>
      <c r="N188" s="18"/>
      <c r="O188" s="27" t="str">
        <f>CONCAT(Level, " minute(s)
1 minute/level")</f>
        <v>1 minute(s)
1 minute/level</v>
      </c>
      <c r="P188" s="18"/>
      <c r="Q188" s="27" t="s">
        <v>81</v>
      </c>
      <c r="R188" s="18"/>
      <c r="S188" s="27" t="s">
        <v>113</v>
      </c>
      <c r="T188" s="18"/>
      <c r="U188" s="29" t="str">
        <f>"Subject gains SR "&amp;Level+12&amp;", 12 + level"</f>
        <v>Subject gains SR 13, 12 + level</v>
      </c>
      <c r="V188" s="4"/>
      <c r="W188" s="4"/>
      <c r="X188" s="18"/>
      <c r="Y188" s="79"/>
      <c r="Z188" s="79"/>
      <c r="AA188" s="79"/>
      <c r="AB188" s="79"/>
    </row>
    <row r="189">
      <c r="A189" s="79"/>
      <c r="B189" s="88">
        <v>6.0</v>
      </c>
      <c r="C189" s="32" t="s">
        <v>636</v>
      </c>
      <c r="D189" s="23"/>
      <c r="E189" s="33" t="s">
        <v>110</v>
      </c>
      <c r="F189" s="23"/>
      <c r="G189" s="33" t="s">
        <v>119</v>
      </c>
      <c r="H189" s="23"/>
      <c r="I189" s="33" t="s">
        <v>60</v>
      </c>
      <c r="J189" s="23"/>
      <c r="K189" s="33" t="s">
        <v>95</v>
      </c>
      <c r="L189" s="23"/>
      <c r="M189" s="33" t="s">
        <v>637</v>
      </c>
      <c r="N189" s="23"/>
      <c r="O189" s="33" t="str">
        <f>Level*10&amp;" minutes (D)
10 minutes/level"</f>
        <v>10 minutes (D)
10 minutes/level</v>
      </c>
      <c r="P189" s="23"/>
      <c r="Q189" s="33" t="s">
        <v>62</v>
      </c>
      <c r="R189" s="23"/>
      <c r="S189" s="33" t="s">
        <v>332</v>
      </c>
      <c r="T189" s="23"/>
      <c r="U189" s="35" t="s">
        <v>638</v>
      </c>
      <c r="V189" s="10"/>
      <c r="W189" s="10"/>
      <c r="X189" s="23"/>
      <c r="Y189" s="79"/>
      <c r="Z189" s="79"/>
      <c r="AA189" s="79"/>
      <c r="AB189" s="79"/>
    </row>
    <row r="190">
      <c r="A190" s="79"/>
      <c r="B190" s="92">
        <v>7.0</v>
      </c>
      <c r="C190" s="26" t="s">
        <v>616</v>
      </c>
      <c r="D190" s="18"/>
      <c r="E190" s="27" t="s">
        <v>110</v>
      </c>
      <c r="F190" s="18"/>
      <c r="G190" s="27" t="s">
        <v>119</v>
      </c>
      <c r="H190" s="18"/>
      <c r="I190" s="27" t="s">
        <v>60</v>
      </c>
      <c r="J190" s="18"/>
      <c r="K190" s="27" t="str">
        <f>"Up to "&amp;Level*10&amp;" ft
10 ft/level"</f>
        <v>Up to 10 ft
10 ft/level</v>
      </c>
      <c r="L190" s="18"/>
      <c r="M190" s="27" t="str">
        <f>"Up to "&amp;Level*10&amp;" ft radius emanation centered on you, 10 ft/level"</f>
        <v>Up to 10 ft radius emanation centered on you, 10 ft/level</v>
      </c>
      <c r="N190" s="18"/>
      <c r="O190" s="27" t="str">
        <f>CONCAT(Level, " round(s) (D)
1 round/level")</f>
        <v>1 round(s) (D)
1 round/level</v>
      </c>
      <c r="P190" s="18"/>
      <c r="Q190" s="27" t="s">
        <v>86</v>
      </c>
      <c r="R190" s="18"/>
      <c r="S190" s="27" t="s">
        <v>82</v>
      </c>
      <c r="T190" s="18"/>
      <c r="U190" s="29" t="s">
        <v>618</v>
      </c>
      <c r="V190" s="4"/>
      <c r="W190" s="4"/>
      <c r="X190" s="18"/>
      <c r="Y190" s="79"/>
      <c r="Z190" s="79"/>
      <c r="AA190" s="79"/>
      <c r="AB190" s="79"/>
    </row>
    <row r="191">
      <c r="A191" s="79"/>
      <c r="B191" s="93">
        <v>8.0</v>
      </c>
      <c r="C191" s="32" t="s">
        <v>886</v>
      </c>
      <c r="D191" s="23"/>
      <c r="E191" s="33" t="s">
        <v>110</v>
      </c>
      <c r="F191" s="23"/>
      <c r="G191" s="33" t="s">
        <v>59</v>
      </c>
      <c r="H191" s="23"/>
      <c r="I191" s="33" t="s">
        <v>60</v>
      </c>
      <c r="J191" s="23"/>
      <c r="K191" s="33" t="str">
        <f>close</f>
        <v>Close: 25 ft</v>
      </c>
      <c r="L191" s="23"/>
      <c r="M191" s="33" t="s">
        <v>277</v>
      </c>
      <c r="N191" s="23"/>
      <c r="O191" s="33" t="s">
        <v>167</v>
      </c>
      <c r="P191" s="23"/>
      <c r="Q191" s="33" t="s">
        <v>81</v>
      </c>
      <c r="R191" s="23"/>
      <c r="S191" s="33" t="s">
        <v>113</v>
      </c>
      <c r="T191" s="23"/>
      <c r="U191" s="35" t="s">
        <v>887</v>
      </c>
      <c r="V191" s="10"/>
      <c r="W191" s="10"/>
      <c r="X191" s="23"/>
      <c r="Y191" s="79"/>
      <c r="Z191" s="79"/>
      <c r="AA191" s="79"/>
      <c r="AB191" s="79"/>
    </row>
    <row r="192">
      <c r="A192" s="79"/>
      <c r="B192" s="92">
        <v>9.0</v>
      </c>
      <c r="C192" s="26" t="s">
        <v>888</v>
      </c>
      <c r="D192" s="18"/>
      <c r="E192" s="27" t="s">
        <v>110</v>
      </c>
      <c r="F192" s="18"/>
      <c r="G192" s="27" t="s">
        <v>140</v>
      </c>
      <c r="H192" s="18"/>
      <c r="I192" s="27" t="s">
        <v>60</v>
      </c>
      <c r="J192" s="18"/>
      <c r="K192" s="27" t="s">
        <v>95</v>
      </c>
      <c r="L192" s="18"/>
      <c r="M192" s="27" t="s">
        <v>889</v>
      </c>
      <c r="N192" s="18"/>
      <c r="O192" s="27" t="str">
        <f>Level*10&amp;" minutes (D)
10 minutes/level"</f>
        <v>10 minutes (D)
10 minutes/level</v>
      </c>
      <c r="P192" s="18"/>
      <c r="Q192" s="27" t="s">
        <v>332</v>
      </c>
      <c r="R192" s="18"/>
      <c r="S192" s="27" t="s">
        <v>332</v>
      </c>
      <c r="T192" s="18"/>
      <c r="U192" s="29" t="s">
        <v>890</v>
      </c>
      <c r="V192" s="4"/>
      <c r="W192" s="4"/>
      <c r="X192" s="18"/>
      <c r="Y192" s="79"/>
      <c r="Z192" s="79"/>
      <c r="AA192" s="79"/>
      <c r="AB192" s="79"/>
    </row>
    <row r="193">
      <c r="A193" s="79"/>
      <c r="B193" s="84"/>
      <c r="C193" s="84"/>
      <c r="D193" s="84"/>
      <c r="E193" s="85"/>
      <c r="F193" s="85"/>
      <c r="G193" s="72"/>
      <c r="H193" s="72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6"/>
      <c r="V193" s="86"/>
      <c r="W193" s="86"/>
      <c r="X193" s="86"/>
      <c r="Y193" s="79"/>
      <c r="Z193" s="79"/>
      <c r="AA193" s="79"/>
      <c r="AB193" s="79"/>
    </row>
    <row r="194">
      <c r="A194" s="79"/>
      <c r="B194" s="87" t="s">
        <v>891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18"/>
      <c r="Y194" s="79"/>
      <c r="Z194" s="79"/>
      <c r="AA194" s="79"/>
      <c r="AB194" s="79"/>
    </row>
    <row r="195">
      <c r="A195" s="79"/>
      <c r="B195" s="88" t="s">
        <v>1</v>
      </c>
      <c r="C195" s="89" t="s">
        <v>15</v>
      </c>
      <c r="D195" s="23"/>
      <c r="E195" s="89" t="s">
        <v>18</v>
      </c>
      <c r="F195" s="23"/>
      <c r="G195" s="89" t="s">
        <v>19</v>
      </c>
      <c r="H195" s="23"/>
      <c r="I195" s="89" t="s">
        <v>20</v>
      </c>
      <c r="J195" s="23"/>
      <c r="K195" s="89" t="s">
        <v>21</v>
      </c>
      <c r="L195" s="23"/>
      <c r="M195" s="89" t="s">
        <v>22</v>
      </c>
      <c r="N195" s="23"/>
      <c r="O195" s="89" t="s">
        <v>23</v>
      </c>
      <c r="P195" s="23"/>
      <c r="Q195" s="89" t="s">
        <v>24</v>
      </c>
      <c r="R195" s="23"/>
      <c r="S195" s="89" t="s">
        <v>25</v>
      </c>
      <c r="T195" s="23"/>
      <c r="U195" s="89" t="s">
        <v>26</v>
      </c>
      <c r="V195" s="10"/>
      <c r="W195" s="10"/>
      <c r="X195" s="23"/>
      <c r="Y195" s="79"/>
      <c r="Z195" s="79"/>
      <c r="AA195" s="79"/>
      <c r="AB195" s="79"/>
    </row>
    <row r="196">
      <c r="A196" s="79"/>
      <c r="B196" s="91">
        <v>1.0</v>
      </c>
      <c r="C196" s="26" t="s">
        <v>892</v>
      </c>
      <c r="D196" s="18"/>
      <c r="E196" s="27" t="s">
        <v>94</v>
      </c>
      <c r="F196" s="18"/>
      <c r="G196" s="27" t="s">
        <v>202</v>
      </c>
      <c r="H196" s="18"/>
      <c r="I196" s="27" t="s">
        <v>142</v>
      </c>
      <c r="J196" s="18"/>
      <c r="K196" s="27" t="str">
        <f>close</f>
        <v>Close: 25 ft</v>
      </c>
      <c r="L196" s="18"/>
      <c r="M196" s="27" t="s">
        <v>257</v>
      </c>
      <c r="N196" s="18"/>
      <c r="O196" s="27" t="str">
        <f>Level&amp;" minute(s) (D)
1 minute/level"</f>
        <v>1 minute(s) (D)
1 minute/level</v>
      </c>
      <c r="P196" s="18"/>
      <c r="Q196" s="27" t="s">
        <v>310</v>
      </c>
      <c r="R196" s="18"/>
      <c r="S196" s="27" t="s">
        <v>82</v>
      </c>
      <c r="T196" s="18"/>
      <c r="U196" s="29" t="s">
        <v>893</v>
      </c>
      <c r="V196" s="4"/>
      <c r="W196" s="4"/>
      <c r="X196" s="18"/>
      <c r="Y196" s="79"/>
      <c r="Z196" s="79"/>
      <c r="AA196" s="79"/>
      <c r="AB196" s="79"/>
    </row>
    <row r="197">
      <c r="A197" s="79"/>
      <c r="B197" s="88">
        <v>2.0</v>
      </c>
      <c r="C197" s="32" t="s">
        <v>219</v>
      </c>
      <c r="D197" s="23"/>
      <c r="E197" s="33" t="s">
        <v>94</v>
      </c>
      <c r="F197" s="23"/>
      <c r="G197" s="33" t="s">
        <v>111</v>
      </c>
      <c r="H197" s="23"/>
      <c r="I197" s="33" t="s">
        <v>60</v>
      </c>
      <c r="J197" s="23"/>
      <c r="K197" s="33" t="s">
        <v>66</v>
      </c>
      <c r="L197" s="23"/>
      <c r="M197" s="33" t="s">
        <v>166</v>
      </c>
      <c r="N197" s="23"/>
      <c r="O197" s="33" t="str">
        <f>CONCAT(Level, " minute(s)
1 minute/level")</f>
        <v>1 minute(s)
1 minute/level</v>
      </c>
      <c r="P197" s="23"/>
      <c r="Q197" s="33" t="s">
        <v>81</v>
      </c>
      <c r="R197" s="23"/>
      <c r="S197" s="33" t="s">
        <v>113</v>
      </c>
      <c r="T197" s="23"/>
      <c r="U197" s="35" t="str">
        <f>CONCAT("Subject gains +4 to Str for ",CONCAT(Level," minute(s), 1 minute/level"))</f>
        <v>Subject gains +4 to Str for 1 minute(s), 1 minute/level</v>
      </c>
      <c r="V197" s="10"/>
      <c r="W197" s="10"/>
      <c r="X197" s="23"/>
      <c r="Y197" s="79"/>
      <c r="Z197" s="79"/>
      <c r="AA197" s="79"/>
      <c r="AB197" s="79"/>
    </row>
    <row r="198">
      <c r="A198" s="79"/>
      <c r="B198" s="91">
        <v>3.0</v>
      </c>
      <c r="C198" s="26" t="s">
        <v>348</v>
      </c>
      <c r="D198" s="18"/>
      <c r="E198" s="27" t="s">
        <v>94</v>
      </c>
      <c r="F198" s="18"/>
      <c r="G198" s="27" t="s">
        <v>119</v>
      </c>
      <c r="H198" s="18"/>
      <c r="I198" s="27" t="s">
        <v>60</v>
      </c>
      <c r="J198" s="18"/>
      <c r="K198" s="27" t="s">
        <v>66</v>
      </c>
      <c r="L198" s="18"/>
      <c r="M198" s="27" t="s">
        <v>349</v>
      </c>
      <c r="N198" s="18"/>
      <c r="O198" s="27" t="str">
        <f>Level&amp;" hour(s)
1 hour/level"</f>
        <v>1 hour(s)
1 hour/level</v>
      </c>
      <c r="P198" s="18"/>
      <c r="Q198" s="27" t="s">
        <v>97</v>
      </c>
      <c r="R198" s="18"/>
      <c r="S198" s="27" t="s">
        <v>98</v>
      </c>
      <c r="T198" s="18"/>
      <c r="U198" s="29" t="str">
        <f>"Armor or shield gains +"&amp;MAX(FLOOR(Level/4,1),1)&amp;" enhancement bonus, +1 per four levels"</f>
        <v>Armor or shield gains +1 enhancement bonus, +1 per four levels</v>
      </c>
      <c r="V198" s="4"/>
      <c r="W198" s="4"/>
      <c r="X198" s="18"/>
      <c r="Y198" s="79"/>
      <c r="Z198" s="79"/>
      <c r="AA198" s="79"/>
      <c r="AB198" s="79"/>
    </row>
    <row r="199">
      <c r="A199" s="79"/>
      <c r="B199" s="88">
        <v>4.0</v>
      </c>
      <c r="C199" s="32" t="s">
        <v>442</v>
      </c>
      <c r="D199" s="23"/>
      <c r="E199" s="33" t="s">
        <v>110</v>
      </c>
      <c r="F199" s="23"/>
      <c r="G199" s="33" t="s">
        <v>119</v>
      </c>
      <c r="H199" s="23"/>
      <c r="I199" s="33" t="s">
        <v>60</v>
      </c>
      <c r="J199" s="23"/>
      <c r="K199" s="33" t="s">
        <v>66</v>
      </c>
      <c r="L199" s="23"/>
      <c r="M199" s="33" t="s">
        <v>166</v>
      </c>
      <c r="N199" s="23"/>
      <c r="O199" s="33" t="str">
        <f>CONCAT(Level*10, " minutes
10 minutes/level")</f>
        <v>10 minutes
10 minutes/level</v>
      </c>
      <c r="P199" s="23"/>
      <c r="Q199" s="33" t="s">
        <v>81</v>
      </c>
      <c r="R199" s="23"/>
      <c r="S199" s="33" t="s">
        <v>113</v>
      </c>
      <c r="T199" s="23"/>
      <c r="U199" s="35" t="str">
        <f>"Subject is immune to "&amp;MAX(FLOOR(Level/4,1),1)&amp;" spell(s), 1 spell per 4 levels"</f>
        <v>Subject is immune to 1 spell(s), 1 spell per 4 levels</v>
      </c>
      <c r="V199" s="10"/>
      <c r="W199" s="10"/>
      <c r="X199" s="23"/>
      <c r="Y199" s="79"/>
      <c r="Z199" s="79"/>
      <c r="AA199" s="79"/>
      <c r="AB199" s="79"/>
    </row>
    <row r="200">
      <c r="A200" s="79"/>
      <c r="B200" s="91">
        <v>5.0</v>
      </c>
      <c r="C200" s="26" t="s">
        <v>493</v>
      </c>
      <c r="D200" s="18"/>
      <c r="E200" s="27" t="s">
        <v>94</v>
      </c>
      <c r="F200" s="18"/>
      <c r="G200" s="27" t="s">
        <v>119</v>
      </c>
      <c r="H200" s="18"/>
      <c r="I200" s="27" t="s">
        <v>60</v>
      </c>
      <c r="J200" s="18"/>
      <c r="K200" s="27" t="s">
        <v>105</v>
      </c>
      <c r="L200" s="18"/>
      <c r="M200" s="27" t="s">
        <v>106</v>
      </c>
      <c r="N200" s="18"/>
      <c r="O200" s="27" t="str">
        <f>Level&amp;" round(s) (D)
1 round/level"</f>
        <v>1 round(s) (D)
1 round/level</v>
      </c>
      <c r="P200" s="18"/>
      <c r="Q200" s="27" t="s">
        <v>107</v>
      </c>
      <c r="R200" s="18"/>
      <c r="S200" s="27" t="s">
        <v>107</v>
      </c>
      <c r="T200" s="18"/>
      <c r="U200" s="29" t="s">
        <v>494</v>
      </c>
      <c r="V200" s="4"/>
      <c r="W200" s="4"/>
      <c r="X200" s="18"/>
      <c r="Y200" s="79"/>
      <c r="Z200" s="79"/>
      <c r="AA200" s="79"/>
      <c r="AB200" s="79"/>
    </row>
    <row r="201">
      <c r="A201" s="79"/>
      <c r="B201" s="88">
        <v>6.0</v>
      </c>
      <c r="C201" s="32" t="s">
        <v>770</v>
      </c>
      <c r="D201" s="23"/>
      <c r="E201" s="33" t="s">
        <v>110</v>
      </c>
      <c r="F201" s="23"/>
      <c r="G201" s="33" t="s">
        <v>512</v>
      </c>
      <c r="H201" s="23"/>
      <c r="I201" s="33" t="s">
        <v>60</v>
      </c>
      <c r="J201" s="23"/>
      <c r="K201" s="33" t="s">
        <v>66</v>
      </c>
      <c r="L201" s="23"/>
      <c r="M201" s="33" t="s">
        <v>166</v>
      </c>
      <c r="N201" s="23"/>
      <c r="O201" s="33" t="str">
        <f>CONCAT(Level, " minute(s) or until discharged
1 minute/level")</f>
        <v>1 minute(s) or until discharged
1 minute/level</v>
      </c>
      <c r="P201" s="23"/>
      <c r="Q201" s="33" t="s">
        <v>81</v>
      </c>
      <c r="R201" s="23"/>
      <c r="S201" s="33" t="s">
        <v>113</v>
      </c>
      <c r="T201" s="23"/>
      <c r="U201" s="35" t="s">
        <v>771</v>
      </c>
      <c r="V201" s="10"/>
      <c r="W201" s="10"/>
      <c r="X201" s="23"/>
      <c r="Y201" s="79"/>
      <c r="Z201" s="79"/>
      <c r="AA201" s="79"/>
      <c r="AB201" s="79"/>
    </row>
    <row r="202">
      <c r="A202" s="79"/>
      <c r="B202" s="92">
        <v>7.0</v>
      </c>
      <c r="C202" s="26" t="s">
        <v>894</v>
      </c>
      <c r="D202" s="18"/>
      <c r="E202" s="28" t="s">
        <v>290</v>
      </c>
      <c r="F202" s="18"/>
      <c r="G202" s="27" t="s">
        <v>104</v>
      </c>
      <c r="H202" s="18"/>
      <c r="I202" s="27" t="s">
        <v>60</v>
      </c>
      <c r="J202" s="18"/>
      <c r="K202" s="27" t="str">
        <f>medium</f>
        <v>Medium: 110 ft</v>
      </c>
      <c r="L202" s="18"/>
      <c r="M202" s="27" t="s">
        <v>895</v>
      </c>
      <c r="N202" s="18"/>
      <c r="O202" s="27" t="str">
        <f>Level&amp;" round(s) (D)
1 round/level"</f>
        <v>1 round(s) (D)
1 round/level</v>
      </c>
      <c r="P202" s="18"/>
      <c r="Q202" s="27" t="s">
        <v>62</v>
      </c>
      <c r="R202" s="18"/>
      <c r="S202" s="27" t="s">
        <v>82</v>
      </c>
      <c r="T202" s="18"/>
      <c r="U202" s="29" t="s">
        <v>896</v>
      </c>
      <c r="V202" s="4"/>
      <c r="W202" s="4"/>
      <c r="X202" s="18"/>
      <c r="Y202" s="79"/>
      <c r="Z202" s="79"/>
      <c r="AA202" s="79"/>
      <c r="AB202" s="79"/>
    </row>
    <row r="203">
      <c r="A203" s="79"/>
      <c r="B203" s="93">
        <v>8.0</v>
      </c>
      <c r="C203" s="32" t="s">
        <v>897</v>
      </c>
      <c r="D203" s="23"/>
      <c r="E203" s="34" t="s">
        <v>290</v>
      </c>
      <c r="F203" s="23"/>
      <c r="G203" s="33" t="s">
        <v>104</v>
      </c>
      <c r="H203" s="23"/>
      <c r="I203" s="33" t="s">
        <v>60</v>
      </c>
      <c r="J203" s="23"/>
      <c r="K203" s="33" t="str">
        <f>medium</f>
        <v>Medium: 110 ft</v>
      </c>
      <c r="L203" s="23"/>
      <c r="M203" s="33" t="s">
        <v>895</v>
      </c>
      <c r="N203" s="23"/>
      <c r="O203" s="33" t="str">
        <f>Level&amp;" round(s) (D)
1 round/level"</f>
        <v>1 round(s) (D)
1 round/level</v>
      </c>
      <c r="P203" s="23"/>
      <c r="Q203" s="33" t="s">
        <v>62</v>
      </c>
      <c r="R203" s="23"/>
      <c r="S203" s="33" t="s">
        <v>82</v>
      </c>
      <c r="T203" s="23"/>
      <c r="U203" s="35" t="s">
        <v>898</v>
      </c>
      <c r="V203" s="10"/>
      <c r="W203" s="10"/>
      <c r="X203" s="23"/>
      <c r="Y203" s="79"/>
      <c r="Z203" s="79"/>
      <c r="AA203" s="79"/>
      <c r="AB203" s="79"/>
    </row>
    <row r="204">
      <c r="A204" s="79"/>
      <c r="B204" s="92">
        <v>9.0</v>
      </c>
      <c r="C204" s="26" t="s">
        <v>899</v>
      </c>
      <c r="D204" s="18"/>
      <c r="E204" s="28" t="s">
        <v>290</v>
      </c>
      <c r="F204" s="18"/>
      <c r="G204" s="27" t="s">
        <v>900</v>
      </c>
      <c r="H204" s="18"/>
      <c r="I204" s="27" t="s">
        <v>60</v>
      </c>
      <c r="J204" s="18"/>
      <c r="K204" s="27" t="str">
        <f>medium</f>
        <v>Medium: 110 ft</v>
      </c>
      <c r="L204" s="18"/>
      <c r="M204" s="27" t="s">
        <v>895</v>
      </c>
      <c r="N204" s="18"/>
      <c r="O204" s="27" t="str">
        <f>Level&amp;" round(s) (D)
1 round/level"</f>
        <v>1 round(s) (D)
1 round/level</v>
      </c>
      <c r="P204" s="18"/>
      <c r="Q204" s="27" t="s">
        <v>62</v>
      </c>
      <c r="R204" s="18"/>
      <c r="S204" s="27" t="s">
        <v>82</v>
      </c>
      <c r="T204" s="18"/>
      <c r="U204" s="29" t="s">
        <v>901</v>
      </c>
      <c r="V204" s="4"/>
      <c r="W204" s="4"/>
      <c r="X204" s="18"/>
      <c r="Y204" s="79"/>
      <c r="Z204" s="79"/>
      <c r="AA204" s="79"/>
      <c r="AB204" s="79"/>
    </row>
    <row r="205">
      <c r="A205" s="79"/>
      <c r="B205" s="84"/>
      <c r="C205" s="84"/>
      <c r="D205" s="84"/>
      <c r="E205" s="85"/>
      <c r="F205" s="85"/>
      <c r="G205" s="72"/>
      <c r="H205" s="72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6"/>
      <c r="V205" s="86"/>
      <c r="W205" s="86"/>
      <c r="X205" s="86"/>
      <c r="Y205" s="79"/>
      <c r="Z205" s="79"/>
      <c r="AA205" s="79"/>
      <c r="AB205" s="79"/>
    </row>
    <row r="206">
      <c r="A206" s="79"/>
      <c r="B206" s="87" t="s">
        <v>902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18"/>
      <c r="Y206" s="79"/>
      <c r="Z206" s="79"/>
      <c r="AA206" s="79"/>
      <c r="AB206" s="79"/>
    </row>
    <row r="207">
      <c r="A207" s="79"/>
      <c r="B207" s="88" t="s">
        <v>1</v>
      </c>
      <c r="C207" s="89" t="s">
        <v>15</v>
      </c>
      <c r="D207" s="23"/>
      <c r="E207" s="89" t="s">
        <v>18</v>
      </c>
      <c r="F207" s="23"/>
      <c r="G207" s="89" t="s">
        <v>19</v>
      </c>
      <c r="H207" s="23"/>
      <c r="I207" s="89" t="s">
        <v>20</v>
      </c>
      <c r="J207" s="23"/>
      <c r="K207" s="89" t="s">
        <v>21</v>
      </c>
      <c r="L207" s="23"/>
      <c r="M207" s="89" t="s">
        <v>22</v>
      </c>
      <c r="N207" s="23"/>
      <c r="O207" s="89" t="s">
        <v>23</v>
      </c>
      <c r="P207" s="23"/>
      <c r="Q207" s="89" t="s">
        <v>24</v>
      </c>
      <c r="R207" s="23"/>
      <c r="S207" s="89" t="s">
        <v>25</v>
      </c>
      <c r="T207" s="23"/>
      <c r="U207" s="89" t="s">
        <v>26</v>
      </c>
      <c r="V207" s="10"/>
      <c r="W207" s="10"/>
      <c r="X207" s="23"/>
      <c r="Y207" s="79"/>
      <c r="Z207" s="79"/>
      <c r="AA207" s="79"/>
      <c r="AB207" s="79"/>
    </row>
    <row r="208">
      <c r="A208" s="79"/>
      <c r="B208" s="91">
        <v>1.0</v>
      </c>
      <c r="C208" s="26" t="s">
        <v>165</v>
      </c>
      <c r="D208" s="18"/>
      <c r="E208" s="27" t="s">
        <v>110</v>
      </c>
      <c r="F208" s="18"/>
      <c r="G208" s="27" t="s">
        <v>59</v>
      </c>
      <c r="H208" s="18"/>
      <c r="I208" s="27" t="s">
        <v>60</v>
      </c>
      <c r="J208" s="18"/>
      <c r="K208" s="27" t="s">
        <v>66</v>
      </c>
      <c r="L208" s="18"/>
      <c r="M208" s="27" t="s">
        <v>166</v>
      </c>
      <c r="N208" s="18"/>
      <c r="O208" s="27" t="s">
        <v>167</v>
      </c>
      <c r="P208" s="18"/>
      <c r="Q208" s="27" t="s">
        <v>81</v>
      </c>
      <c r="R208" s="18"/>
      <c r="S208" s="27" t="s">
        <v>113</v>
      </c>
      <c r="T208" s="18"/>
      <c r="U208" s="29" t="s">
        <v>168</v>
      </c>
      <c r="V208" s="4"/>
      <c r="W208" s="4"/>
      <c r="X208" s="18"/>
      <c r="Y208" s="79"/>
      <c r="Z208" s="79"/>
      <c r="AA208" s="79"/>
      <c r="AB208" s="79"/>
    </row>
    <row r="209">
      <c r="A209" s="79"/>
      <c r="B209" s="88">
        <v>2.0</v>
      </c>
      <c r="C209" s="32" t="s">
        <v>903</v>
      </c>
      <c r="D209" s="23"/>
      <c r="E209" s="34" t="s">
        <v>904</v>
      </c>
      <c r="F209" s="23"/>
      <c r="G209" s="33" t="s">
        <v>119</v>
      </c>
      <c r="H209" s="23"/>
      <c r="I209" s="33" t="s">
        <v>60</v>
      </c>
      <c r="J209" s="23"/>
      <c r="K209" s="33" t="str">
        <f>CONCAT("Close: ", CONCAT(25+(5*FLOOR(Level/2,1)), " ft"))</f>
        <v>Close: 25 ft</v>
      </c>
      <c r="L209" s="23"/>
      <c r="M209" s="33" t="str">
        <f>CONCAT("Metal equipment of ",CONCAT(MAX(FLOOR(Level/2,1),1), CONCAT(" creature(s), 1 creature per 2 levels, no two of which can be more than 30 ft. apart
or
 ",CONCAT(Level*25, " lbs of metal, 25 lbs/level, none of which can be more than 30 ft. away from any of the rest"))))</f>
        <v>Metal equipment of 1 creature(s), 1 creature per 2 levels, no two of which can be more than 30 ft. apart
or
 25 lbs of metal, 25 lbs/level, none of which can be more than 30 ft. away from any of the rest</v>
      </c>
      <c r="N209" s="23"/>
      <c r="O209" s="33" t="s">
        <v>905</v>
      </c>
      <c r="P209" s="23"/>
      <c r="Q209" s="33" t="s">
        <v>101</v>
      </c>
      <c r="R209" s="23"/>
      <c r="S209" s="33" t="s">
        <v>102</v>
      </c>
      <c r="T209" s="23"/>
      <c r="U209" s="35" t="s">
        <v>906</v>
      </c>
      <c r="V209" s="10"/>
      <c r="W209" s="10"/>
      <c r="X209" s="23"/>
      <c r="Y209" s="79"/>
      <c r="Z209" s="79"/>
      <c r="AA209" s="79"/>
      <c r="AB209" s="79"/>
    </row>
    <row r="210">
      <c r="A210" s="79"/>
      <c r="B210" s="91">
        <v>3.0</v>
      </c>
      <c r="C210" s="26" t="s">
        <v>368</v>
      </c>
      <c r="D210" s="18"/>
      <c r="E210" s="27" t="s">
        <v>162</v>
      </c>
      <c r="F210" s="18"/>
      <c r="G210" s="27" t="s">
        <v>59</v>
      </c>
      <c r="H210" s="18"/>
      <c r="I210" s="27" t="s">
        <v>60</v>
      </c>
      <c r="J210" s="18"/>
      <c r="K210" s="27" t="str">
        <f>medium</f>
        <v>Medium: 110 ft</v>
      </c>
      <c r="L210" s="18"/>
      <c r="M210" s="27" t="s">
        <v>369</v>
      </c>
      <c r="N210" s="18"/>
      <c r="O210" s="27" t="s">
        <v>61</v>
      </c>
      <c r="P210" s="18"/>
      <c r="Q210" s="27" t="s">
        <v>62</v>
      </c>
      <c r="R210" s="18"/>
      <c r="S210" s="27" t="s">
        <v>82</v>
      </c>
      <c r="T210" s="18"/>
      <c r="U210" s="29" t="str">
        <f>"Ray deals "&amp;MAX(FLOOR(Level/2,1),1)&amp;"d8 damage, 1d8/two levels, more against undead"</f>
        <v>Ray deals 1d8 damage, 1d8/two levels, more against undead</v>
      </c>
      <c r="V210" s="4"/>
      <c r="W210" s="4"/>
      <c r="X210" s="18"/>
      <c r="Y210" s="79"/>
      <c r="Z210" s="79"/>
      <c r="AA210" s="79"/>
      <c r="AB210" s="79"/>
    </row>
    <row r="211">
      <c r="A211" s="79"/>
      <c r="B211" s="88">
        <v>4.0</v>
      </c>
      <c r="C211" s="32" t="s">
        <v>792</v>
      </c>
      <c r="D211" s="23"/>
      <c r="E211" s="34" t="s">
        <v>793</v>
      </c>
      <c r="F211" s="23"/>
      <c r="G211" s="33" t="s">
        <v>202</v>
      </c>
      <c r="H211" s="23"/>
      <c r="I211" s="33" t="s">
        <v>60</v>
      </c>
      <c r="J211" s="23"/>
      <c r="K211" s="33" t="s">
        <v>105</v>
      </c>
      <c r="L211" s="23"/>
      <c r="M211" s="33" t="s">
        <v>106</v>
      </c>
      <c r="N211" s="23"/>
      <c r="O211" s="33" t="str">
        <f>Level&amp;" round(s) (D)
1 round/level"</f>
        <v>1 round(s) (D)
1 round/level</v>
      </c>
      <c r="P211" s="23"/>
      <c r="Q211" s="33" t="s">
        <v>107</v>
      </c>
      <c r="R211" s="23"/>
      <c r="S211" s="33" t="s">
        <v>107</v>
      </c>
      <c r="T211" s="23"/>
      <c r="U211" s="35" t="s">
        <v>794</v>
      </c>
      <c r="V211" s="10"/>
      <c r="W211" s="10"/>
      <c r="X211" s="23"/>
      <c r="Y211" s="79"/>
      <c r="Z211" s="79"/>
      <c r="AA211" s="79"/>
      <c r="AB211" s="79"/>
    </row>
    <row r="212">
      <c r="A212" s="79"/>
      <c r="B212" s="91">
        <v>5.0</v>
      </c>
      <c r="C212" s="26" t="s">
        <v>471</v>
      </c>
      <c r="D212" s="18"/>
      <c r="E212" s="28" t="s">
        <v>472</v>
      </c>
      <c r="F212" s="18"/>
      <c r="G212" s="27" t="s">
        <v>111</v>
      </c>
      <c r="H212" s="18"/>
      <c r="I212" s="27" t="s">
        <v>60</v>
      </c>
      <c r="J212" s="18"/>
      <c r="K212" s="27" t="str">
        <f>CONCAT("Medium: ", CONCAT(100+(10*Level), " ft"))</f>
        <v>Medium: 110 ft</v>
      </c>
      <c r="L212" s="18"/>
      <c r="M212" s="27" t="s">
        <v>473</v>
      </c>
      <c r="N212" s="18"/>
      <c r="O212" s="27" t="s">
        <v>61</v>
      </c>
      <c r="P212" s="18"/>
      <c r="Q212" s="27" t="s">
        <v>474</v>
      </c>
      <c r="R212" s="18"/>
      <c r="S212" s="27" t="s">
        <v>82</v>
      </c>
      <c r="T212" s="18"/>
      <c r="U212" s="29" t="str">
        <f>CONCAT("Smite foes with divine fire (",CONCAT(MIN(Level, 15),"d6 damage, 1d6/level"))</f>
        <v>Smite foes with divine fire (1d6 damage, 1d6/level</v>
      </c>
      <c r="V212" s="4"/>
      <c r="W212" s="4"/>
      <c r="X212" s="18"/>
      <c r="Y212" s="79"/>
      <c r="Z212" s="79"/>
      <c r="AA212" s="79"/>
      <c r="AB212" s="79"/>
    </row>
    <row r="213">
      <c r="A213" s="79"/>
      <c r="B213" s="88">
        <v>6.0</v>
      </c>
      <c r="C213" s="32" t="s">
        <v>795</v>
      </c>
      <c r="D213" s="23"/>
      <c r="E213" s="34" t="s">
        <v>907</v>
      </c>
      <c r="F213" s="23"/>
      <c r="G213" s="33" t="s">
        <v>202</v>
      </c>
      <c r="H213" s="23"/>
      <c r="I213" s="33" t="s">
        <v>60</v>
      </c>
      <c r="J213" s="23"/>
      <c r="K213" s="33" t="s">
        <v>66</v>
      </c>
      <c r="L213" s="23"/>
      <c r="M213" s="33" t="s">
        <v>797</v>
      </c>
      <c r="N213" s="23"/>
      <c r="O213" s="33" t="str">
        <f>CONCAT(Level, " minute(s) or until used
1 minute/level")</f>
        <v>1 minute(s) or until used
1 minute/level</v>
      </c>
      <c r="P213" s="23"/>
      <c r="Q213" s="33" t="s">
        <v>798</v>
      </c>
      <c r="R213" s="23"/>
      <c r="S213" s="33" t="s">
        <v>63</v>
      </c>
      <c r="T213" s="23"/>
      <c r="U213" s="35" t="s">
        <v>799</v>
      </c>
      <c r="V213" s="10"/>
      <c r="W213" s="10"/>
      <c r="X213" s="23"/>
      <c r="Y213" s="79"/>
      <c r="Z213" s="79"/>
      <c r="AA213" s="79"/>
      <c r="AB213" s="79"/>
    </row>
    <row r="214">
      <c r="A214" s="79"/>
      <c r="B214" s="92">
        <v>7.0</v>
      </c>
      <c r="C214" s="26" t="s">
        <v>908</v>
      </c>
      <c r="D214" s="18"/>
      <c r="E214" s="28" t="s">
        <v>89</v>
      </c>
      <c r="F214" s="18"/>
      <c r="G214" s="27" t="s">
        <v>119</v>
      </c>
      <c r="H214" s="18"/>
      <c r="I214" s="27" t="s">
        <v>60</v>
      </c>
      <c r="J214" s="18"/>
      <c r="K214" s="27" t="s">
        <v>73</v>
      </c>
      <c r="L214" s="18"/>
      <c r="M214" s="27" t="s">
        <v>909</v>
      </c>
      <c r="N214" s="18"/>
      <c r="O214" s="27" t="str">
        <f>CONCAT(Level, " round(s) or until all beams are exhausted
1 round/level")</f>
        <v>1 round(s) or until all beams are exhausted
1 round/level</v>
      </c>
      <c r="P214" s="18"/>
      <c r="Q214" s="27" t="s">
        <v>910</v>
      </c>
      <c r="R214" s="18"/>
      <c r="S214" s="27" t="s">
        <v>82</v>
      </c>
      <c r="T214" s="18"/>
      <c r="U214" s="29" t="s">
        <v>911</v>
      </c>
      <c r="V214" s="4"/>
      <c r="W214" s="4"/>
      <c r="X214" s="18"/>
      <c r="Y214" s="79"/>
      <c r="Z214" s="79"/>
      <c r="AA214" s="79"/>
      <c r="AB214" s="79"/>
    </row>
    <row r="215">
      <c r="A215" s="79"/>
      <c r="B215" s="93">
        <v>8.0</v>
      </c>
      <c r="C215" s="32" t="s">
        <v>912</v>
      </c>
      <c r="D215" s="23"/>
      <c r="E215" s="34" t="s">
        <v>89</v>
      </c>
      <c r="F215" s="23"/>
      <c r="G215" s="33" t="s">
        <v>119</v>
      </c>
      <c r="H215" s="23"/>
      <c r="I215" s="33" t="s">
        <v>60</v>
      </c>
      <c r="J215" s="23"/>
      <c r="K215" s="33" t="str">
        <f>CONCAT("Long: ", CONCAT(400+(40*Level), " ft"))</f>
        <v>Long: 440 ft</v>
      </c>
      <c r="L215" s="23"/>
      <c r="M215" s="33" t="s">
        <v>913</v>
      </c>
      <c r="N215" s="23"/>
      <c r="O215" s="33" t="s">
        <v>61</v>
      </c>
      <c r="P215" s="23"/>
      <c r="Q215" s="33" t="s">
        <v>863</v>
      </c>
      <c r="R215" s="23"/>
      <c r="S215" s="33" t="s">
        <v>82</v>
      </c>
      <c r="T215" s="23"/>
      <c r="U215" s="35" t="s">
        <v>914</v>
      </c>
      <c r="V215" s="10"/>
      <c r="W215" s="10"/>
      <c r="X215" s="23"/>
      <c r="Y215" s="79"/>
      <c r="Z215" s="79"/>
      <c r="AA215" s="79"/>
      <c r="AB215" s="79"/>
    </row>
    <row r="216">
      <c r="A216" s="79"/>
      <c r="B216" s="92">
        <v>9.0</v>
      </c>
      <c r="C216" s="26" t="s">
        <v>888</v>
      </c>
      <c r="D216" s="18"/>
      <c r="E216" s="27" t="s">
        <v>110</v>
      </c>
      <c r="F216" s="18"/>
      <c r="G216" s="27" t="s">
        <v>140</v>
      </c>
      <c r="H216" s="18"/>
      <c r="I216" s="27" t="s">
        <v>60</v>
      </c>
      <c r="J216" s="18"/>
      <c r="K216" s="27" t="s">
        <v>95</v>
      </c>
      <c r="L216" s="18"/>
      <c r="M216" s="27" t="s">
        <v>889</v>
      </c>
      <c r="N216" s="18"/>
      <c r="O216" s="27" t="str">
        <f>Level*10&amp;" minutes (D)
10 minutes/level"</f>
        <v>10 minutes (D)
10 minutes/level</v>
      </c>
      <c r="P216" s="18"/>
      <c r="Q216" s="27" t="s">
        <v>332</v>
      </c>
      <c r="R216" s="18"/>
      <c r="S216" s="27" t="s">
        <v>332</v>
      </c>
      <c r="T216" s="18"/>
      <c r="U216" s="29" t="s">
        <v>890</v>
      </c>
      <c r="V216" s="4"/>
      <c r="W216" s="4"/>
      <c r="X216" s="18"/>
      <c r="Y216" s="79"/>
      <c r="Z216" s="79"/>
      <c r="AA216" s="79"/>
      <c r="AB216" s="79"/>
    </row>
    <row r="217">
      <c r="A217" s="79"/>
      <c r="B217" s="84"/>
      <c r="C217" s="84"/>
      <c r="D217" s="84"/>
      <c r="E217" s="85"/>
      <c r="F217" s="85"/>
      <c r="G217" s="72"/>
      <c r="H217" s="72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6"/>
      <c r="V217" s="86"/>
      <c r="W217" s="86"/>
      <c r="X217" s="86"/>
      <c r="Y217" s="79"/>
      <c r="Z217" s="79"/>
      <c r="AA217" s="79"/>
      <c r="AB217" s="79"/>
    </row>
    <row r="218">
      <c r="A218" s="79"/>
      <c r="B218" s="87" t="s">
        <v>915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18"/>
      <c r="Y218" s="79"/>
      <c r="Z218" s="79"/>
      <c r="AA218" s="79"/>
      <c r="AB218" s="79"/>
    </row>
    <row r="219">
      <c r="A219" s="79"/>
      <c r="B219" s="88" t="s">
        <v>1</v>
      </c>
      <c r="C219" s="89" t="s">
        <v>15</v>
      </c>
      <c r="D219" s="23"/>
      <c r="E219" s="89" t="s">
        <v>18</v>
      </c>
      <c r="F219" s="23"/>
      <c r="G219" s="89" t="s">
        <v>19</v>
      </c>
      <c r="H219" s="23"/>
      <c r="I219" s="89" t="s">
        <v>20</v>
      </c>
      <c r="J219" s="23"/>
      <c r="K219" s="89" t="s">
        <v>21</v>
      </c>
      <c r="L219" s="23"/>
      <c r="M219" s="89" t="s">
        <v>22</v>
      </c>
      <c r="N219" s="23"/>
      <c r="O219" s="89" t="s">
        <v>23</v>
      </c>
      <c r="P219" s="23"/>
      <c r="Q219" s="89" t="s">
        <v>24</v>
      </c>
      <c r="R219" s="23"/>
      <c r="S219" s="89" t="s">
        <v>25</v>
      </c>
      <c r="T219" s="23"/>
      <c r="U219" s="89" t="s">
        <v>26</v>
      </c>
      <c r="V219" s="10"/>
      <c r="W219" s="10"/>
      <c r="X219" s="23"/>
      <c r="Y219" s="79"/>
      <c r="Z219" s="79"/>
      <c r="AA219" s="79"/>
      <c r="AB219" s="79"/>
    </row>
    <row r="220">
      <c r="A220" s="79"/>
      <c r="B220" s="91">
        <v>1.0</v>
      </c>
      <c r="C220" s="26" t="s">
        <v>916</v>
      </c>
      <c r="D220" s="18"/>
      <c r="E220" s="27" t="s">
        <v>94</v>
      </c>
      <c r="F220" s="18"/>
      <c r="G220" s="27" t="s">
        <v>202</v>
      </c>
      <c r="H220" s="18"/>
      <c r="I220" s="27" t="s">
        <v>60</v>
      </c>
      <c r="J220" s="18"/>
      <c r="K220" s="27" t="s">
        <v>66</v>
      </c>
      <c r="L220" s="18"/>
      <c r="M220" s="27" t="s">
        <v>166</v>
      </c>
      <c r="N220" s="18"/>
      <c r="O220" s="27" t="str">
        <f>CONCAT(Level, " minute(s) (D)
1 minute/level")</f>
        <v>1 minute(s) (D)
1 minute/level</v>
      </c>
      <c r="P220" s="18"/>
      <c r="Q220" s="27" t="s">
        <v>81</v>
      </c>
      <c r="R220" s="18"/>
      <c r="S220" s="27" t="s">
        <v>82</v>
      </c>
      <c r="T220" s="18"/>
      <c r="U220" s="29" t="s">
        <v>917</v>
      </c>
      <c r="V220" s="4"/>
      <c r="W220" s="4"/>
      <c r="X220" s="18"/>
      <c r="Y220" s="79"/>
      <c r="Z220" s="79"/>
      <c r="AA220" s="79"/>
      <c r="AB220" s="79"/>
    </row>
    <row r="221">
      <c r="A221" s="79"/>
      <c r="B221" s="88">
        <v>2.0</v>
      </c>
      <c r="C221" s="32" t="s">
        <v>341</v>
      </c>
      <c r="D221" s="23"/>
      <c r="E221" s="33" t="s">
        <v>72</v>
      </c>
      <c r="F221" s="23"/>
      <c r="G221" s="33" t="s">
        <v>119</v>
      </c>
      <c r="H221" s="23"/>
      <c r="I221" s="33" t="s">
        <v>60</v>
      </c>
      <c r="J221" s="23"/>
      <c r="K221" s="33" t="str">
        <f>long</f>
        <v>Long: 440 ft</v>
      </c>
      <c r="L221" s="23"/>
      <c r="M221" s="33" t="str">
        <f>"Circle, centered on you, with a radius of "&amp;400+Level*40&amp;" ft, 400+40 ft/level"</f>
        <v>Circle, centered on you, with a radius of 440 ft, 400+40 ft/level</v>
      </c>
      <c r="N221" s="23"/>
      <c r="O221" s="33" t="str">
        <f>Level&amp;" minute(s)
1 minute/level"</f>
        <v>1 minute(s)
1 minute/level</v>
      </c>
      <c r="P221" s="23"/>
      <c r="Q221" s="33" t="s">
        <v>62</v>
      </c>
      <c r="R221" s="23"/>
      <c r="S221" s="33" t="s">
        <v>63</v>
      </c>
      <c r="T221" s="23"/>
      <c r="U221" s="35" t="s">
        <v>342</v>
      </c>
      <c r="V221" s="10"/>
      <c r="W221" s="10"/>
      <c r="X221" s="23"/>
      <c r="Y221" s="79"/>
      <c r="Z221" s="79"/>
      <c r="AA221" s="79"/>
      <c r="AB221" s="79"/>
    </row>
    <row r="222">
      <c r="A222" s="79"/>
      <c r="B222" s="91">
        <v>3.0</v>
      </c>
      <c r="C222" s="26" t="s">
        <v>918</v>
      </c>
      <c r="D222" s="18"/>
      <c r="E222" s="27" t="s">
        <v>94</v>
      </c>
      <c r="F222" s="18"/>
      <c r="G222" s="27" t="s">
        <v>119</v>
      </c>
      <c r="H222" s="18"/>
      <c r="I222" s="27" t="s">
        <v>60</v>
      </c>
      <c r="J222" s="18"/>
      <c r="K222" s="27" t="s">
        <v>66</v>
      </c>
      <c r="L222" s="18"/>
      <c r="M222" s="27" t="s">
        <v>166</v>
      </c>
      <c r="N222" s="18"/>
      <c r="O222" s="27" t="str">
        <f>Level&amp;" minute(s)
1 minute/level"</f>
        <v>1 minute(s)
1 minute/level</v>
      </c>
      <c r="P222" s="18"/>
      <c r="Q222" s="27" t="s">
        <v>81</v>
      </c>
      <c r="R222" s="18"/>
      <c r="S222" s="27" t="s">
        <v>113</v>
      </c>
      <c r="T222" s="18"/>
      <c r="U222" s="29" t="s">
        <v>919</v>
      </c>
      <c r="V222" s="4"/>
      <c r="W222" s="4"/>
      <c r="X222" s="18"/>
      <c r="Y222" s="79"/>
      <c r="Z222" s="79"/>
      <c r="AA222" s="79"/>
      <c r="AB222" s="79"/>
    </row>
    <row r="223">
      <c r="A223" s="79"/>
      <c r="B223" s="88">
        <v>4.0</v>
      </c>
      <c r="C223" s="32" t="s">
        <v>920</v>
      </c>
      <c r="D223" s="23"/>
      <c r="E223" s="34" t="s">
        <v>487</v>
      </c>
      <c r="F223" s="23"/>
      <c r="G223" s="33" t="s">
        <v>140</v>
      </c>
      <c r="H223" s="23"/>
      <c r="I223" s="33" t="s">
        <v>60</v>
      </c>
      <c r="J223" s="23"/>
      <c r="K223" s="33" t="str">
        <f>long</f>
        <v>Long: 440 ft</v>
      </c>
      <c r="L223" s="23"/>
      <c r="M223" s="33" t="s">
        <v>921</v>
      </c>
      <c r="N223" s="23"/>
      <c r="O223" s="33" t="s">
        <v>61</v>
      </c>
      <c r="P223" s="23"/>
      <c r="Q223" s="33" t="s">
        <v>922</v>
      </c>
      <c r="R223" s="23"/>
      <c r="S223" s="33" t="s">
        <v>923</v>
      </c>
      <c r="T223" s="23"/>
      <c r="U223" s="35" t="s">
        <v>924</v>
      </c>
      <c r="V223" s="10"/>
      <c r="W223" s="10"/>
      <c r="X223" s="23"/>
      <c r="Y223" s="79"/>
      <c r="Z223" s="79"/>
      <c r="AA223" s="79"/>
      <c r="AB223" s="79"/>
    </row>
    <row r="224">
      <c r="A224" s="79"/>
      <c r="B224" s="91">
        <v>5.0</v>
      </c>
      <c r="C224" s="26" t="s">
        <v>925</v>
      </c>
      <c r="D224" s="18"/>
      <c r="E224" s="28" t="s">
        <v>487</v>
      </c>
      <c r="F224" s="18"/>
      <c r="G224" s="27" t="s">
        <v>140</v>
      </c>
      <c r="H224" s="18"/>
      <c r="I224" s="27" t="s">
        <v>60</v>
      </c>
      <c r="J224" s="18"/>
      <c r="K224" s="27" t="s">
        <v>926</v>
      </c>
      <c r="L224" s="18"/>
      <c r="M224" s="27" t="s">
        <v>921</v>
      </c>
      <c r="N224" s="18"/>
      <c r="O224" s="27" t="s">
        <v>61</v>
      </c>
      <c r="P224" s="18"/>
      <c r="Q224" s="27" t="s">
        <v>922</v>
      </c>
      <c r="R224" s="18"/>
      <c r="S224" s="27" t="s">
        <v>923</v>
      </c>
      <c r="T224" s="18"/>
      <c r="U224" s="29" t="str">
        <f>CONCAT("Instantly transports you as far as ",CONCAT(Level*100," miles, 100 miles/level"))</f>
        <v>Instantly transports you as far as 100 miles, 100 miles/level</v>
      </c>
      <c r="V224" s="4"/>
      <c r="W224" s="4"/>
      <c r="X224" s="18"/>
      <c r="Y224" s="79"/>
      <c r="Z224" s="79"/>
      <c r="AA224" s="79"/>
      <c r="AB224" s="79"/>
    </row>
    <row r="225">
      <c r="A225" s="79"/>
      <c r="B225" s="88">
        <v>6.0</v>
      </c>
      <c r="C225" s="32" t="s">
        <v>543</v>
      </c>
      <c r="D225" s="23"/>
      <c r="E225" s="33" t="s">
        <v>72</v>
      </c>
      <c r="F225" s="23"/>
      <c r="G225" s="33" t="s">
        <v>104</v>
      </c>
      <c r="H225" s="23"/>
      <c r="I225" s="33" t="s">
        <v>268</v>
      </c>
      <c r="J225" s="23"/>
      <c r="K225" s="33" t="s">
        <v>544</v>
      </c>
      <c r="L225" s="23"/>
      <c r="M225" s="33" t="s">
        <v>407</v>
      </c>
      <c r="N225" s="23"/>
      <c r="O225" s="33" t="str">
        <f>CONCAT(Level, " minute(s)
1 minute/level")</f>
        <v>1 minute(s)
1 minute/level</v>
      </c>
      <c r="P225" s="23"/>
      <c r="Q225" s="33" t="s">
        <v>545</v>
      </c>
      <c r="R225" s="23"/>
      <c r="S225" s="33" t="s">
        <v>546</v>
      </c>
      <c r="T225" s="23"/>
      <c r="U225" s="35" t="s">
        <v>547</v>
      </c>
      <c r="V225" s="10"/>
      <c r="W225" s="10"/>
      <c r="X225" s="23"/>
      <c r="Y225" s="79"/>
      <c r="Z225" s="79"/>
      <c r="AA225" s="79"/>
      <c r="AB225" s="79"/>
    </row>
    <row r="226">
      <c r="A226" s="79"/>
      <c r="B226" s="92">
        <v>7.0</v>
      </c>
      <c r="C226" s="26" t="s">
        <v>927</v>
      </c>
      <c r="D226" s="18"/>
      <c r="E226" s="28" t="s">
        <v>487</v>
      </c>
      <c r="F226" s="18"/>
      <c r="G226" s="27" t="s">
        <v>140</v>
      </c>
      <c r="H226" s="18"/>
      <c r="I226" s="27" t="s">
        <v>60</v>
      </c>
      <c r="J226" s="18"/>
      <c r="K226" s="27" t="s">
        <v>926</v>
      </c>
      <c r="L226" s="18"/>
      <c r="M226" s="27" t="s">
        <v>921</v>
      </c>
      <c r="N226" s="18"/>
      <c r="O226" s="27" t="s">
        <v>61</v>
      </c>
      <c r="P226" s="18"/>
      <c r="Q226" s="27" t="s">
        <v>922</v>
      </c>
      <c r="R226" s="18"/>
      <c r="S226" s="27" t="s">
        <v>923</v>
      </c>
      <c r="T226" s="18"/>
      <c r="U226" s="29" t="s">
        <v>928</v>
      </c>
      <c r="V226" s="4"/>
      <c r="W226" s="4"/>
      <c r="X226" s="18"/>
      <c r="Y226" s="79"/>
      <c r="Z226" s="79"/>
      <c r="AA226" s="79"/>
      <c r="AB226" s="79"/>
    </row>
    <row r="227">
      <c r="A227" s="79"/>
      <c r="B227" s="93">
        <v>8.0</v>
      </c>
      <c r="C227" s="32" t="s">
        <v>929</v>
      </c>
      <c r="D227" s="23"/>
      <c r="E227" s="34" t="s">
        <v>183</v>
      </c>
      <c r="F227" s="23"/>
      <c r="G227" s="33" t="s">
        <v>140</v>
      </c>
      <c r="H227" s="23"/>
      <c r="I227" s="33" t="s">
        <v>60</v>
      </c>
      <c r="J227" s="23"/>
      <c r="K227" s="33" t="s">
        <v>788</v>
      </c>
      <c r="L227" s="23"/>
      <c r="M227" s="33" t="str">
        <f>"Ethereal 5 ft by 8 ft opening, "&amp;10+FLOOR(Level/3,1)*5&amp;" ft deep, 10 ft + 5 ft deep per three levels"</f>
        <v>Ethereal 5 ft by 8 ft opening, 10 ft deep, 10 ft + 5 ft deep per three levels</v>
      </c>
      <c r="N227" s="23"/>
      <c r="O227" s="33" t="str">
        <f>MAX(FLOOR(Level/2,1),1)&amp;" usage(s), 1 usage per 2 levels"</f>
        <v>1 usage(s), 1 usage per 2 levels</v>
      </c>
      <c r="P227" s="23"/>
      <c r="Q227" s="33" t="s">
        <v>62</v>
      </c>
      <c r="R227" s="23"/>
      <c r="S227" s="33" t="s">
        <v>63</v>
      </c>
      <c r="T227" s="23"/>
      <c r="U227" s="35" t="s">
        <v>930</v>
      </c>
      <c r="V227" s="10"/>
      <c r="W227" s="10"/>
      <c r="X227" s="23"/>
      <c r="Y227" s="79"/>
      <c r="Z227" s="79"/>
      <c r="AA227" s="79"/>
      <c r="AB227" s="79"/>
    </row>
    <row r="228">
      <c r="A228" s="79"/>
      <c r="B228" s="92">
        <v>9.0</v>
      </c>
      <c r="C228" s="26" t="s">
        <v>670</v>
      </c>
      <c r="D228" s="18"/>
      <c r="E228" s="27" t="s">
        <v>85</v>
      </c>
      <c r="F228" s="18"/>
      <c r="G228" s="27" t="s">
        <v>671</v>
      </c>
      <c r="H228" s="18"/>
      <c r="I228" s="27" t="s">
        <v>672</v>
      </c>
      <c r="J228" s="18"/>
      <c r="K228" s="27" t="s">
        <v>66</v>
      </c>
      <c r="L228" s="18"/>
      <c r="M228" s="27" t="str">
        <f>"You plus "&amp;MAX(MIN(FLOOR(Level/2,1)),1)&amp;" willing creature(s) touched, 1 additional creature per 2 caster levels"</f>
        <v>You plus 1 willing creature(s) touched, 1 additional creature per 2 caster levels</v>
      </c>
      <c r="N228" s="18"/>
      <c r="O228" s="27" t="s">
        <v>332</v>
      </c>
      <c r="P228" s="18"/>
      <c r="Q228" s="27" t="s">
        <v>62</v>
      </c>
      <c r="R228" s="18"/>
      <c r="S228" s="27" t="s">
        <v>82</v>
      </c>
      <c r="T228" s="18"/>
      <c r="U228" s="29" t="s">
        <v>673</v>
      </c>
      <c r="V228" s="4"/>
      <c r="W228" s="4"/>
      <c r="X228" s="18"/>
      <c r="Y228" s="79"/>
      <c r="Z228" s="79"/>
      <c r="AA228" s="79"/>
      <c r="AB228" s="79"/>
    </row>
    <row r="229">
      <c r="A229" s="79"/>
      <c r="B229" s="84"/>
      <c r="C229" s="84"/>
      <c r="D229" s="84"/>
      <c r="E229" s="85"/>
      <c r="F229" s="85"/>
      <c r="G229" s="72"/>
      <c r="H229" s="72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6"/>
      <c r="V229" s="86"/>
      <c r="W229" s="86"/>
      <c r="X229" s="86"/>
      <c r="Y229" s="79"/>
      <c r="Z229" s="79"/>
      <c r="AA229" s="79"/>
      <c r="AB229" s="79"/>
    </row>
    <row r="230">
      <c r="A230" s="79"/>
      <c r="B230" s="87" t="s">
        <v>931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18"/>
      <c r="Y230" s="79"/>
      <c r="Z230" s="79"/>
      <c r="AA230" s="79"/>
      <c r="AB230" s="79"/>
    </row>
    <row r="231">
      <c r="A231" s="79"/>
      <c r="B231" s="88" t="s">
        <v>1</v>
      </c>
      <c r="C231" s="89" t="s">
        <v>15</v>
      </c>
      <c r="D231" s="23"/>
      <c r="E231" s="89" t="s">
        <v>18</v>
      </c>
      <c r="F231" s="23"/>
      <c r="G231" s="89" t="s">
        <v>19</v>
      </c>
      <c r="H231" s="23"/>
      <c r="I231" s="89" t="s">
        <v>20</v>
      </c>
      <c r="J231" s="23"/>
      <c r="K231" s="89" t="s">
        <v>21</v>
      </c>
      <c r="L231" s="23"/>
      <c r="M231" s="89" t="s">
        <v>22</v>
      </c>
      <c r="N231" s="23"/>
      <c r="O231" s="89" t="s">
        <v>23</v>
      </c>
      <c r="P231" s="23"/>
      <c r="Q231" s="89" t="s">
        <v>24</v>
      </c>
      <c r="R231" s="23"/>
      <c r="S231" s="89" t="s">
        <v>25</v>
      </c>
      <c r="T231" s="23"/>
      <c r="U231" s="89" t="s">
        <v>26</v>
      </c>
      <c r="V231" s="10"/>
      <c r="W231" s="10"/>
      <c r="X231" s="23"/>
      <c r="Y231" s="79"/>
      <c r="Z231" s="79"/>
      <c r="AA231" s="79"/>
      <c r="AB231" s="79"/>
    </row>
    <row r="232">
      <c r="A232" s="79"/>
      <c r="B232" s="91">
        <v>1.0</v>
      </c>
      <c r="C232" s="26" t="s">
        <v>932</v>
      </c>
      <c r="D232" s="18"/>
      <c r="E232" s="28" t="s">
        <v>280</v>
      </c>
      <c r="F232" s="18"/>
      <c r="G232" s="27" t="s">
        <v>59</v>
      </c>
      <c r="H232" s="18"/>
      <c r="I232" s="27" t="s">
        <v>60</v>
      </c>
      <c r="J232" s="18"/>
      <c r="K232" s="27" t="s">
        <v>105</v>
      </c>
      <c r="L232" s="18"/>
      <c r="M232" s="27" t="s">
        <v>106</v>
      </c>
      <c r="N232" s="18"/>
      <c r="O232" s="27" t="str">
        <f>Level*10&amp;" minutes (D)
10 minutes/level"</f>
        <v>10 minutes (D)
10 minutes/level</v>
      </c>
      <c r="P232" s="18"/>
      <c r="Q232" s="27" t="s">
        <v>107</v>
      </c>
      <c r="R232" s="18"/>
      <c r="S232" s="27" t="s">
        <v>107</v>
      </c>
      <c r="T232" s="18"/>
      <c r="U232" s="29" t="s">
        <v>933</v>
      </c>
      <c r="V232" s="4"/>
      <c r="W232" s="4"/>
      <c r="X232" s="18"/>
      <c r="Y232" s="79"/>
      <c r="Z232" s="79"/>
      <c r="AA232" s="79"/>
      <c r="AB232" s="79"/>
    </row>
    <row r="233">
      <c r="A233" s="79"/>
      <c r="B233" s="88">
        <v>2.0</v>
      </c>
      <c r="C233" s="32" t="s">
        <v>934</v>
      </c>
      <c r="D233" s="23"/>
      <c r="E233" s="34" t="s">
        <v>280</v>
      </c>
      <c r="F233" s="23"/>
      <c r="G233" s="33" t="s">
        <v>119</v>
      </c>
      <c r="H233" s="23"/>
      <c r="I233" s="33" t="s">
        <v>60</v>
      </c>
      <c r="J233" s="23"/>
      <c r="K233" s="33" t="s">
        <v>406</v>
      </c>
      <c r="L233" s="23"/>
      <c r="M233" s="33" t="str">
        <f>"You or a creature or object weighing no more than "&amp;Level*100&amp;" lbs, 100 lbs/level"</f>
        <v>You or a creature or object weighing no more than 100 lbs, 100 lbs/level</v>
      </c>
      <c r="N233" s="23"/>
      <c r="O233" s="33" t="str">
        <f>Level&amp;" minute(s) (D)
1 minute/level"</f>
        <v>1 minute(s) (D)
1 minute/level</v>
      </c>
      <c r="P233" s="23"/>
      <c r="Q233" s="33" t="s">
        <v>935</v>
      </c>
      <c r="R233" s="23"/>
      <c r="S233" s="33" t="s">
        <v>936</v>
      </c>
      <c r="T233" s="23"/>
      <c r="U233" s="35" t="str">
        <f>"Subject is invisible for "&amp;Level&amp;" minute(s), 1 minute/level, or until it attacks"</f>
        <v>Subject is invisible for 1 minute(s), 1 minute/level, or until it attacks</v>
      </c>
      <c r="V233" s="10"/>
      <c r="W233" s="10"/>
      <c r="X233" s="23"/>
      <c r="Y233" s="79"/>
      <c r="Z233" s="79"/>
      <c r="AA233" s="79"/>
      <c r="AB233" s="79"/>
    </row>
    <row r="234">
      <c r="A234" s="79"/>
      <c r="B234" s="91">
        <v>3.0</v>
      </c>
      <c r="C234" s="26" t="s">
        <v>937</v>
      </c>
      <c r="D234" s="18"/>
      <c r="E234" s="27" t="s">
        <v>110</v>
      </c>
      <c r="F234" s="18"/>
      <c r="G234" s="27" t="s">
        <v>315</v>
      </c>
      <c r="H234" s="18"/>
      <c r="I234" s="27" t="s">
        <v>60</v>
      </c>
      <c r="J234" s="18"/>
      <c r="K234" s="27" t="s">
        <v>66</v>
      </c>
      <c r="L234" s="18"/>
      <c r="M234" s="27" t="s">
        <v>938</v>
      </c>
      <c r="N234" s="18"/>
      <c r="O234" s="27" t="str">
        <f>Level&amp;" hour(s)
1 hour/level"</f>
        <v>1 hour(s)
1 hour/level</v>
      </c>
      <c r="P234" s="18"/>
      <c r="Q234" s="27" t="s">
        <v>97</v>
      </c>
      <c r="R234" s="18"/>
      <c r="S234" s="27" t="s">
        <v>98</v>
      </c>
      <c r="T234" s="18"/>
      <c r="U234" s="29" t="s">
        <v>939</v>
      </c>
      <c r="V234" s="4"/>
      <c r="W234" s="4"/>
      <c r="X234" s="18"/>
      <c r="Y234" s="79"/>
      <c r="Z234" s="79"/>
      <c r="AA234" s="79"/>
      <c r="AB234" s="79"/>
    </row>
    <row r="235">
      <c r="A235" s="79"/>
      <c r="B235" s="88">
        <v>4.0</v>
      </c>
      <c r="C235" s="32" t="s">
        <v>940</v>
      </c>
      <c r="D235" s="23"/>
      <c r="E235" s="34" t="s">
        <v>124</v>
      </c>
      <c r="F235" s="23"/>
      <c r="G235" s="33" t="s">
        <v>119</v>
      </c>
      <c r="H235" s="23"/>
      <c r="I235" s="33" t="s">
        <v>60</v>
      </c>
      <c r="J235" s="23"/>
      <c r="K235" s="33" t="str">
        <f>medium</f>
        <v>Medium: 110 ft</v>
      </c>
      <c r="L235" s="23"/>
      <c r="M235" s="33" t="s">
        <v>941</v>
      </c>
      <c r="N235" s="23"/>
      <c r="O235" s="33" t="str">
        <f>Level&amp;" round(s)
1 round/level"</f>
        <v>1 round(s)
1 round/level</v>
      </c>
      <c r="P235" s="23"/>
      <c r="Q235" s="33" t="s">
        <v>86</v>
      </c>
      <c r="R235" s="23"/>
      <c r="S235" s="33" t="s">
        <v>82</v>
      </c>
      <c r="T235" s="23"/>
      <c r="U235" s="35" t="str">
        <f>"Subjects behave oddly for "&amp;Level&amp;" round(s), 1 round/level"</f>
        <v>Subjects behave oddly for 1 round(s), 1 round/level</v>
      </c>
      <c r="V235" s="10"/>
      <c r="W235" s="10"/>
      <c r="X235" s="23"/>
      <c r="Y235" s="79"/>
      <c r="Z235" s="79"/>
      <c r="AA235" s="79"/>
      <c r="AB235" s="79"/>
    </row>
    <row r="236">
      <c r="A236" s="79"/>
      <c r="B236" s="91">
        <v>5.0</v>
      </c>
      <c r="C236" s="26" t="s">
        <v>942</v>
      </c>
      <c r="D236" s="18"/>
      <c r="E236" s="28" t="s">
        <v>280</v>
      </c>
      <c r="F236" s="18"/>
      <c r="G236" s="27" t="s">
        <v>512</v>
      </c>
      <c r="H236" s="18"/>
      <c r="I236" s="27" t="s">
        <v>60</v>
      </c>
      <c r="J236" s="18"/>
      <c r="K236" s="27" t="s">
        <v>66</v>
      </c>
      <c r="L236" s="18"/>
      <c r="M236" s="27" t="s">
        <v>943</v>
      </c>
      <c r="N236" s="18"/>
      <c r="O236" s="27" t="str">
        <f>Level&amp;" hour(s) (D)
1 hour/level"</f>
        <v>1 hour(s) (D)
1 hour/level</v>
      </c>
      <c r="P236" s="18"/>
      <c r="Q236" s="27" t="s">
        <v>62</v>
      </c>
      <c r="R236" s="18"/>
      <c r="S236" s="27" t="s">
        <v>63</v>
      </c>
      <c r="T236" s="18"/>
      <c r="U236" s="29" t="s">
        <v>944</v>
      </c>
      <c r="V236" s="4"/>
      <c r="W236" s="4"/>
      <c r="X236" s="18"/>
      <c r="Y236" s="79"/>
      <c r="Z236" s="79"/>
      <c r="AA236" s="79"/>
      <c r="AB236" s="79"/>
    </row>
    <row r="237">
      <c r="A237" s="79"/>
      <c r="B237" s="88">
        <v>6.0</v>
      </c>
      <c r="C237" s="32" t="s">
        <v>837</v>
      </c>
      <c r="D237" s="23"/>
      <c r="E237" s="34" t="s">
        <v>838</v>
      </c>
      <c r="F237" s="23"/>
      <c r="G237" s="33" t="s">
        <v>839</v>
      </c>
      <c r="H237" s="23"/>
      <c r="I237" s="33" t="s">
        <v>60</v>
      </c>
      <c r="J237" s="23"/>
      <c r="K237" s="33" t="str">
        <f>close</f>
        <v>Close: 25 ft</v>
      </c>
      <c r="L237" s="23"/>
      <c r="M237" s="33" t="s">
        <v>840</v>
      </c>
      <c r="N237" s="23"/>
      <c r="O237" s="33" t="str">
        <f>Level&amp;" round(s) (D)
1 round/level
and concentration + 3 rounds, see text"</f>
        <v>1 round(s) (D)
1 round/level
and concentration + 3 rounds, see text</v>
      </c>
      <c r="P237" s="23"/>
      <c r="Q237" s="33" t="s">
        <v>841</v>
      </c>
      <c r="R237" s="23"/>
      <c r="S237" s="33" t="s">
        <v>63</v>
      </c>
      <c r="T237" s="23"/>
      <c r="U237" s="35" t="s">
        <v>842</v>
      </c>
      <c r="V237" s="10"/>
      <c r="W237" s="10"/>
      <c r="X237" s="23"/>
      <c r="Y237" s="79"/>
      <c r="Z237" s="79"/>
      <c r="AA237" s="79"/>
      <c r="AB237" s="79"/>
    </row>
    <row r="238">
      <c r="A238" s="79"/>
      <c r="B238" s="92">
        <v>7.0</v>
      </c>
      <c r="C238" s="26" t="s">
        <v>945</v>
      </c>
      <c r="D238" s="18"/>
      <c r="E238" s="28" t="s">
        <v>280</v>
      </c>
      <c r="F238" s="18"/>
      <c r="G238" s="27" t="s">
        <v>59</v>
      </c>
      <c r="H238" s="18"/>
      <c r="I238" s="27" t="s">
        <v>319</v>
      </c>
      <c r="J238" s="18"/>
      <c r="K238" s="27" t="str">
        <f>close</f>
        <v>Close: 25 ft</v>
      </c>
      <c r="L238" s="18"/>
      <c r="M238" s="27" t="str">
        <f>Level&amp;" thirty ft cube(s), 1 cube/level"</f>
        <v>1 thirty ft cube(s), 1 cube/level</v>
      </c>
      <c r="N238" s="18"/>
      <c r="O238" s="27" t="s">
        <v>167</v>
      </c>
      <c r="P238" s="18"/>
      <c r="Q238" s="27" t="s">
        <v>841</v>
      </c>
      <c r="R238" s="18"/>
      <c r="S238" s="27" t="s">
        <v>63</v>
      </c>
      <c r="T238" s="18"/>
      <c r="U238" s="29" t="s">
        <v>946</v>
      </c>
      <c r="V238" s="4"/>
      <c r="W238" s="4"/>
      <c r="X238" s="18"/>
      <c r="Y238" s="79"/>
      <c r="Z238" s="79"/>
      <c r="AA238" s="79"/>
      <c r="AB238" s="79"/>
    </row>
    <row r="239">
      <c r="A239" s="79"/>
      <c r="B239" s="93">
        <v>8.0</v>
      </c>
      <c r="C239" s="32" t="s">
        <v>947</v>
      </c>
      <c r="D239" s="23"/>
      <c r="E239" s="33" t="s">
        <v>94</v>
      </c>
      <c r="F239" s="23"/>
      <c r="G239" s="33" t="s">
        <v>202</v>
      </c>
      <c r="H239" s="23"/>
      <c r="I239" s="33" t="s">
        <v>60</v>
      </c>
      <c r="J239" s="23"/>
      <c r="K239" s="33" t="str">
        <f>close</f>
        <v>Close: 25 ft</v>
      </c>
      <c r="L239" s="23"/>
      <c r="M239" s="33" t="str">
        <f>"One creature, or one nonmagical object of up to "&amp;Level*100&amp;" cu ft, 100 cu ft/level"</f>
        <v>One creature, or one nonmagical object of up to 100 cu ft, 100 cu ft/level</v>
      </c>
      <c r="N239" s="23"/>
      <c r="O239" s="33" t="s">
        <v>332</v>
      </c>
      <c r="P239" s="23"/>
      <c r="Q239" s="33" t="s">
        <v>948</v>
      </c>
      <c r="R239" s="23"/>
      <c r="S239" s="33" t="s">
        <v>949</v>
      </c>
      <c r="T239" s="23"/>
      <c r="U239" s="35" t="s">
        <v>950</v>
      </c>
      <c r="V239" s="10"/>
      <c r="W239" s="10"/>
      <c r="X239" s="23"/>
      <c r="Y239" s="79"/>
      <c r="Z239" s="79"/>
      <c r="AA239" s="79"/>
      <c r="AB239" s="79"/>
    </row>
    <row r="240">
      <c r="A240" s="79"/>
      <c r="B240" s="92">
        <v>9.0</v>
      </c>
      <c r="C240" s="26" t="s">
        <v>951</v>
      </c>
      <c r="D240" s="18"/>
      <c r="E240" s="27" t="s">
        <v>94</v>
      </c>
      <c r="F240" s="18"/>
      <c r="G240" s="27" t="s">
        <v>140</v>
      </c>
      <c r="H240" s="18"/>
      <c r="I240" s="27" t="s">
        <v>60</v>
      </c>
      <c r="J240" s="18"/>
      <c r="K240" s="27" t="s">
        <v>105</v>
      </c>
      <c r="L240" s="18"/>
      <c r="M240" s="27" t="s">
        <v>106</v>
      </c>
      <c r="N240" s="18"/>
      <c r="O240" s="27" t="s">
        <v>952</v>
      </c>
      <c r="P240" s="18"/>
      <c r="Q240" s="27" t="s">
        <v>107</v>
      </c>
      <c r="R240" s="18"/>
      <c r="S240" s="27" t="s">
        <v>107</v>
      </c>
      <c r="T240" s="18"/>
      <c r="U240" s="29" t="s">
        <v>953</v>
      </c>
      <c r="V240" s="4"/>
      <c r="W240" s="4"/>
      <c r="X240" s="18"/>
      <c r="Y240" s="79"/>
      <c r="Z240" s="79"/>
      <c r="AA240" s="79"/>
      <c r="AB240" s="79"/>
    </row>
    <row r="241">
      <c r="A241" s="79"/>
      <c r="B241" s="84"/>
      <c r="C241" s="84"/>
      <c r="D241" s="84"/>
      <c r="E241" s="85"/>
      <c r="F241" s="85"/>
      <c r="G241" s="72"/>
      <c r="H241" s="72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6"/>
      <c r="V241" s="86"/>
      <c r="W241" s="86"/>
      <c r="X241" s="86"/>
      <c r="Y241" s="79"/>
      <c r="Z241" s="79"/>
      <c r="AA241" s="79"/>
      <c r="AB241" s="79"/>
    </row>
    <row r="242">
      <c r="A242" s="79"/>
      <c r="B242" s="87" t="s">
        <v>954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18"/>
      <c r="Y242" s="79"/>
      <c r="Z242" s="79"/>
      <c r="AA242" s="79"/>
      <c r="AB242" s="79"/>
    </row>
    <row r="243">
      <c r="A243" s="79"/>
      <c r="B243" s="88" t="s">
        <v>1</v>
      </c>
      <c r="C243" s="89" t="s">
        <v>15</v>
      </c>
      <c r="D243" s="23"/>
      <c r="E243" s="89" t="s">
        <v>18</v>
      </c>
      <c r="F243" s="23"/>
      <c r="G243" s="89" t="s">
        <v>19</v>
      </c>
      <c r="H243" s="23"/>
      <c r="I243" s="89" t="s">
        <v>20</v>
      </c>
      <c r="J243" s="23"/>
      <c r="K243" s="89" t="s">
        <v>21</v>
      </c>
      <c r="L243" s="23"/>
      <c r="M243" s="89" t="s">
        <v>22</v>
      </c>
      <c r="N243" s="23"/>
      <c r="O243" s="89" t="s">
        <v>23</v>
      </c>
      <c r="P243" s="23"/>
      <c r="Q243" s="89" t="s">
        <v>24</v>
      </c>
      <c r="R243" s="23"/>
      <c r="S243" s="89" t="s">
        <v>25</v>
      </c>
      <c r="T243" s="23"/>
      <c r="U243" s="89" t="s">
        <v>26</v>
      </c>
      <c r="V243" s="10"/>
      <c r="W243" s="10"/>
      <c r="X243" s="23"/>
      <c r="Y243" s="79"/>
      <c r="Z243" s="79"/>
      <c r="AA243" s="79"/>
      <c r="AB243" s="79"/>
    </row>
    <row r="244">
      <c r="A244" s="79"/>
      <c r="B244" s="91">
        <v>1.0</v>
      </c>
      <c r="C244" s="26" t="s">
        <v>179</v>
      </c>
      <c r="D244" s="18"/>
      <c r="E244" s="27" t="s">
        <v>94</v>
      </c>
      <c r="F244" s="18"/>
      <c r="G244" s="27" t="s">
        <v>59</v>
      </c>
      <c r="H244" s="18"/>
      <c r="I244" s="27" t="s">
        <v>60</v>
      </c>
      <c r="J244" s="18"/>
      <c r="K244" s="27" t="s">
        <v>66</v>
      </c>
      <c r="L244" s="18"/>
      <c r="M244" s="27" t="s">
        <v>180</v>
      </c>
      <c r="N244" s="18"/>
      <c r="O244" s="27" t="str">
        <f>CONCAT(Level, " minute(s)
1 minute/level")</f>
        <v>1 minute(s)
1 minute/level</v>
      </c>
      <c r="P244" s="18"/>
      <c r="Q244" s="27" t="s">
        <v>97</v>
      </c>
      <c r="R244" s="18"/>
      <c r="S244" s="27" t="s">
        <v>98</v>
      </c>
      <c r="T244" s="18"/>
      <c r="U244" s="29" t="s">
        <v>181</v>
      </c>
      <c r="V244" s="4"/>
      <c r="W244" s="4"/>
      <c r="X244" s="18"/>
      <c r="Y244" s="79"/>
      <c r="Z244" s="79"/>
      <c r="AA244" s="79"/>
      <c r="AB244" s="79"/>
    </row>
    <row r="245">
      <c r="A245" s="79"/>
      <c r="B245" s="88">
        <v>2.0</v>
      </c>
      <c r="C245" s="32" t="s">
        <v>289</v>
      </c>
      <c r="D245" s="23"/>
      <c r="E245" s="34" t="s">
        <v>290</v>
      </c>
      <c r="F245" s="23"/>
      <c r="G245" s="33" t="s">
        <v>119</v>
      </c>
      <c r="H245" s="23"/>
      <c r="I245" s="33" t="s">
        <v>60</v>
      </c>
      <c r="J245" s="23"/>
      <c r="K245" s="33" t="str">
        <f>medium</f>
        <v>Medium: 110 ft</v>
      </c>
      <c r="L245" s="23"/>
      <c r="M245" s="33" t="s">
        <v>291</v>
      </c>
      <c r="N245" s="23"/>
      <c r="O245" s="33" t="str">
        <f>Level&amp;" round(s) (D)
1 round/level"</f>
        <v>1 round(s) (D)
1 round/level</v>
      </c>
      <c r="P245" s="23"/>
      <c r="Q245" s="33" t="s">
        <v>62</v>
      </c>
      <c r="R245" s="23"/>
      <c r="S245" s="33" t="s">
        <v>82</v>
      </c>
      <c r="T245" s="23"/>
      <c r="U245" s="35" t="s">
        <v>292</v>
      </c>
      <c r="V245" s="10"/>
      <c r="W245" s="10"/>
      <c r="X245" s="23"/>
      <c r="Y245" s="79"/>
      <c r="Z245" s="79"/>
      <c r="AA245" s="79"/>
      <c r="AB245" s="79"/>
    </row>
    <row r="246">
      <c r="A246" s="79"/>
      <c r="B246" s="91">
        <v>3.0</v>
      </c>
      <c r="C246" s="26" t="s">
        <v>348</v>
      </c>
      <c r="D246" s="18"/>
      <c r="E246" s="27" t="s">
        <v>94</v>
      </c>
      <c r="F246" s="18"/>
      <c r="G246" s="27" t="s">
        <v>119</v>
      </c>
      <c r="H246" s="18"/>
      <c r="I246" s="27" t="s">
        <v>60</v>
      </c>
      <c r="J246" s="18"/>
      <c r="K246" s="27" t="s">
        <v>66</v>
      </c>
      <c r="L246" s="18"/>
      <c r="M246" s="27" t="s">
        <v>349</v>
      </c>
      <c r="N246" s="18"/>
      <c r="O246" s="27" t="str">
        <f>Level&amp;" hour(s)
1 hour/level"</f>
        <v>1 hour(s)
1 hour/level</v>
      </c>
      <c r="P246" s="18"/>
      <c r="Q246" s="27" t="s">
        <v>97</v>
      </c>
      <c r="R246" s="18"/>
      <c r="S246" s="27" t="s">
        <v>98</v>
      </c>
      <c r="T246" s="18"/>
      <c r="U246" s="29" t="str">
        <f>"Armor or shield gains +"&amp;MAX(FLOOR(Level/4,1),1)&amp;" enhancement bonus, +1 per four levels"</f>
        <v>Armor or shield gains +1 enhancement bonus, +1 per four levels</v>
      </c>
      <c r="V246" s="4"/>
      <c r="W246" s="4"/>
      <c r="X246" s="18"/>
      <c r="Y246" s="79"/>
      <c r="Z246" s="79"/>
      <c r="AA246" s="79"/>
      <c r="AB246" s="79"/>
    </row>
    <row r="247">
      <c r="A247" s="79"/>
      <c r="B247" s="88">
        <v>4.0</v>
      </c>
      <c r="C247" s="32" t="s">
        <v>403</v>
      </c>
      <c r="D247" s="23"/>
      <c r="E247" s="33" t="s">
        <v>162</v>
      </c>
      <c r="F247" s="23"/>
      <c r="G247" s="33" t="s">
        <v>119</v>
      </c>
      <c r="H247" s="23"/>
      <c r="I247" s="33" t="s">
        <v>60</v>
      </c>
      <c r="J247" s="23"/>
      <c r="K247" s="33" t="s">
        <v>105</v>
      </c>
      <c r="L247" s="23"/>
      <c r="M247" s="33" t="s">
        <v>106</v>
      </c>
      <c r="N247" s="23"/>
      <c r="O247" s="33" t="str">
        <f>Level&amp;" round(s)
1 round/level"</f>
        <v>1 round(s)
1 round/level</v>
      </c>
      <c r="P247" s="23"/>
      <c r="Q247" s="33" t="s">
        <v>107</v>
      </c>
      <c r="R247" s="23"/>
      <c r="S247" s="33" t="s">
        <v>107</v>
      </c>
      <c r="T247" s="23"/>
      <c r="U247" s="35" t="str">
        <f>"You gain attack bonus, +6 to Str, and "&amp;Level&amp;" hp, 1 hp/level"</f>
        <v>You gain attack bonus, +6 to Str, and 1 hp, 1 hp/level</v>
      </c>
      <c r="V247" s="10"/>
      <c r="W247" s="10"/>
      <c r="X247" s="23"/>
      <c r="Y247" s="79"/>
      <c r="Z247" s="79"/>
      <c r="AA247" s="79"/>
      <c r="AB247" s="79"/>
    </row>
    <row r="248">
      <c r="A248" s="79"/>
      <c r="B248" s="91">
        <v>5.0</v>
      </c>
      <c r="C248" s="26" t="s">
        <v>471</v>
      </c>
      <c r="D248" s="18"/>
      <c r="E248" s="28" t="s">
        <v>472</v>
      </c>
      <c r="F248" s="18"/>
      <c r="G248" s="27" t="s">
        <v>111</v>
      </c>
      <c r="H248" s="18"/>
      <c r="I248" s="27" t="s">
        <v>60</v>
      </c>
      <c r="J248" s="18"/>
      <c r="K248" s="27" t="str">
        <f>CONCAT("Medium: ", CONCAT(100+(10*Level), " ft"))</f>
        <v>Medium: 110 ft</v>
      </c>
      <c r="L248" s="18"/>
      <c r="M248" s="27" t="s">
        <v>473</v>
      </c>
      <c r="N248" s="18"/>
      <c r="O248" s="27" t="s">
        <v>61</v>
      </c>
      <c r="P248" s="18"/>
      <c r="Q248" s="27" t="s">
        <v>474</v>
      </c>
      <c r="R248" s="18"/>
      <c r="S248" s="27" t="s">
        <v>82</v>
      </c>
      <c r="T248" s="18"/>
      <c r="U248" s="29" t="str">
        <f>CONCAT("Smite foes with divine fire (",CONCAT(MIN(Level, 15),"d6 damage, 1d6/level"))</f>
        <v>Smite foes with divine fire (1d6 damage, 1d6/level</v>
      </c>
      <c r="V248" s="4"/>
      <c r="W248" s="4"/>
      <c r="X248" s="18"/>
      <c r="Y248" s="79"/>
      <c r="Z248" s="79"/>
      <c r="AA248" s="79"/>
      <c r="AB248" s="79"/>
    </row>
    <row r="249">
      <c r="A249" s="79"/>
      <c r="B249" s="88">
        <v>6.0</v>
      </c>
      <c r="C249" s="32" t="s">
        <v>531</v>
      </c>
      <c r="D249" s="23"/>
      <c r="E249" s="34" t="s">
        <v>290</v>
      </c>
      <c r="F249" s="23"/>
      <c r="G249" s="33" t="s">
        <v>59</v>
      </c>
      <c r="H249" s="23"/>
      <c r="I249" s="33" t="s">
        <v>60</v>
      </c>
      <c r="J249" s="23"/>
      <c r="K249" s="33" t="str">
        <f>medium</f>
        <v>Medium: 110 ft</v>
      </c>
      <c r="L249" s="23"/>
      <c r="M249" s="33" t="str">
        <f>CONCAT("Wall of whirling blades up to ",CONCAT(Level*20, CONCAT(" ft long, 20 ft/level, or a ringed wall of whirling blades with a radius of up to ",CONCAT(MAX(FLOOR(Level/2,1)*5,5), " ft, 5 ft per 2 levels, either form 20 ft high"))))</f>
        <v>Wall of whirling blades up to 20 ft long, 20 ft/level, or a ringed wall of whirling blades with a radius of up to 5 ft, 5 ft per 2 levels, either form 20 ft high</v>
      </c>
      <c r="N249" s="23"/>
      <c r="O249" s="33" t="str">
        <f>CONCAT(Level, " minute(s) (D)
1 minute/level")</f>
        <v>1 minute(s) (D)
1 minute/level</v>
      </c>
      <c r="P249" s="23"/>
      <c r="Q249" s="33" t="s">
        <v>532</v>
      </c>
      <c r="R249" s="23"/>
      <c r="S249" s="33" t="s">
        <v>82</v>
      </c>
      <c r="T249" s="23"/>
      <c r="U249" s="35" t="str">
        <f>"Wall of blades deals "&amp;Level&amp;"d6 damage, 1d6/level"</f>
        <v>Wall of blades deals 1d6 damage, 1d6/level</v>
      </c>
      <c r="V249" s="10"/>
      <c r="W249" s="10"/>
      <c r="X249" s="23"/>
      <c r="Y249" s="79"/>
      <c r="Z249" s="79"/>
      <c r="AA249" s="79"/>
      <c r="AB249" s="79"/>
    </row>
    <row r="250">
      <c r="A250" s="79"/>
      <c r="B250" s="92">
        <v>7.0</v>
      </c>
      <c r="C250" s="26" t="s">
        <v>955</v>
      </c>
      <c r="D250" s="18"/>
      <c r="E250" s="28" t="s">
        <v>124</v>
      </c>
      <c r="F250" s="18"/>
      <c r="G250" s="27" t="s">
        <v>140</v>
      </c>
      <c r="H250" s="18"/>
      <c r="I250" s="27" t="s">
        <v>60</v>
      </c>
      <c r="J250" s="18"/>
      <c r="K250" s="27" t="str">
        <f>close</f>
        <v>Close: 25 ft</v>
      </c>
      <c r="L250" s="18"/>
      <c r="M250" s="27" t="s">
        <v>956</v>
      </c>
      <c r="N250" s="18"/>
      <c r="O250" s="27" t="s">
        <v>332</v>
      </c>
      <c r="P250" s="18"/>
      <c r="Q250" s="27" t="s">
        <v>62</v>
      </c>
      <c r="R250" s="18"/>
      <c r="S250" s="27" t="s">
        <v>82</v>
      </c>
      <c r="T250" s="18"/>
      <c r="U250" s="29" t="s">
        <v>957</v>
      </c>
      <c r="V250" s="4"/>
      <c r="W250" s="4"/>
      <c r="X250" s="18"/>
      <c r="Y250" s="79"/>
      <c r="Z250" s="79"/>
      <c r="AA250" s="79"/>
      <c r="AB250" s="79"/>
    </row>
    <row r="251">
      <c r="A251" s="79"/>
      <c r="B251" s="93">
        <v>8.0</v>
      </c>
      <c r="C251" s="32" t="s">
        <v>958</v>
      </c>
      <c r="D251" s="23"/>
      <c r="E251" s="34" t="s">
        <v>731</v>
      </c>
      <c r="F251" s="23"/>
      <c r="G251" s="33" t="s">
        <v>140</v>
      </c>
      <c r="H251" s="23"/>
      <c r="I251" s="33" t="s">
        <v>60</v>
      </c>
      <c r="J251" s="23"/>
      <c r="K251" s="33" t="str">
        <f>close</f>
        <v>Close: 25 ft</v>
      </c>
      <c r="L251" s="23"/>
      <c r="M251" s="33" t="s">
        <v>959</v>
      </c>
      <c r="N251" s="23"/>
      <c r="O251" s="33" t="s">
        <v>332</v>
      </c>
      <c r="P251" s="23"/>
      <c r="Q251" s="33" t="s">
        <v>62</v>
      </c>
      <c r="R251" s="23"/>
      <c r="S251" s="33" t="s">
        <v>82</v>
      </c>
      <c r="T251" s="23"/>
      <c r="U251" s="35" t="s">
        <v>960</v>
      </c>
      <c r="V251" s="10"/>
      <c r="W251" s="10"/>
      <c r="X251" s="23"/>
      <c r="Y251" s="79"/>
      <c r="Z251" s="79"/>
      <c r="AA251" s="79"/>
      <c r="AB251" s="79"/>
    </row>
    <row r="252">
      <c r="A252" s="79"/>
      <c r="B252" s="92">
        <v>9.0</v>
      </c>
      <c r="C252" s="26" t="s">
        <v>961</v>
      </c>
      <c r="D252" s="18"/>
      <c r="E252" s="28" t="s">
        <v>962</v>
      </c>
      <c r="F252" s="18"/>
      <c r="G252" s="27" t="s">
        <v>140</v>
      </c>
      <c r="H252" s="18"/>
      <c r="I252" s="27" t="s">
        <v>60</v>
      </c>
      <c r="J252" s="18"/>
      <c r="K252" s="27" t="str">
        <f>close</f>
        <v>Close: 25 ft</v>
      </c>
      <c r="L252" s="18"/>
      <c r="M252" s="27" t="s">
        <v>963</v>
      </c>
      <c r="N252" s="18"/>
      <c r="O252" s="27" t="s">
        <v>61</v>
      </c>
      <c r="P252" s="18"/>
      <c r="Q252" s="27" t="s">
        <v>62</v>
      </c>
      <c r="R252" s="18"/>
      <c r="S252" s="27" t="s">
        <v>82</v>
      </c>
      <c r="T252" s="18"/>
      <c r="U252" s="29" t="s">
        <v>964</v>
      </c>
      <c r="V252" s="4"/>
      <c r="W252" s="4"/>
      <c r="X252" s="18"/>
      <c r="Y252" s="79"/>
      <c r="Z252" s="79"/>
      <c r="AA252" s="79"/>
      <c r="AB252" s="79"/>
    </row>
    <row r="253">
      <c r="A253" s="79"/>
      <c r="B253" s="84"/>
      <c r="C253" s="84"/>
      <c r="D253" s="84"/>
      <c r="E253" s="85"/>
      <c r="F253" s="85"/>
      <c r="G253" s="72"/>
      <c r="H253" s="72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6"/>
      <c r="V253" s="86"/>
      <c r="W253" s="86"/>
      <c r="X253" s="86"/>
      <c r="Y253" s="79"/>
      <c r="Z253" s="79"/>
      <c r="AA253" s="79"/>
      <c r="AB253" s="79"/>
    </row>
    <row r="254">
      <c r="A254" s="79"/>
      <c r="B254" s="87" t="s">
        <v>965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18"/>
      <c r="Y254" s="79"/>
      <c r="Z254" s="79"/>
      <c r="AA254" s="79"/>
      <c r="AB254" s="79"/>
    </row>
    <row r="255">
      <c r="A255" s="79"/>
      <c r="B255" s="88" t="s">
        <v>1</v>
      </c>
      <c r="C255" s="89" t="s">
        <v>15</v>
      </c>
      <c r="D255" s="23"/>
      <c r="E255" s="89" t="s">
        <v>18</v>
      </c>
      <c r="F255" s="23"/>
      <c r="G255" s="89" t="s">
        <v>19</v>
      </c>
      <c r="H255" s="23"/>
      <c r="I255" s="89" t="s">
        <v>20</v>
      </c>
      <c r="J255" s="23"/>
      <c r="K255" s="89" t="s">
        <v>21</v>
      </c>
      <c r="L255" s="23"/>
      <c r="M255" s="89" t="s">
        <v>22</v>
      </c>
      <c r="N255" s="23"/>
      <c r="O255" s="89" t="s">
        <v>23</v>
      </c>
      <c r="P255" s="23"/>
      <c r="Q255" s="89" t="s">
        <v>24</v>
      </c>
      <c r="R255" s="23"/>
      <c r="S255" s="89" t="s">
        <v>25</v>
      </c>
      <c r="T255" s="23"/>
      <c r="U255" s="89" t="s">
        <v>26</v>
      </c>
      <c r="V255" s="10"/>
      <c r="W255" s="10"/>
      <c r="X255" s="23"/>
      <c r="Y255" s="79"/>
      <c r="Z255" s="79"/>
      <c r="AA255" s="79"/>
      <c r="AB255" s="79"/>
    </row>
    <row r="256">
      <c r="A256" s="79"/>
      <c r="B256" s="91">
        <v>1.0</v>
      </c>
      <c r="C256" s="26" t="s">
        <v>182</v>
      </c>
      <c r="D256" s="18"/>
      <c r="E256" s="28" t="s">
        <v>183</v>
      </c>
      <c r="F256" s="18"/>
      <c r="G256" s="27" t="s">
        <v>59</v>
      </c>
      <c r="H256" s="18"/>
      <c r="I256" s="27" t="s">
        <v>60</v>
      </c>
      <c r="J256" s="18"/>
      <c r="K256" s="27" t="s">
        <v>184</v>
      </c>
      <c r="L256" s="18"/>
      <c r="M256" s="27" t="s">
        <v>709</v>
      </c>
      <c r="N256" s="18"/>
      <c r="O256" s="27" t="str">
        <f>CONCAT(Level, " minute(s)
1 minute/level")</f>
        <v>1 minute(s)
1 minute/level</v>
      </c>
      <c r="P256" s="18"/>
      <c r="Q256" s="27" t="s">
        <v>62</v>
      </c>
      <c r="R256" s="18"/>
      <c r="S256" s="27" t="s">
        <v>63</v>
      </c>
      <c r="T256" s="18"/>
      <c r="U256" s="29" t="s">
        <v>186</v>
      </c>
      <c r="V256" s="4"/>
      <c r="W256" s="4"/>
      <c r="X256" s="18"/>
      <c r="Y256" s="79"/>
      <c r="Z256" s="79"/>
      <c r="AA256" s="79"/>
      <c r="AB256" s="79"/>
    </row>
    <row r="257">
      <c r="A257" s="79"/>
      <c r="B257" s="88">
        <v>2.0</v>
      </c>
      <c r="C257" s="32" t="s">
        <v>966</v>
      </c>
      <c r="D257" s="23"/>
      <c r="E257" s="34" t="s">
        <v>183</v>
      </c>
      <c r="F257" s="23"/>
      <c r="G257" s="33" t="s">
        <v>59</v>
      </c>
      <c r="H257" s="23"/>
      <c r="I257" s="33" t="s">
        <v>60</v>
      </c>
      <c r="J257" s="23"/>
      <c r="K257" s="33" t="str">
        <f>CONCAT("Medium: ", CONCAT(100+(10*Level), " ft"))</f>
        <v>Medium: 110 ft</v>
      </c>
      <c r="L257" s="23"/>
      <c r="M257" s="33" t="s">
        <v>967</v>
      </c>
      <c r="N257" s="23"/>
      <c r="O257" s="33" t="str">
        <f>CONCAT(Level*10, " minutes
10 minutes/level")</f>
        <v>10 minutes
10 minutes/level</v>
      </c>
      <c r="P257" s="23"/>
      <c r="Q257" s="33" t="s">
        <v>62</v>
      </c>
      <c r="R257" s="23"/>
      <c r="S257" s="33" t="s">
        <v>63</v>
      </c>
      <c r="T257" s="23"/>
      <c r="U257" s="35" t="s">
        <v>968</v>
      </c>
      <c r="V257" s="10"/>
      <c r="W257" s="10"/>
      <c r="X257" s="23"/>
      <c r="Y257" s="79"/>
      <c r="Z257" s="79"/>
      <c r="AA257" s="79"/>
      <c r="AB257" s="79"/>
    </row>
    <row r="258">
      <c r="A258" s="79"/>
      <c r="B258" s="91">
        <v>3.0</v>
      </c>
      <c r="C258" s="26" t="s">
        <v>376</v>
      </c>
      <c r="D258" s="18"/>
      <c r="E258" s="27" t="s">
        <v>94</v>
      </c>
      <c r="F258" s="18"/>
      <c r="G258" s="27" t="s">
        <v>111</v>
      </c>
      <c r="H258" s="18"/>
      <c r="I258" s="27" t="s">
        <v>60</v>
      </c>
      <c r="J258" s="18"/>
      <c r="K258" s="27" t="s">
        <v>66</v>
      </c>
      <c r="L258" s="18"/>
      <c r="M258" s="27" t="s">
        <v>377</v>
      </c>
      <c r="N258" s="18"/>
      <c r="O258" s="27" t="str">
        <f>CONCAT((Level)*2, " hours
2 hours/level
see text")</f>
        <v>2 hours
2 hours/level
see text</v>
      </c>
      <c r="P258" s="18"/>
      <c r="Q258" s="27" t="s">
        <v>81</v>
      </c>
      <c r="R258" s="18"/>
      <c r="S258" s="27" t="s">
        <v>113</v>
      </c>
      <c r="T258" s="18"/>
      <c r="U258" s="29" t="s">
        <v>378</v>
      </c>
      <c r="V258" s="4"/>
      <c r="W258" s="4"/>
      <c r="X258" s="18"/>
      <c r="Y258" s="79"/>
      <c r="Z258" s="79"/>
      <c r="AA258" s="79"/>
      <c r="AB258" s="79"/>
    </row>
    <row r="259">
      <c r="A259" s="79"/>
      <c r="B259" s="88">
        <v>4.0</v>
      </c>
      <c r="C259" s="32" t="s">
        <v>390</v>
      </c>
      <c r="D259" s="23"/>
      <c r="E259" s="34" t="s">
        <v>380</v>
      </c>
      <c r="F259" s="23"/>
      <c r="G259" s="33" t="s">
        <v>111</v>
      </c>
      <c r="H259" s="23"/>
      <c r="I259" s="33" t="s">
        <v>60</v>
      </c>
      <c r="J259" s="23"/>
      <c r="K259" s="33" t="str">
        <f>CONCAT("Long: ", CONCAT(400+(40*Level), " ft"))</f>
        <v>Long: 440 ft</v>
      </c>
      <c r="L259" s="23"/>
      <c r="M259" s="33" t="str">
        <f>CONCAT("Water in a volume of ",CONCAT(Level*10,CONCAT(" ft by ",CONCAT(Level*10, CONCAT(" ft by ",CONCAT(Level*2, " ft, 10 by 10 by 2 ft/level"))))))</f>
        <v>Water in a volume of 10 ft by 10 ft by 2 ft, 10 by 10 by 2 ft/level</v>
      </c>
      <c r="N259" s="23"/>
      <c r="O259" s="33" t="str">
        <f>CONCAT(Level*10, " minutes (D)
10 minutes/level")</f>
        <v>10 minutes (D)
10 minutes/level</v>
      </c>
      <c r="P259" s="23"/>
      <c r="Q259" s="33" t="s">
        <v>384</v>
      </c>
      <c r="R259" s="23"/>
      <c r="S259" s="33" t="s">
        <v>63</v>
      </c>
      <c r="T259" s="23"/>
      <c r="U259" s="35" t="s">
        <v>391</v>
      </c>
      <c r="V259" s="10"/>
      <c r="W259" s="10"/>
      <c r="X259" s="23"/>
      <c r="Y259" s="79"/>
      <c r="Z259" s="79"/>
      <c r="AA259" s="79"/>
      <c r="AB259" s="79"/>
    </row>
    <row r="260">
      <c r="A260" s="79"/>
      <c r="B260" s="91">
        <v>5.0</v>
      </c>
      <c r="C260" s="26" t="s">
        <v>969</v>
      </c>
      <c r="D260" s="18"/>
      <c r="E260" s="28" t="s">
        <v>970</v>
      </c>
      <c r="F260" s="18"/>
      <c r="G260" s="27" t="s">
        <v>119</v>
      </c>
      <c r="H260" s="18"/>
      <c r="I260" s="27" t="s">
        <v>60</v>
      </c>
      <c r="J260" s="18"/>
      <c r="K260" s="27" t="str">
        <f>CONCAT("Long: ", CONCAT(400+(40*Level), " ft"))</f>
        <v>Long: 440 ft</v>
      </c>
      <c r="L260" s="18"/>
      <c r="M260" s="27" t="s">
        <v>971</v>
      </c>
      <c r="N260" s="18"/>
      <c r="O260" s="27" t="s">
        <v>972</v>
      </c>
      <c r="P260" s="18"/>
      <c r="Q260" s="27" t="s">
        <v>62</v>
      </c>
      <c r="R260" s="18"/>
      <c r="S260" s="27" t="s">
        <v>82</v>
      </c>
      <c r="T260" s="18"/>
      <c r="U260" s="29" t="s">
        <v>973</v>
      </c>
      <c r="V260" s="4"/>
      <c r="W260" s="4"/>
      <c r="X260" s="18"/>
      <c r="Y260" s="79"/>
      <c r="Z260" s="79"/>
      <c r="AA260" s="79"/>
      <c r="AB260" s="79"/>
    </row>
    <row r="261">
      <c r="A261" s="79"/>
      <c r="B261" s="88">
        <v>6.0</v>
      </c>
      <c r="C261" s="32" t="s">
        <v>974</v>
      </c>
      <c r="D261" s="23"/>
      <c r="E261" s="34" t="s">
        <v>970</v>
      </c>
      <c r="F261" s="23"/>
      <c r="G261" s="33" t="s">
        <v>202</v>
      </c>
      <c r="H261" s="23"/>
      <c r="I261" s="33" t="s">
        <v>60</v>
      </c>
      <c r="J261" s="23"/>
      <c r="K261" s="33" t="s">
        <v>73</v>
      </c>
      <c r="L261" s="23"/>
      <c r="M261" s="33" t="s">
        <v>786</v>
      </c>
      <c r="N261" s="23"/>
      <c r="O261" s="33" t="s">
        <v>61</v>
      </c>
      <c r="P261" s="23"/>
      <c r="Q261" s="33" t="s">
        <v>474</v>
      </c>
      <c r="R261" s="23"/>
      <c r="S261" s="33" t="s">
        <v>82</v>
      </c>
      <c r="T261" s="23"/>
      <c r="U261" s="35" t="str">
        <f>MIN(Level,15)&amp;"d6 cold damage, 1d6/level"</f>
        <v>1d6 cold damage, 1d6/level</v>
      </c>
      <c r="V261" s="10"/>
      <c r="W261" s="10"/>
      <c r="X261" s="23"/>
      <c r="Y261" s="79"/>
      <c r="Z261" s="79"/>
      <c r="AA261" s="79"/>
      <c r="AB261" s="79"/>
    </row>
    <row r="262">
      <c r="A262" s="79"/>
      <c r="B262" s="92">
        <v>7.0</v>
      </c>
      <c r="C262" s="26" t="s">
        <v>975</v>
      </c>
      <c r="D262" s="18"/>
      <c r="E262" s="28" t="s">
        <v>976</v>
      </c>
      <c r="F262" s="18"/>
      <c r="G262" s="27" t="s">
        <v>202</v>
      </c>
      <c r="H262" s="18"/>
      <c r="I262" s="27" t="s">
        <v>60</v>
      </c>
      <c r="J262" s="18"/>
      <c r="K262" s="27" t="str">
        <f>medium</f>
        <v>Medium: 110 ft</v>
      </c>
      <c r="L262" s="18"/>
      <c r="M262" s="27" t="s">
        <v>977</v>
      </c>
      <c r="N262" s="18"/>
      <c r="O262" s="27" t="str">
        <f>Level&amp;" round(s)
1 round/level"</f>
        <v>1 round(s)
1 round/level</v>
      </c>
      <c r="P262" s="18"/>
      <c r="Q262" s="27" t="s">
        <v>62</v>
      </c>
      <c r="R262" s="18"/>
      <c r="S262" s="27" t="s">
        <v>63</v>
      </c>
      <c r="T262" s="18"/>
      <c r="U262" s="29" t="s">
        <v>978</v>
      </c>
      <c r="V262" s="4"/>
      <c r="W262" s="4"/>
      <c r="X262" s="18"/>
      <c r="Y262" s="79"/>
      <c r="Z262" s="79"/>
      <c r="AA262" s="79"/>
      <c r="AB262" s="79"/>
    </row>
    <row r="263">
      <c r="A263" s="79"/>
      <c r="B263" s="93">
        <v>8.0</v>
      </c>
      <c r="C263" s="32" t="s">
        <v>979</v>
      </c>
      <c r="D263" s="23"/>
      <c r="E263" s="33" t="s">
        <v>85</v>
      </c>
      <c r="F263" s="23"/>
      <c r="G263" s="33" t="s">
        <v>202</v>
      </c>
      <c r="H263" s="23"/>
      <c r="I263" s="33" t="s">
        <v>60</v>
      </c>
      <c r="J263" s="23"/>
      <c r="K263" s="33" t="str">
        <f>long</f>
        <v>Long: 440 ft</v>
      </c>
      <c r="L263" s="23"/>
      <c r="M263" s="33" t="s">
        <v>980</v>
      </c>
      <c r="N263" s="23"/>
      <c r="O263" s="33" t="s">
        <v>61</v>
      </c>
      <c r="P263" s="23"/>
      <c r="Q263" s="33" t="s">
        <v>981</v>
      </c>
      <c r="R263" s="23"/>
      <c r="S263" s="33" t="s">
        <v>82</v>
      </c>
      <c r="T263" s="23"/>
      <c r="U263" s="35" t="str">
        <f>"Deals "&amp;MIN(Level, 20)&amp;"d6 damage within 30 ft, 1d6/level"</f>
        <v>Deals 1d6 damage within 30 ft, 1d6/level</v>
      </c>
      <c r="V263" s="10"/>
      <c r="W263" s="10"/>
      <c r="X263" s="23"/>
      <c r="Y263" s="79"/>
      <c r="Z263" s="79"/>
      <c r="AA263" s="79"/>
      <c r="AB263" s="79"/>
    </row>
    <row r="264">
      <c r="A264" s="79"/>
      <c r="B264" s="92">
        <v>9.0</v>
      </c>
      <c r="C264" s="26" t="s">
        <v>982</v>
      </c>
      <c r="D264" s="18"/>
      <c r="E264" s="28" t="s">
        <v>983</v>
      </c>
      <c r="F264" s="18"/>
      <c r="G264" s="27" t="s">
        <v>59</v>
      </c>
      <c r="H264" s="18"/>
      <c r="I264" s="27" t="s">
        <v>319</v>
      </c>
      <c r="J264" s="18"/>
      <c r="K264" s="27" t="str">
        <f>CONCAT("Medium: ", CONCAT(100+(10*Level), " ft"))</f>
        <v>Medium: 110 ft</v>
      </c>
      <c r="L264" s="18"/>
      <c r="M264" s="27" t="s">
        <v>725</v>
      </c>
      <c r="N264" s="18"/>
      <c r="O264" s="27" t="str">
        <f>CONCAT(Level*10, " minutes (D)
10 minutes/level")</f>
        <v>10 minutes (D)
10 minutes/level</v>
      </c>
      <c r="P264" s="18"/>
      <c r="Q264" s="27" t="s">
        <v>62</v>
      </c>
      <c r="R264" s="18"/>
      <c r="S264" s="27" t="s">
        <v>63</v>
      </c>
      <c r="T264" s="18"/>
      <c r="U264" s="29" t="s">
        <v>726</v>
      </c>
      <c r="V264" s="4"/>
      <c r="W264" s="4"/>
      <c r="X264" s="18"/>
      <c r="Y264" s="79"/>
      <c r="Z264" s="79"/>
      <c r="AA264" s="79"/>
      <c r="AB264" s="79"/>
    </row>
    <row r="265">
      <c r="A265" s="79"/>
      <c r="B265" s="84"/>
      <c r="C265" s="84"/>
      <c r="D265" s="84"/>
      <c r="E265" s="85"/>
      <c r="F265" s="85"/>
      <c r="G265" s="72"/>
      <c r="H265" s="72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6"/>
      <c r="V265" s="86"/>
      <c r="W265" s="86"/>
      <c r="X265" s="86"/>
      <c r="Y265" s="79"/>
      <c r="Z265" s="79"/>
      <c r="AA265" s="79"/>
      <c r="AB265" s="79"/>
    </row>
    <row r="266">
      <c r="A266" s="79"/>
      <c r="B266" s="84"/>
      <c r="C266" s="84"/>
      <c r="D266" s="84"/>
      <c r="E266" s="85"/>
      <c r="F266" s="85"/>
      <c r="G266" s="72"/>
      <c r="H266" s="72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6"/>
      <c r="V266" s="86"/>
      <c r="W266" s="86"/>
      <c r="X266" s="86"/>
      <c r="Y266" s="79"/>
      <c r="Z266" s="79"/>
      <c r="AA266" s="79"/>
      <c r="AB266" s="79"/>
    </row>
    <row r="267">
      <c r="A267" s="79"/>
      <c r="B267" s="84"/>
      <c r="C267" s="84"/>
      <c r="D267" s="84"/>
      <c r="E267" s="85"/>
      <c r="F267" s="85"/>
      <c r="G267" s="72"/>
      <c r="H267" s="72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6"/>
      <c r="V267" s="86"/>
      <c r="W267" s="86"/>
      <c r="X267" s="86"/>
      <c r="Y267" s="79"/>
      <c r="Z267" s="79"/>
      <c r="AA267" s="79"/>
      <c r="AB267" s="79"/>
    </row>
    <row r="268">
      <c r="A268" s="79"/>
      <c r="B268" s="84"/>
      <c r="C268" s="84"/>
      <c r="D268" s="84"/>
      <c r="E268" s="85"/>
      <c r="F268" s="85"/>
      <c r="G268" s="72"/>
      <c r="H268" s="72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6"/>
      <c r="V268" s="86"/>
      <c r="W268" s="86"/>
      <c r="X268" s="86"/>
      <c r="Y268" s="79"/>
      <c r="Z268" s="79"/>
      <c r="AA268" s="79"/>
      <c r="AB268" s="79"/>
    </row>
    <row r="269">
      <c r="A269" s="79"/>
      <c r="B269" s="84"/>
      <c r="C269" s="84"/>
      <c r="D269" s="84"/>
      <c r="E269" s="85"/>
      <c r="F269" s="85"/>
      <c r="G269" s="72"/>
      <c r="H269" s="72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6"/>
      <c r="V269" s="86"/>
      <c r="W269" s="86"/>
      <c r="X269" s="86"/>
      <c r="Y269" s="79"/>
      <c r="Z269" s="79"/>
      <c r="AA269" s="79"/>
      <c r="AB269" s="79"/>
    </row>
    <row r="270">
      <c r="A270" s="79"/>
      <c r="B270" s="84"/>
      <c r="C270" s="84"/>
      <c r="D270" s="84"/>
      <c r="E270" s="85"/>
      <c r="F270" s="85"/>
      <c r="G270" s="72"/>
      <c r="H270" s="72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6"/>
      <c r="V270" s="86"/>
      <c r="W270" s="86"/>
      <c r="X270" s="86"/>
      <c r="Y270" s="79"/>
      <c r="Z270" s="79"/>
      <c r="AA270" s="79"/>
      <c r="AB270" s="79"/>
    </row>
    <row r="271">
      <c r="A271" s="79"/>
      <c r="B271" s="84"/>
      <c r="C271" s="84"/>
      <c r="D271" s="84"/>
      <c r="E271" s="85"/>
      <c r="F271" s="85"/>
      <c r="G271" s="72"/>
      <c r="H271" s="72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6"/>
      <c r="V271" s="86"/>
      <c r="W271" s="86"/>
      <c r="X271" s="86"/>
      <c r="Y271" s="79"/>
      <c r="Z271" s="79"/>
      <c r="AA271" s="79"/>
      <c r="AB271" s="79"/>
    </row>
    <row r="272">
      <c r="A272" s="79"/>
      <c r="B272" s="84"/>
      <c r="C272" s="84"/>
      <c r="D272" s="84"/>
      <c r="E272" s="85"/>
      <c r="F272" s="85"/>
      <c r="G272" s="72"/>
      <c r="H272" s="72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6"/>
      <c r="V272" s="86"/>
      <c r="W272" s="86"/>
      <c r="X272" s="86"/>
      <c r="Y272" s="79"/>
      <c r="Z272" s="79"/>
      <c r="AA272" s="79"/>
      <c r="AB272" s="79"/>
    </row>
    <row r="273">
      <c r="A273" s="79"/>
      <c r="B273" s="84"/>
      <c r="C273" s="84"/>
      <c r="D273" s="84"/>
      <c r="E273" s="85"/>
      <c r="F273" s="85"/>
      <c r="G273" s="72"/>
      <c r="H273" s="72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6"/>
      <c r="V273" s="86"/>
      <c r="W273" s="86"/>
      <c r="X273" s="86"/>
      <c r="Y273" s="79"/>
      <c r="Z273" s="79"/>
      <c r="AA273" s="79"/>
      <c r="AB273" s="79"/>
    </row>
    <row r="274">
      <c r="A274" s="79"/>
      <c r="B274" s="84"/>
      <c r="C274" s="84"/>
      <c r="D274" s="84"/>
      <c r="E274" s="85"/>
      <c r="F274" s="85"/>
      <c r="G274" s="72"/>
      <c r="H274" s="72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6"/>
      <c r="V274" s="86"/>
      <c r="W274" s="86"/>
      <c r="X274" s="86"/>
      <c r="Y274" s="79"/>
      <c r="Z274" s="79"/>
      <c r="AA274" s="79"/>
      <c r="AB274" s="79"/>
    </row>
    <row r="275">
      <c r="A275" s="79"/>
      <c r="B275" s="84"/>
      <c r="C275" s="84"/>
      <c r="D275" s="84"/>
      <c r="E275" s="85"/>
      <c r="F275" s="85"/>
      <c r="G275" s="72"/>
      <c r="H275" s="72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6"/>
      <c r="V275" s="86"/>
      <c r="W275" s="86"/>
      <c r="X275" s="86"/>
      <c r="Y275" s="79"/>
      <c r="Z275" s="79"/>
      <c r="AA275" s="79"/>
      <c r="AB275" s="79"/>
    </row>
    <row r="276">
      <c r="A276" s="79"/>
      <c r="B276" s="84"/>
      <c r="C276" s="84"/>
      <c r="D276" s="84"/>
      <c r="E276" s="85"/>
      <c r="F276" s="85"/>
      <c r="G276" s="72"/>
      <c r="H276" s="72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6"/>
      <c r="V276" s="86"/>
      <c r="W276" s="86"/>
      <c r="X276" s="86"/>
      <c r="Y276" s="79"/>
      <c r="Z276" s="79"/>
      <c r="AA276" s="79"/>
      <c r="AB276" s="79"/>
    </row>
    <row r="277">
      <c r="A277" s="79"/>
      <c r="B277" s="84"/>
      <c r="C277" s="84"/>
      <c r="D277" s="84"/>
      <c r="E277" s="85"/>
      <c r="F277" s="85"/>
      <c r="G277" s="72"/>
      <c r="H277" s="72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6"/>
      <c r="V277" s="86"/>
      <c r="W277" s="86"/>
      <c r="X277" s="86"/>
      <c r="Y277" s="79"/>
      <c r="Z277" s="79"/>
      <c r="AA277" s="79"/>
      <c r="AB277" s="79"/>
    </row>
    <row r="278">
      <c r="A278" s="79"/>
      <c r="B278" s="84"/>
      <c r="C278" s="84"/>
      <c r="D278" s="84"/>
      <c r="E278" s="85"/>
      <c r="F278" s="85"/>
      <c r="G278" s="72"/>
      <c r="H278" s="72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6"/>
      <c r="V278" s="86"/>
      <c r="W278" s="86"/>
      <c r="X278" s="86"/>
      <c r="Y278" s="79"/>
      <c r="Z278" s="79"/>
      <c r="AA278" s="79"/>
      <c r="AB278" s="79"/>
    </row>
    <row r="279">
      <c r="A279" s="79"/>
      <c r="B279" s="84"/>
      <c r="C279" s="84"/>
      <c r="D279" s="84"/>
      <c r="E279" s="85"/>
      <c r="F279" s="85"/>
      <c r="G279" s="72"/>
      <c r="H279" s="72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6"/>
      <c r="V279" s="86"/>
      <c r="W279" s="86"/>
      <c r="X279" s="86"/>
      <c r="Y279" s="79"/>
      <c r="Z279" s="79"/>
      <c r="AA279" s="79"/>
      <c r="AB279" s="79"/>
    </row>
    <row r="280">
      <c r="A280" s="79"/>
      <c r="B280" s="84"/>
      <c r="C280" s="84"/>
      <c r="D280" s="84"/>
      <c r="E280" s="85"/>
      <c r="F280" s="85"/>
      <c r="G280" s="72"/>
      <c r="H280" s="72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6"/>
      <c r="V280" s="86"/>
      <c r="W280" s="86"/>
      <c r="X280" s="86"/>
      <c r="Y280" s="79"/>
      <c r="Z280" s="79"/>
      <c r="AA280" s="79"/>
      <c r="AB280" s="79"/>
    </row>
    <row r="281">
      <c r="A281" s="79"/>
      <c r="B281" s="84"/>
      <c r="C281" s="84"/>
      <c r="D281" s="84"/>
      <c r="E281" s="85"/>
      <c r="F281" s="85"/>
      <c r="G281" s="72"/>
      <c r="H281" s="72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6"/>
      <c r="V281" s="86"/>
      <c r="W281" s="86"/>
      <c r="X281" s="86"/>
      <c r="Y281" s="79"/>
      <c r="Z281" s="79"/>
      <c r="AA281" s="79"/>
      <c r="AB281" s="79"/>
    </row>
    <row r="282">
      <c r="A282" s="79"/>
      <c r="B282" s="84"/>
      <c r="C282" s="84"/>
      <c r="D282" s="84"/>
      <c r="E282" s="85"/>
      <c r="F282" s="85"/>
      <c r="G282" s="72"/>
      <c r="H282" s="72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6"/>
      <c r="V282" s="86"/>
      <c r="W282" s="86"/>
      <c r="X282" s="86"/>
      <c r="Y282" s="79"/>
      <c r="Z282" s="79"/>
      <c r="AA282" s="79"/>
      <c r="AB282" s="79"/>
    </row>
    <row r="283">
      <c r="A283" s="79"/>
      <c r="B283" s="84"/>
      <c r="C283" s="84"/>
      <c r="D283" s="84"/>
      <c r="E283" s="85"/>
      <c r="F283" s="85"/>
      <c r="G283" s="72"/>
      <c r="H283" s="72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6"/>
      <c r="V283" s="86"/>
      <c r="W283" s="86"/>
      <c r="X283" s="86"/>
      <c r="Y283" s="79"/>
      <c r="Z283" s="79"/>
      <c r="AA283" s="79"/>
      <c r="AB283" s="79"/>
    </row>
    <row r="284">
      <c r="A284" s="79"/>
      <c r="B284" s="84"/>
      <c r="C284" s="84"/>
      <c r="D284" s="84"/>
      <c r="E284" s="85"/>
      <c r="F284" s="85"/>
      <c r="G284" s="72"/>
      <c r="H284" s="72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6"/>
      <c r="V284" s="86"/>
      <c r="W284" s="86"/>
      <c r="X284" s="86"/>
      <c r="Y284" s="79"/>
      <c r="Z284" s="79"/>
      <c r="AA284" s="79"/>
      <c r="AB284" s="79"/>
    </row>
    <row r="285">
      <c r="A285" s="79"/>
      <c r="B285" s="84"/>
      <c r="C285" s="84"/>
      <c r="D285" s="84"/>
      <c r="E285" s="85"/>
      <c r="F285" s="85"/>
      <c r="G285" s="72"/>
      <c r="H285" s="72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6"/>
      <c r="V285" s="86"/>
      <c r="W285" s="86"/>
      <c r="X285" s="86"/>
      <c r="Y285" s="79"/>
      <c r="Z285" s="79"/>
      <c r="AA285" s="79"/>
      <c r="AB285" s="79"/>
    </row>
    <row r="286">
      <c r="A286" s="79"/>
      <c r="B286" s="84"/>
      <c r="C286" s="84"/>
      <c r="D286" s="84"/>
      <c r="E286" s="85"/>
      <c r="F286" s="85"/>
      <c r="G286" s="72"/>
      <c r="H286" s="72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6"/>
      <c r="V286" s="86"/>
      <c r="W286" s="86"/>
      <c r="X286" s="86"/>
      <c r="Y286" s="79"/>
      <c r="Z286" s="79"/>
      <c r="AA286" s="79"/>
      <c r="AB286" s="79"/>
    </row>
    <row r="287">
      <c r="A287" s="79"/>
      <c r="B287" s="84"/>
      <c r="C287" s="84"/>
      <c r="D287" s="84"/>
      <c r="E287" s="85"/>
      <c r="F287" s="85"/>
      <c r="G287" s="72"/>
      <c r="H287" s="72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6"/>
      <c r="V287" s="86"/>
      <c r="W287" s="86"/>
      <c r="X287" s="86"/>
      <c r="Y287" s="79"/>
      <c r="Z287" s="79"/>
      <c r="AA287" s="79"/>
      <c r="AB287" s="79"/>
    </row>
    <row r="288">
      <c r="A288" s="79"/>
      <c r="B288" s="84"/>
      <c r="C288" s="84"/>
      <c r="D288" s="84"/>
      <c r="E288" s="85"/>
      <c r="F288" s="85"/>
      <c r="G288" s="72"/>
      <c r="H288" s="72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6"/>
      <c r="V288" s="86"/>
      <c r="W288" s="86"/>
      <c r="X288" s="86"/>
      <c r="Y288" s="79"/>
      <c r="Z288" s="79"/>
      <c r="AA288" s="79"/>
      <c r="AB288" s="79"/>
    </row>
    <row r="289">
      <c r="A289" s="79"/>
      <c r="B289" s="84"/>
      <c r="C289" s="84"/>
      <c r="D289" s="84"/>
      <c r="E289" s="85"/>
      <c r="F289" s="85"/>
      <c r="G289" s="72"/>
      <c r="H289" s="72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6"/>
      <c r="V289" s="86"/>
      <c r="W289" s="86"/>
      <c r="X289" s="86"/>
      <c r="Y289" s="79"/>
      <c r="Z289" s="79"/>
      <c r="AA289" s="79"/>
      <c r="AB289" s="79"/>
    </row>
    <row r="290">
      <c r="A290" s="79"/>
      <c r="B290" s="84"/>
      <c r="C290" s="84"/>
      <c r="D290" s="84"/>
      <c r="E290" s="85"/>
      <c r="F290" s="85"/>
      <c r="G290" s="72"/>
      <c r="H290" s="72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6"/>
      <c r="V290" s="86"/>
      <c r="W290" s="86"/>
      <c r="X290" s="86"/>
      <c r="Y290" s="79"/>
      <c r="Z290" s="79"/>
      <c r="AA290" s="79"/>
      <c r="AB290" s="79"/>
    </row>
    <row r="291">
      <c r="A291" s="79"/>
      <c r="B291" s="84"/>
      <c r="C291" s="84"/>
      <c r="D291" s="84"/>
      <c r="E291" s="85"/>
      <c r="F291" s="85"/>
      <c r="G291" s="72"/>
      <c r="H291" s="72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6"/>
      <c r="V291" s="86"/>
      <c r="W291" s="86"/>
      <c r="X291" s="86"/>
      <c r="Y291" s="79"/>
      <c r="Z291" s="79"/>
      <c r="AA291" s="79"/>
      <c r="AB291" s="79"/>
    </row>
    <row r="292">
      <c r="A292" s="79"/>
      <c r="B292" s="84"/>
      <c r="C292" s="84"/>
      <c r="D292" s="84"/>
      <c r="E292" s="85"/>
      <c r="F292" s="85"/>
      <c r="G292" s="72"/>
      <c r="H292" s="72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6"/>
      <c r="V292" s="86"/>
      <c r="W292" s="86"/>
      <c r="X292" s="86"/>
      <c r="Y292" s="79"/>
      <c r="Z292" s="79"/>
      <c r="AA292" s="79"/>
      <c r="AB292" s="79"/>
    </row>
    <row r="293">
      <c r="A293" s="79"/>
      <c r="B293" s="84"/>
      <c r="C293" s="84"/>
      <c r="D293" s="84"/>
      <c r="E293" s="85"/>
      <c r="F293" s="85"/>
      <c r="G293" s="72"/>
      <c r="H293" s="72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6"/>
      <c r="V293" s="86"/>
      <c r="W293" s="86"/>
      <c r="X293" s="86"/>
      <c r="Y293" s="79"/>
      <c r="Z293" s="79"/>
      <c r="AA293" s="79"/>
      <c r="AB293" s="79"/>
    </row>
    <row r="294">
      <c r="A294" s="79"/>
      <c r="B294" s="84"/>
      <c r="C294" s="84"/>
      <c r="D294" s="84"/>
      <c r="E294" s="85"/>
      <c r="F294" s="85"/>
      <c r="G294" s="72"/>
      <c r="H294" s="72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6"/>
      <c r="V294" s="86"/>
      <c r="W294" s="86"/>
      <c r="X294" s="86"/>
      <c r="Y294" s="79"/>
      <c r="Z294" s="79"/>
      <c r="AA294" s="79"/>
      <c r="AB294" s="79"/>
    </row>
    <row r="295">
      <c r="A295" s="79"/>
      <c r="B295" s="84"/>
      <c r="C295" s="84"/>
      <c r="D295" s="84"/>
      <c r="E295" s="85"/>
      <c r="F295" s="85"/>
      <c r="G295" s="72"/>
      <c r="H295" s="72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6"/>
      <c r="V295" s="86"/>
      <c r="W295" s="86"/>
      <c r="X295" s="86"/>
      <c r="Y295" s="79"/>
      <c r="Z295" s="79"/>
      <c r="AA295" s="79"/>
      <c r="AB295" s="79"/>
    </row>
    <row r="296">
      <c r="A296" s="79"/>
      <c r="B296" s="84"/>
      <c r="C296" s="84"/>
      <c r="D296" s="84"/>
      <c r="E296" s="85"/>
      <c r="F296" s="85"/>
      <c r="G296" s="72"/>
      <c r="H296" s="72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6"/>
      <c r="V296" s="86"/>
      <c r="W296" s="86"/>
      <c r="X296" s="86"/>
      <c r="Y296" s="79"/>
      <c r="Z296" s="79"/>
      <c r="AA296" s="79"/>
      <c r="AB296" s="79"/>
    </row>
    <row r="297">
      <c r="A297" s="79"/>
      <c r="B297" s="84"/>
      <c r="C297" s="84"/>
      <c r="D297" s="84"/>
      <c r="E297" s="85"/>
      <c r="F297" s="85"/>
      <c r="G297" s="72"/>
      <c r="H297" s="72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6"/>
      <c r="V297" s="86"/>
      <c r="W297" s="86"/>
      <c r="X297" s="86"/>
      <c r="Y297" s="79"/>
      <c r="Z297" s="79"/>
      <c r="AA297" s="79"/>
      <c r="AB297" s="79"/>
    </row>
    <row r="298">
      <c r="A298" s="79"/>
      <c r="B298" s="84"/>
      <c r="C298" s="84"/>
      <c r="D298" s="84"/>
      <c r="E298" s="85"/>
      <c r="F298" s="85"/>
      <c r="G298" s="72"/>
      <c r="H298" s="72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6"/>
      <c r="V298" s="86"/>
      <c r="W298" s="86"/>
      <c r="X298" s="86"/>
      <c r="Y298" s="79"/>
      <c r="Z298" s="79"/>
      <c r="AA298" s="79"/>
      <c r="AB298" s="79"/>
    </row>
    <row r="299">
      <c r="A299" s="79"/>
      <c r="B299" s="84"/>
      <c r="C299" s="84"/>
      <c r="D299" s="84"/>
      <c r="E299" s="85"/>
      <c r="F299" s="85"/>
      <c r="G299" s="72"/>
      <c r="H299" s="72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6"/>
      <c r="V299" s="86"/>
      <c r="W299" s="86"/>
      <c r="X299" s="86"/>
      <c r="Y299" s="79"/>
      <c r="Z299" s="79"/>
      <c r="AA299" s="79"/>
      <c r="AB299" s="79"/>
    </row>
    <row r="300">
      <c r="A300" s="79"/>
      <c r="B300" s="84"/>
      <c r="C300" s="84"/>
      <c r="D300" s="84"/>
      <c r="E300" s="85"/>
      <c r="F300" s="85"/>
      <c r="G300" s="72"/>
      <c r="H300" s="72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6"/>
      <c r="V300" s="86"/>
      <c r="W300" s="86"/>
      <c r="X300" s="86"/>
      <c r="Y300" s="79"/>
      <c r="Z300" s="79"/>
      <c r="AA300" s="79"/>
      <c r="AB300" s="79"/>
    </row>
    <row r="301">
      <c r="A301" s="79"/>
      <c r="B301" s="84"/>
      <c r="C301" s="84"/>
      <c r="D301" s="84"/>
      <c r="E301" s="85"/>
      <c r="F301" s="85"/>
      <c r="G301" s="72"/>
      <c r="H301" s="72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6"/>
      <c r="V301" s="86"/>
      <c r="W301" s="86"/>
      <c r="X301" s="86"/>
      <c r="Y301" s="79"/>
      <c r="Z301" s="79"/>
      <c r="AA301" s="79"/>
      <c r="AB301" s="79"/>
    </row>
    <row r="302">
      <c r="A302" s="79"/>
      <c r="B302" s="84"/>
      <c r="C302" s="84"/>
      <c r="D302" s="84"/>
      <c r="E302" s="85"/>
      <c r="F302" s="85"/>
      <c r="G302" s="72"/>
      <c r="H302" s="72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6"/>
      <c r="V302" s="86"/>
      <c r="W302" s="86"/>
      <c r="X302" s="86"/>
      <c r="Y302" s="79"/>
      <c r="Z302" s="79"/>
      <c r="AA302" s="79"/>
      <c r="AB302" s="79"/>
    </row>
    <row r="303">
      <c r="A303" s="79"/>
      <c r="B303" s="84"/>
      <c r="C303" s="84"/>
      <c r="D303" s="84"/>
      <c r="E303" s="85"/>
      <c r="F303" s="85"/>
      <c r="G303" s="72"/>
      <c r="H303" s="72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6"/>
      <c r="V303" s="86"/>
      <c r="W303" s="86"/>
      <c r="X303" s="86"/>
      <c r="Y303" s="79"/>
      <c r="Z303" s="79"/>
      <c r="AA303" s="79"/>
      <c r="AB303" s="79"/>
    </row>
    <row r="304">
      <c r="A304" s="79"/>
      <c r="B304" s="84"/>
      <c r="C304" s="84"/>
      <c r="D304" s="84"/>
      <c r="E304" s="85"/>
      <c r="F304" s="85"/>
      <c r="G304" s="72"/>
      <c r="H304" s="72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6"/>
      <c r="V304" s="86"/>
      <c r="W304" s="86"/>
      <c r="X304" s="86"/>
      <c r="Y304" s="79"/>
      <c r="Z304" s="79"/>
      <c r="AA304" s="79"/>
      <c r="AB304" s="79"/>
    </row>
    <row r="305">
      <c r="A305" s="79"/>
      <c r="B305" s="84"/>
      <c r="C305" s="84"/>
      <c r="D305" s="84"/>
      <c r="E305" s="85"/>
      <c r="F305" s="85"/>
      <c r="G305" s="72"/>
      <c r="H305" s="72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6"/>
      <c r="V305" s="86"/>
      <c r="W305" s="86"/>
      <c r="X305" s="86"/>
      <c r="Y305" s="79"/>
      <c r="Z305" s="79"/>
      <c r="AA305" s="79"/>
      <c r="AB305" s="79"/>
    </row>
    <row r="306">
      <c r="A306" s="79"/>
      <c r="B306" s="84"/>
      <c r="C306" s="84"/>
      <c r="D306" s="84"/>
      <c r="E306" s="85"/>
      <c r="F306" s="85"/>
      <c r="G306" s="72"/>
      <c r="H306" s="72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6"/>
      <c r="V306" s="86"/>
      <c r="W306" s="86"/>
      <c r="X306" s="86"/>
      <c r="Y306" s="79"/>
      <c r="Z306" s="79"/>
      <c r="AA306" s="79"/>
      <c r="AB306" s="79"/>
    </row>
    <row r="307">
      <c r="A307" s="79"/>
      <c r="B307" s="84"/>
      <c r="C307" s="84"/>
      <c r="D307" s="84"/>
      <c r="E307" s="85"/>
      <c r="F307" s="85"/>
      <c r="G307" s="72"/>
      <c r="H307" s="72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6"/>
      <c r="V307" s="86"/>
      <c r="W307" s="86"/>
      <c r="X307" s="86"/>
      <c r="Y307" s="79"/>
      <c r="Z307" s="79"/>
      <c r="AA307" s="79"/>
      <c r="AB307" s="79"/>
    </row>
    <row r="308">
      <c r="A308" s="79"/>
      <c r="B308" s="84"/>
      <c r="C308" s="84"/>
      <c r="D308" s="84"/>
      <c r="E308" s="85"/>
      <c r="F308" s="85"/>
      <c r="G308" s="72"/>
      <c r="H308" s="72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6"/>
      <c r="V308" s="86"/>
      <c r="W308" s="86"/>
      <c r="X308" s="86"/>
      <c r="Y308" s="79"/>
      <c r="Z308" s="79"/>
      <c r="AA308" s="79"/>
      <c r="AB308" s="79"/>
    </row>
    <row r="309">
      <c r="A309" s="79"/>
      <c r="B309" s="84"/>
      <c r="C309" s="84"/>
      <c r="D309" s="84"/>
      <c r="E309" s="85"/>
      <c r="F309" s="85"/>
      <c r="G309" s="72"/>
      <c r="H309" s="72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6"/>
      <c r="V309" s="86"/>
      <c r="W309" s="86"/>
      <c r="X309" s="86"/>
      <c r="Y309" s="79"/>
      <c r="Z309" s="79"/>
      <c r="AA309" s="79"/>
      <c r="AB309" s="79"/>
    </row>
    <row r="310">
      <c r="A310" s="79"/>
      <c r="B310" s="84"/>
      <c r="C310" s="84"/>
      <c r="D310" s="84"/>
      <c r="E310" s="85"/>
      <c r="F310" s="85"/>
      <c r="G310" s="72"/>
      <c r="H310" s="72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6"/>
      <c r="V310" s="86"/>
      <c r="W310" s="86"/>
      <c r="X310" s="86"/>
      <c r="Y310" s="79"/>
      <c r="Z310" s="79"/>
      <c r="AA310" s="79"/>
      <c r="AB310" s="79"/>
    </row>
    <row r="311">
      <c r="A311" s="79"/>
      <c r="B311" s="84"/>
      <c r="C311" s="84"/>
      <c r="D311" s="84"/>
      <c r="E311" s="85"/>
      <c r="F311" s="85"/>
      <c r="G311" s="72"/>
      <c r="H311" s="72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6"/>
      <c r="V311" s="86"/>
      <c r="W311" s="86"/>
      <c r="X311" s="86"/>
      <c r="Y311" s="79"/>
      <c r="Z311" s="79"/>
      <c r="AA311" s="79"/>
      <c r="AB311" s="79"/>
    </row>
    <row r="312">
      <c r="A312" s="79"/>
      <c r="B312" s="84"/>
      <c r="C312" s="84"/>
      <c r="D312" s="84"/>
      <c r="E312" s="85"/>
      <c r="F312" s="85"/>
      <c r="G312" s="72"/>
      <c r="H312" s="72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6"/>
      <c r="V312" s="86"/>
      <c r="W312" s="86"/>
      <c r="X312" s="86"/>
      <c r="Y312" s="79"/>
      <c r="Z312" s="79"/>
      <c r="AA312" s="79"/>
      <c r="AB312" s="79"/>
    </row>
    <row r="313">
      <c r="A313" s="79"/>
      <c r="B313" s="84"/>
      <c r="C313" s="84"/>
      <c r="D313" s="84"/>
      <c r="E313" s="85"/>
      <c r="F313" s="85"/>
      <c r="G313" s="72"/>
      <c r="H313" s="72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6"/>
      <c r="V313" s="86"/>
      <c r="W313" s="86"/>
      <c r="X313" s="86"/>
      <c r="Y313" s="79"/>
      <c r="Z313" s="79"/>
      <c r="AA313" s="79"/>
      <c r="AB313" s="79"/>
    </row>
    <row r="314">
      <c r="A314" s="79"/>
      <c r="B314" s="84"/>
      <c r="C314" s="84"/>
      <c r="D314" s="84"/>
      <c r="E314" s="85"/>
      <c r="F314" s="85"/>
      <c r="G314" s="72"/>
      <c r="H314" s="72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6"/>
      <c r="V314" s="86"/>
      <c r="W314" s="86"/>
      <c r="X314" s="86"/>
      <c r="Y314" s="79"/>
      <c r="Z314" s="79"/>
      <c r="AA314" s="79"/>
      <c r="AB314" s="79"/>
    </row>
    <row r="315">
      <c r="A315" s="79"/>
      <c r="B315" s="84"/>
      <c r="C315" s="84"/>
      <c r="D315" s="84"/>
      <c r="E315" s="85"/>
      <c r="F315" s="85"/>
      <c r="G315" s="72"/>
      <c r="H315" s="72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6"/>
      <c r="V315" s="86"/>
      <c r="W315" s="86"/>
      <c r="X315" s="86"/>
      <c r="Y315" s="79"/>
      <c r="Z315" s="79"/>
      <c r="AA315" s="79"/>
      <c r="AB315" s="79"/>
    </row>
    <row r="316">
      <c r="A316" s="79"/>
      <c r="B316" s="84"/>
      <c r="C316" s="84"/>
      <c r="D316" s="84"/>
      <c r="E316" s="85"/>
      <c r="F316" s="85"/>
      <c r="G316" s="72"/>
      <c r="H316" s="72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6"/>
      <c r="V316" s="86"/>
      <c r="W316" s="86"/>
      <c r="X316" s="86"/>
      <c r="Y316" s="79"/>
      <c r="Z316" s="79"/>
      <c r="AA316" s="79"/>
      <c r="AB316" s="79"/>
    </row>
    <row r="317">
      <c r="A317" s="79"/>
      <c r="B317" s="84"/>
      <c r="C317" s="84"/>
      <c r="D317" s="84"/>
      <c r="E317" s="85"/>
      <c r="F317" s="85"/>
      <c r="G317" s="72"/>
      <c r="H317" s="72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6"/>
      <c r="V317" s="86"/>
      <c r="W317" s="86"/>
      <c r="X317" s="86"/>
      <c r="Y317" s="79"/>
      <c r="Z317" s="79"/>
      <c r="AA317" s="79"/>
      <c r="AB317" s="79"/>
    </row>
    <row r="318">
      <c r="A318" s="79"/>
      <c r="B318" s="84"/>
      <c r="C318" s="84"/>
      <c r="D318" s="84"/>
      <c r="E318" s="85"/>
      <c r="F318" s="85"/>
      <c r="G318" s="72"/>
      <c r="H318" s="72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6"/>
      <c r="V318" s="86"/>
      <c r="W318" s="86"/>
      <c r="X318" s="86"/>
      <c r="Y318" s="79"/>
      <c r="Z318" s="79"/>
      <c r="AA318" s="79"/>
      <c r="AB318" s="79"/>
    </row>
    <row r="319">
      <c r="A319" s="79"/>
      <c r="B319" s="84"/>
      <c r="C319" s="84"/>
      <c r="D319" s="84"/>
      <c r="E319" s="85"/>
      <c r="F319" s="85"/>
      <c r="G319" s="72"/>
      <c r="H319" s="72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6"/>
      <c r="V319" s="86"/>
      <c r="W319" s="86"/>
      <c r="X319" s="86"/>
      <c r="Y319" s="79"/>
      <c r="Z319" s="79"/>
      <c r="AA319" s="79"/>
      <c r="AB319" s="79"/>
    </row>
    <row r="320">
      <c r="A320" s="79"/>
      <c r="B320" s="84"/>
      <c r="C320" s="84"/>
      <c r="D320" s="84"/>
      <c r="E320" s="85"/>
      <c r="F320" s="85"/>
      <c r="G320" s="72"/>
      <c r="H320" s="72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6"/>
      <c r="V320" s="86"/>
      <c r="W320" s="86"/>
      <c r="X320" s="86"/>
      <c r="Y320" s="79"/>
      <c r="Z320" s="79"/>
      <c r="AA320" s="79"/>
      <c r="AB320" s="79"/>
    </row>
    <row r="321">
      <c r="A321" s="79"/>
      <c r="B321" s="84"/>
      <c r="C321" s="84"/>
      <c r="D321" s="84"/>
      <c r="E321" s="85"/>
      <c r="F321" s="85"/>
      <c r="G321" s="72"/>
      <c r="H321" s="72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6"/>
      <c r="V321" s="86"/>
      <c r="W321" s="86"/>
      <c r="X321" s="86"/>
      <c r="Y321" s="79"/>
      <c r="Z321" s="79"/>
      <c r="AA321" s="79"/>
      <c r="AB321" s="79"/>
    </row>
    <row r="322">
      <c r="A322" s="79"/>
      <c r="B322" s="84"/>
      <c r="C322" s="84"/>
      <c r="D322" s="84"/>
      <c r="E322" s="85"/>
      <c r="F322" s="85"/>
      <c r="G322" s="72"/>
      <c r="H322" s="72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6"/>
      <c r="V322" s="86"/>
      <c r="W322" s="86"/>
      <c r="X322" s="86"/>
      <c r="Y322" s="79"/>
      <c r="Z322" s="79"/>
      <c r="AA322" s="79"/>
      <c r="AB322" s="79"/>
    </row>
    <row r="323">
      <c r="A323" s="79"/>
      <c r="B323" s="84"/>
      <c r="C323" s="84"/>
      <c r="D323" s="84"/>
      <c r="E323" s="85"/>
      <c r="F323" s="85"/>
      <c r="G323" s="72"/>
      <c r="H323" s="72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6"/>
      <c r="V323" s="86"/>
      <c r="W323" s="86"/>
      <c r="X323" s="86"/>
      <c r="Y323" s="79"/>
      <c r="Z323" s="79"/>
      <c r="AA323" s="79"/>
      <c r="AB323" s="79"/>
    </row>
    <row r="324">
      <c r="A324" s="79"/>
      <c r="B324" s="84"/>
      <c r="C324" s="84"/>
      <c r="D324" s="84"/>
      <c r="E324" s="85"/>
      <c r="F324" s="85"/>
      <c r="G324" s="72"/>
      <c r="H324" s="72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6"/>
      <c r="V324" s="86"/>
      <c r="W324" s="86"/>
      <c r="X324" s="86"/>
      <c r="Y324" s="79"/>
      <c r="Z324" s="79"/>
      <c r="AA324" s="79"/>
      <c r="AB324" s="79"/>
    </row>
    <row r="325">
      <c r="A325" s="79"/>
      <c r="B325" s="84"/>
      <c r="C325" s="84"/>
      <c r="D325" s="84"/>
      <c r="E325" s="85"/>
      <c r="F325" s="85"/>
      <c r="G325" s="72"/>
      <c r="H325" s="72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6"/>
      <c r="V325" s="86"/>
      <c r="W325" s="86"/>
      <c r="X325" s="86"/>
      <c r="Y325" s="79"/>
      <c r="Z325" s="79"/>
      <c r="AA325" s="79"/>
      <c r="AB325" s="79"/>
    </row>
    <row r="326">
      <c r="A326" s="79"/>
      <c r="B326" s="84"/>
      <c r="C326" s="84"/>
      <c r="D326" s="84"/>
      <c r="E326" s="85"/>
      <c r="F326" s="85"/>
      <c r="G326" s="72"/>
      <c r="H326" s="72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6"/>
      <c r="V326" s="86"/>
      <c r="W326" s="86"/>
      <c r="X326" s="86"/>
      <c r="Y326" s="79"/>
      <c r="Z326" s="79"/>
      <c r="AA326" s="79"/>
      <c r="AB326" s="79"/>
    </row>
    <row r="327">
      <c r="A327" s="79"/>
      <c r="B327" s="84"/>
      <c r="C327" s="84"/>
      <c r="D327" s="84"/>
      <c r="E327" s="85"/>
      <c r="F327" s="85"/>
      <c r="G327" s="72"/>
      <c r="H327" s="72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6"/>
      <c r="V327" s="86"/>
      <c r="W327" s="86"/>
      <c r="X327" s="86"/>
      <c r="Y327" s="79"/>
      <c r="Z327" s="79"/>
      <c r="AA327" s="79"/>
      <c r="AB327" s="79"/>
    </row>
    <row r="328">
      <c r="A328" s="79"/>
      <c r="B328" s="84"/>
      <c r="C328" s="84"/>
      <c r="D328" s="84"/>
      <c r="E328" s="85"/>
      <c r="F328" s="85"/>
      <c r="G328" s="72"/>
      <c r="H328" s="72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6"/>
      <c r="V328" s="86"/>
      <c r="W328" s="86"/>
      <c r="X328" s="86"/>
      <c r="Y328" s="79"/>
      <c r="Z328" s="79"/>
      <c r="AA328" s="79"/>
      <c r="AB328" s="79"/>
    </row>
    <row r="329">
      <c r="A329" s="79"/>
      <c r="B329" s="84"/>
      <c r="C329" s="84"/>
      <c r="D329" s="84"/>
      <c r="E329" s="85"/>
      <c r="F329" s="85"/>
      <c r="G329" s="72"/>
      <c r="H329" s="72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6"/>
      <c r="V329" s="86"/>
      <c r="W329" s="86"/>
      <c r="X329" s="86"/>
      <c r="Y329" s="79"/>
      <c r="Z329" s="79"/>
      <c r="AA329" s="79"/>
      <c r="AB329" s="79"/>
    </row>
    <row r="330">
      <c r="A330" s="79"/>
      <c r="B330" s="84"/>
      <c r="C330" s="84"/>
      <c r="D330" s="84"/>
      <c r="E330" s="85"/>
      <c r="F330" s="85"/>
      <c r="G330" s="72"/>
      <c r="H330" s="72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6"/>
      <c r="V330" s="86"/>
      <c r="W330" s="86"/>
      <c r="X330" s="86"/>
      <c r="Y330" s="79"/>
      <c r="Z330" s="79"/>
      <c r="AA330" s="79"/>
      <c r="AB330" s="79"/>
    </row>
    <row r="331">
      <c r="A331" s="79"/>
      <c r="B331" s="84"/>
      <c r="C331" s="84"/>
      <c r="D331" s="84"/>
      <c r="E331" s="85"/>
      <c r="F331" s="85"/>
      <c r="G331" s="72"/>
      <c r="H331" s="72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6"/>
      <c r="V331" s="86"/>
      <c r="W331" s="86"/>
      <c r="X331" s="86"/>
      <c r="Y331" s="79"/>
      <c r="Z331" s="79"/>
      <c r="AA331" s="79"/>
      <c r="AB331" s="79"/>
    </row>
    <row r="332">
      <c r="A332" s="79"/>
      <c r="B332" s="84"/>
      <c r="C332" s="84"/>
      <c r="D332" s="84"/>
      <c r="E332" s="85"/>
      <c r="F332" s="85"/>
      <c r="G332" s="72"/>
      <c r="H332" s="72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6"/>
      <c r="V332" s="86"/>
      <c r="W332" s="86"/>
      <c r="X332" s="86"/>
      <c r="Y332" s="79"/>
      <c r="Z332" s="79"/>
      <c r="AA332" s="79"/>
      <c r="AB332" s="79"/>
    </row>
    <row r="333">
      <c r="A333" s="79"/>
      <c r="B333" s="84"/>
      <c r="C333" s="84"/>
      <c r="D333" s="84"/>
      <c r="E333" s="85"/>
      <c r="F333" s="85"/>
      <c r="G333" s="72"/>
      <c r="H333" s="72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6"/>
      <c r="V333" s="86"/>
      <c r="W333" s="86"/>
      <c r="X333" s="86"/>
      <c r="Y333" s="79"/>
      <c r="Z333" s="79"/>
      <c r="AA333" s="79"/>
      <c r="AB333" s="79"/>
    </row>
    <row r="334">
      <c r="A334" s="79"/>
      <c r="B334" s="84"/>
      <c r="C334" s="84"/>
      <c r="D334" s="84"/>
      <c r="E334" s="85"/>
      <c r="F334" s="85"/>
      <c r="G334" s="72"/>
      <c r="H334" s="72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6"/>
      <c r="V334" s="86"/>
      <c r="W334" s="86"/>
      <c r="X334" s="86"/>
      <c r="Y334" s="79"/>
      <c r="Z334" s="79"/>
      <c r="AA334" s="79"/>
      <c r="AB334" s="79"/>
    </row>
    <row r="335">
      <c r="A335" s="79"/>
      <c r="B335" s="84"/>
      <c r="C335" s="84"/>
      <c r="D335" s="84"/>
      <c r="E335" s="85"/>
      <c r="F335" s="85"/>
      <c r="G335" s="72"/>
      <c r="H335" s="72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6"/>
      <c r="V335" s="86"/>
      <c r="W335" s="86"/>
      <c r="X335" s="86"/>
      <c r="Y335" s="79"/>
      <c r="Z335" s="79"/>
      <c r="AA335" s="79"/>
      <c r="AB335" s="79"/>
    </row>
    <row r="336">
      <c r="A336" s="79"/>
      <c r="B336" s="84"/>
      <c r="C336" s="84"/>
      <c r="D336" s="84"/>
      <c r="E336" s="85"/>
      <c r="F336" s="85"/>
      <c r="G336" s="72"/>
      <c r="H336" s="72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6"/>
      <c r="V336" s="86"/>
      <c r="W336" s="86"/>
      <c r="X336" s="86"/>
      <c r="Y336" s="79"/>
      <c r="Z336" s="79"/>
      <c r="AA336" s="79"/>
      <c r="AB336" s="79"/>
    </row>
    <row r="337">
      <c r="A337" s="79"/>
      <c r="B337" s="84"/>
      <c r="C337" s="84"/>
      <c r="D337" s="84"/>
      <c r="E337" s="85"/>
      <c r="F337" s="85"/>
      <c r="G337" s="72"/>
      <c r="H337" s="72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6"/>
      <c r="V337" s="86"/>
      <c r="W337" s="86"/>
      <c r="X337" s="86"/>
      <c r="Y337" s="79"/>
      <c r="Z337" s="79"/>
      <c r="AA337" s="79"/>
      <c r="AB337" s="79"/>
    </row>
    <row r="338">
      <c r="A338" s="79"/>
      <c r="B338" s="84"/>
      <c r="C338" s="84"/>
      <c r="D338" s="84"/>
      <c r="E338" s="85"/>
      <c r="F338" s="85"/>
      <c r="G338" s="72"/>
      <c r="H338" s="72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6"/>
      <c r="V338" s="86"/>
      <c r="W338" s="86"/>
      <c r="X338" s="86"/>
      <c r="Y338" s="79"/>
      <c r="Z338" s="79"/>
      <c r="AA338" s="79"/>
      <c r="AB338" s="79"/>
    </row>
    <row r="339">
      <c r="A339" s="79"/>
      <c r="B339" s="84"/>
      <c r="C339" s="84"/>
      <c r="D339" s="84"/>
      <c r="E339" s="85"/>
      <c r="F339" s="85"/>
      <c r="G339" s="72"/>
      <c r="H339" s="72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6"/>
      <c r="V339" s="86"/>
      <c r="W339" s="86"/>
      <c r="X339" s="86"/>
      <c r="Y339" s="79"/>
      <c r="Z339" s="79"/>
      <c r="AA339" s="79"/>
      <c r="AB339" s="79"/>
    </row>
    <row r="340">
      <c r="A340" s="79"/>
      <c r="B340" s="84"/>
      <c r="C340" s="84"/>
      <c r="D340" s="84"/>
      <c r="E340" s="85"/>
      <c r="F340" s="85"/>
      <c r="G340" s="72"/>
      <c r="H340" s="72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6"/>
      <c r="V340" s="86"/>
      <c r="W340" s="86"/>
      <c r="X340" s="86"/>
      <c r="Y340" s="79"/>
      <c r="Z340" s="79"/>
      <c r="AA340" s="79"/>
      <c r="AB340" s="79"/>
    </row>
    <row r="341">
      <c r="A341" s="79"/>
      <c r="B341" s="84"/>
      <c r="C341" s="84"/>
      <c r="D341" s="84"/>
      <c r="E341" s="85"/>
      <c r="F341" s="85"/>
      <c r="G341" s="72"/>
      <c r="H341" s="72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6"/>
      <c r="V341" s="86"/>
      <c r="W341" s="86"/>
      <c r="X341" s="86"/>
      <c r="Y341" s="79"/>
      <c r="Z341" s="79"/>
      <c r="AA341" s="79"/>
      <c r="AB341" s="79"/>
    </row>
    <row r="342">
      <c r="A342" s="79"/>
      <c r="B342" s="84"/>
      <c r="C342" s="84"/>
      <c r="D342" s="84"/>
      <c r="E342" s="85"/>
      <c r="F342" s="85"/>
      <c r="G342" s="72"/>
      <c r="H342" s="72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6"/>
      <c r="V342" s="86"/>
      <c r="W342" s="86"/>
      <c r="X342" s="86"/>
      <c r="Y342" s="79"/>
      <c r="Z342" s="79"/>
      <c r="AA342" s="79"/>
      <c r="AB342" s="79"/>
    </row>
    <row r="343">
      <c r="A343" s="79"/>
      <c r="B343" s="84"/>
      <c r="C343" s="84"/>
      <c r="D343" s="84"/>
      <c r="E343" s="85"/>
      <c r="F343" s="85"/>
      <c r="G343" s="72"/>
      <c r="H343" s="72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6"/>
      <c r="V343" s="86"/>
      <c r="W343" s="86"/>
      <c r="X343" s="86"/>
      <c r="Y343" s="79"/>
      <c r="Z343" s="79"/>
      <c r="AA343" s="79"/>
      <c r="AB343" s="79"/>
    </row>
    <row r="344">
      <c r="A344" s="79"/>
      <c r="B344" s="84"/>
      <c r="C344" s="84"/>
      <c r="D344" s="84"/>
      <c r="E344" s="85"/>
      <c r="F344" s="85"/>
      <c r="G344" s="72"/>
      <c r="H344" s="72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6"/>
      <c r="V344" s="86"/>
      <c r="W344" s="86"/>
      <c r="X344" s="86"/>
      <c r="Y344" s="79"/>
      <c r="Z344" s="79"/>
      <c r="AA344" s="79"/>
      <c r="AB344" s="79"/>
    </row>
    <row r="345">
      <c r="A345" s="79"/>
      <c r="B345" s="84"/>
      <c r="C345" s="84"/>
      <c r="D345" s="84"/>
      <c r="E345" s="85"/>
      <c r="F345" s="85"/>
      <c r="G345" s="72"/>
      <c r="H345" s="72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6"/>
      <c r="V345" s="86"/>
      <c r="W345" s="86"/>
      <c r="X345" s="86"/>
      <c r="Y345" s="79"/>
      <c r="Z345" s="79"/>
      <c r="AA345" s="79"/>
      <c r="AB345" s="79"/>
    </row>
    <row r="346">
      <c r="A346" s="79"/>
      <c r="B346" s="84"/>
      <c r="C346" s="84"/>
      <c r="D346" s="84"/>
      <c r="E346" s="85"/>
      <c r="F346" s="85"/>
      <c r="G346" s="72"/>
      <c r="H346" s="72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6"/>
      <c r="V346" s="86"/>
      <c r="W346" s="86"/>
      <c r="X346" s="86"/>
      <c r="Y346" s="79"/>
      <c r="Z346" s="79"/>
      <c r="AA346" s="79"/>
      <c r="AB346" s="79"/>
    </row>
    <row r="347">
      <c r="A347" s="79"/>
      <c r="B347" s="84"/>
      <c r="C347" s="84"/>
      <c r="D347" s="84"/>
      <c r="E347" s="85"/>
      <c r="F347" s="85"/>
      <c r="G347" s="72"/>
      <c r="H347" s="72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6"/>
      <c r="V347" s="86"/>
      <c r="W347" s="86"/>
      <c r="X347" s="86"/>
      <c r="Y347" s="79"/>
      <c r="Z347" s="79"/>
      <c r="AA347" s="79"/>
      <c r="AB347" s="79"/>
    </row>
    <row r="348">
      <c r="A348" s="79"/>
      <c r="B348" s="84"/>
      <c r="C348" s="84"/>
      <c r="D348" s="84"/>
      <c r="E348" s="85"/>
      <c r="F348" s="85"/>
      <c r="G348" s="72"/>
      <c r="H348" s="72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6"/>
      <c r="V348" s="86"/>
      <c r="W348" s="86"/>
      <c r="X348" s="86"/>
      <c r="Y348" s="79"/>
      <c r="Z348" s="79"/>
      <c r="AA348" s="79"/>
      <c r="AB348" s="79"/>
    </row>
    <row r="349">
      <c r="A349" s="79"/>
      <c r="B349" s="84"/>
      <c r="C349" s="84"/>
      <c r="D349" s="84"/>
      <c r="E349" s="85"/>
      <c r="F349" s="85"/>
      <c r="G349" s="72"/>
      <c r="H349" s="72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6"/>
      <c r="V349" s="86"/>
      <c r="W349" s="86"/>
      <c r="X349" s="86"/>
      <c r="Y349" s="79"/>
      <c r="Z349" s="79"/>
      <c r="AA349" s="79"/>
      <c r="AB349" s="79"/>
    </row>
    <row r="350">
      <c r="A350" s="79"/>
      <c r="B350" s="84"/>
      <c r="C350" s="84"/>
      <c r="D350" s="84"/>
      <c r="E350" s="85"/>
      <c r="F350" s="85"/>
      <c r="G350" s="72"/>
      <c r="H350" s="72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6"/>
      <c r="V350" s="86"/>
      <c r="W350" s="86"/>
      <c r="X350" s="86"/>
      <c r="Y350" s="79"/>
      <c r="Z350" s="79"/>
      <c r="AA350" s="79"/>
      <c r="AB350" s="79"/>
    </row>
    <row r="351">
      <c r="A351" s="79"/>
      <c r="B351" s="84"/>
      <c r="C351" s="84"/>
      <c r="D351" s="84"/>
      <c r="E351" s="85"/>
      <c r="F351" s="85"/>
      <c r="G351" s="72"/>
      <c r="H351" s="72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6"/>
      <c r="V351" s="86"/>
      <c r="W351" s="86"/>
      <c r="X351" s="86"/>
      <c r="Y351" s="79"/>
      <c r="Z351" s="79"/>
      <c r="AA351" s="79"/>
      <c r="AB351" s="79"/>
    </row>
    <row r="352">
      <c r="A352" s="79"/>
      <c r="B352" s="84"/>
      <c r="C352" s="84"/>
      <c r="D352" s="84"/>
      <c r="E352" s="85"/>
      <c r="F352" s="85"/>
      <c r="G352" s="72"/>
      <c r="H352" s="72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6"/>
      <c r="V352" s="86"/>
      <c r="W352" s="86"/>
      <c r="X352" s="86"/>
      <c r="Y352" s="79"/>
      <c r="Z352" s="79"/>
      <c r="AA352" s="79"/>
      <c r="AB352" s="79"/>
    </row>
    <row r="353">
      <c r="A353" s="79"/>
      <c r="B353" s="84"/>
      <c r="C353" s="84"/>
      <c r="D353" s="84"/>
      <c r="E353" s="85"/>
      <c r="F353" s="85"/>
      <c r="G353" s="72"/>
      <c r="H353" s="72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6"/>
      <c r="V353" s="86"/>
      <c r="W353" s="86"/>
      <c r="X353" s="86"/>
      <c r="Y353" s="79"/>
      <c r="Z353" s="79"/>
      <c r="AA353" s="79"/>
      <c r="AB353" s="79"/>
    </row>
    <row r="354">
      <c r="A354" s="79"/>
      <c r="B354" s="84"/>
      <c r="C354" s="84"/>
      <c r="D354" s="84"/>
      <c r="E354" s="85"/>
      <c r="F354" s="85"/>
      <c r="G354" s="72"/>
      <c r="H354" s="72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6"/>
      <c r="V354" s="86"/>
      <c r="W354" s="86"/>
      <c r="X354" s="86"/>
      <c r="Y354" s="79"/>
      <c r="Z354" s="79"/>
      <c r="AA354" s="79"/>
      <c r="AB354" s="79"/>
    </row>
    <row r="355">
      <c r="A355" s="79"/>
      <c r="B355" s="84"/>
      <c r="C355" s="84"/>
      <c r="D355" s="84"/>
      <c r="E355" s="85"/>
      <c r="F355" s="85"/>
      <c r="G355" s="72"/>
      <c r="H355" s="72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6"/>
      <c r="V355" s="86"/>
      <c r="W355" s="86"/>
      <c r="X355" s="86"/>
      <c r="Y355" s="79"/>
      <c r="Z355" s="79"/>
      <c r="AA355" s="79"/>
      <c r="AB355" s="79"/>
    </row>
    <row r="356">
      <c r="A356" s="79"/>
      <c r="B356" s="84"/>
      <c r="C356" s="84"/>
      <c r="D356" s="84"/>
      <c r="E356" s="85"/>
      <c r="F356" s="85"/>
      <c r="G356" s="72"/>
      <c r="H356" s="72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6"/>
      <c r="V356" s="86"/>
      <c r="W356" s="86"/>
      <c r="X356" s="86"/>
      <c r="Y356" s="79"/>
      <c r="Z356" s="79"/>
      <c r="AA356" s="79"/>
      <c r="AB356" s="79"/>
    </row>
    <row r="357">
      <c r="A357" s="79"/>
      <c r="B357" s="84"/>
      <c r="C357" s="84"/>
      <c r="D357" s="84"/>
      <c r="E357" s="85"/>
      <c r="F357" s="85"/>
      <c r="G357" s="72"/>
      <c r="H357" s="72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6"/>
      <c r="V357" s="86"/>
      <c r="W357" s="86"/>
      <c r="X357" s="86"/>
      <c r="Y357" s="79"/>
      <c r="Z357" s="79"/>
      <c r="AA357" s="79"/>
      <c r="AB357" s="79"/>
    </row>
    <row r="358">
      <c r="A358" s="79"/>
      <c r="B358" s="84"/>
      <c r="C358" s="84"/>
      <c r="D358" s="84"/>
      <c r="E358" s="85"/>
      <c r="F358" s="85"/>
      <c r="G358" s="72"/>
      <c r="H358" s="72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6"/>
      <c r="V358" s="86"/>
      <c r="W358" s="86"/>
      <c r="X358" s="86"/>
      <c r="Y358" s="79"/>
      <c r="Z358" s="79"/>
      <c r="AA358" s="79"/>
      <c r="AB358" s="79"/>
    </row>
    <row r="359">
      <c r="A359" s="79"/>
      <c r="B359" s="84"/>
      <c r="C359" s="84"/>
      <c r="D359" s="84"/>
      <c r="E359" s="85"/>
      <c r="F359" s="85"/>
      <c r="G359" s="72"/>
      <c r="H359" s="72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6"/>
      <c r="V359" s="86"/>
      <c r="W359" s="86"/>
      <c r="X359" s="86"/>
      <c r="Y359" s="79"/>
      <c r="Z359" s="79"/>
      <c r="AA359" s="79"/>
      <c r="AB359" s="79"/>
    </row>
    <row r="360">
      <c r="A360" s="79"/>
      <c r="B360" s="84"/>
      <c r="C360" s="84"/>
      <c r="D360" s="84"/>
      <c r="E360" s="85"/>
      <c r="F360" s="85"/>
      <c r="G360" s="72"/>
      <c r="H360" s="72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6"/>
      <c r="V360" s="86"/>
      <c r="W360" s="86"/>
      <c r="X360" s="86"/>
      <c r="Y360" s="79"/>
      <c r="Z360" s="79"/>
      <c r="AA360" s="79"/>
      <c r="AB360" s="79"/>
    </row>
    <row r="361">
      <c r="A361" s="79"/>
      <c r="B361" s="84"/>
      <c r="C361" s="84"/>
      <c r="D361" s="84"/>
      <c r="E361" s="85"/>
      <c r="F361" s="85"/>
      <c r="G361" s="72"/>
      <c r="H361" s="72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6"/>
      <c r="V361" s="86"/>
      <c r="W361" s="86"/>
      <c r="X361" s="86"/>
      <c r="Y361" s="79"/>
      <c r="Z361" s="79"/>
      <c r="AA361" s="79"/>
      <c r="AB361" s="79"/>
    </row>
    <row r="362">
      <c r="A362" s="79"/>
      <c r="B362" s="84"/>
      <c r="C362" s="84"/>
      <c r="D362" s="84"/>
      <c r="E362" s="85"/>
      <c r="F362" s="85"/>
      <c r="G362" s="72"/>
      <c r="H362" s="72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6"/>
      <c r="V362" s="86"/>
      <c r="W362" s="86"/>
      <c r="X362" s="86"/>
      <c r="Y362" s="79"/>
      <c r="Z362" s="79"/>
      <c r="AA362" s="79"/>
      <c r="AB362" s="79"/>
    </row>
    <row r="363">
      <c r="A363" s="79"/>
      <c r="B363" s="84"/>
      <c r="C363" s="84"/>
      <c r="D363" s="84"/>
      <c r="E363" s="85"/>
      <c r="F363" s="85"/>
      <c r="G363" s="72"/>
      <c r="H363" s="72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6"/>
      <c r="V363" s="86"/>
      <c r="W363" s="86"/>
      <c r="X363" s="86"/>
      <c r="Y363" s="79"/>
      <c r="Z363" s="79"/>
      <c r="AA363" s="79"/>
      <c r="AB363" s="79"/>
    </row>
    <row r="364">
      <c r="A364" s="79"/>
      <c r="B364" s="84"/>
      <c r="C364" s="84"/>
      <c r="D364" s="84"/>
      <c r="E364" s="85"/>
      <c r="F364" s="85"/>
      <c r="G364" s="72"/>
      <c r="H364" s="72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6"/>
      <c r="V364" s="86"/>
      <c r="W364" s="86"/>
      <c r="X364" s="86"/>
      <c r="Y364" s="79"/>
      <c r="Z364" s="79"/>
      <c r="AA364" s="79"/>
      <c r="AB364" s="79"/>
    </row>
    <row r="365">
      <c r="A365" s="79"/>
      <c r="B365" s="84"/>
      <c r="C365" s="84"/>
      <c r="D365" s="84"/>
      <c r="E365" s="85"/>
      <c r="F365" s="85"/>
      <c r="G365" s="72"/>
      <c r="H365" s="72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6"/>
      <c r="V365" s="86"/>
      <c r="W365" s="86"/>
      <c r="X365" s="86"/>
      <c r="Y365" s="79"/>
      <c r="Z365" s="79"/>
      <c r="AA365" s="79"/>
      <c r="AB365" s="79"/>
    </row>
    <row r="366">
      <c r="A366" s="79"/>
      <c r="B366" s="84"/>
      <c r="C366" s="84"/>
      <c r="D366" s="84"/>
      <c r="E366" s="85"/>
      <c r="F366" s="85"/>
      <c r="G366" s="72"/>
      <c r="H366" s="72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6"/>
      <c r="V366" s="86"/>
      <c r="W366" s="86"/>
      <c r="X366" s="86"/>
      <c r="Y366" s="79"/>
      <c r="Z366" s="79"/>
      <c r="AA366" s="79"/>
      <c r="AB366" s="79"/>
    </row>
    <row r="367">
      <c r="A367" s="79"/>
      <c r="B367" s="84"/>
      <c r="C367" s="84"/>
      <c r="D367" s="84"/>
      <c r="E367" s="85"/>
      <c r="F367" s="85"/>
      <c r="G367" s="72"/>
      <c r="H367" s="72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6"/>
      <c r="V367" s="86"/>
      <c r="W367" s="86"/>
      <c r="X367" s="86"/>
      <c r="Y367" s="79"/>
      <c r="Z367" s="79"/>
      <c r="AA367" s="79"/>
      <c r="AB367" s="79"/>
    </row>
    <row r="368">
      <c r="A368" s="79"/>
      <c r="B368" s="84"/>
      <c r="C368" s="84"/>
      <c r="D368" s="84"/>
      <c r="E368" s="85"/>
      <c r="F368" s="85"/>
      <c r="G368" s="72"/>
      <c r="H368" s="72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6"/>
      <c r="V368" s="86"/>
      <c r="W368" s="86"/>
      <c r="X368" s="86"/>
      <c r="Y368" s="79"/>
      <c r="Z368" s="79"/>
      <c r="AA368" s="79"/>
      <c r="AB368" s="79"/>
    </row>
    <row r="369">
      <c r="A369" s="79"/>
      <c r="B369" s="84"/>
      <c r="C369" s="84"/>
      <c r="D369" s="84"/>
      <c r="E369" s="85"/>
      <c r="F369" s="85"/>
      <c r="G369" s="72"/>
      <c r="H369" s="72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6"/>
      <c r="V369" s="86"/>
      <c r="W369" s="86"/>
      <c r="X369" s="86"/>
      <c r="Y369" s="79"/>
      <c r="Z369" s="79"/>
      <c r="AA369" s="79"/>
      <c r="AB369" s="79"/>
    </row>
    <row r="370">
      <c r="A370" s="79"/>
      <c r="B370" s="84"/>
      <c r="C370" s="84"/>
      <c r="D370" s="84"/>
      <c r="E370" s="85"/>
      <c r="F370" s="85"/>
      <c r="G370" s="72"/>
      <c r="H370" s="72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6"/>
      <c r="V370" s="86"/>
      <c r="W370" s="86"/>
      <c r="X370" s="86"/>
      <c r="Y370" s="79"/>
      <c r="Z370" s="79"/>
      <c r="AA370" s="79"/>
      <c r="AB370" s="79"/>
    </row>
    <row r="371">
      <c r="A371" s="79"/>
      <c r="B371" s="84"/>
      <c r="C371" s="84"/>
      <c r="D371" s="84"/>
      <c r="E371" s="85"/>
      <c r="F371" s="85"/>
      <c r="G371" s="72"/>
      <c r="H371" s="72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6"/>
      <c r="V371" s="86"/>
      <c r="W371" s="86"/>
      <c r="X371" s="86"/>
      <c r="Y371" s="79"/>
      <c r="Z371" s="79"/>
      <c r="AA371" s="79"/>
      <c r="AB371" s="79"/>
    </row>
    <row r="372">
      <c r="A372" s="79"/>
      <c r="B372" s="84"/>
      <c r="C372" s="84"/>
      <c r="D372" s="84"/>
      <c r="E372" s="85"/>
      <c r="F372" s="85"/>
      <c r="G372" s="72"/>
      <c r="H372" s="72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6"/>
      <c r="V372" s="86"/>
      <c r="W372" s="86"/>
      <c r="X372" s="86"/>
      <c r="Y372" s="79"/>
      <c r="Z372" s="79"/>
      <c r="AA372" s="79"/>
      <c r="AB372" s="79"/>
    </row>
    <row r="373">
      <c r="A373" s="79"/>
      <c r="B373" s="84"/>
      <c r="C373" s="84"/>
      <c r="D373" s="84"/>
      <c r="E373" s="85"/>
      <c r="F373" s="85"/>
      <c r="G373" s="72"/>
      <c r="H373" s="72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6"/>
      <c r="V373" s="86"/>
      <c r="W373" s="86"/>
      <c r="X373" s="86"/>
      <c r="Y373" s="79"/>
      <c r="Z373" s="79"/>
      <c r="AA373" s="79"/>
      <c r="AB373" s="79"/>
    </row>
    <row r="374">
      <c r="A374" s="79"/>
      <c r="B374" s="84"/>
      <c r="C374" s="84"/>
      <c r="D374" s="84"/>
      <c r="E374" s="85"/>
      <c r="F374" s="85"/>
      <c r="G374" s="72"/>
      <c r="H374" s="72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6"/>
      <c r="V374" s="86"/>
      <c r="W374" s="86"/>
      <c r="X374" s="86"/>
      <c r="Y374" s="79"/>
      <c r="Z374" s="79"/>
      <c r="AA374" s="79"/>
      <c r="AB374" s="79"/>
    </row>
    <row r="375">
      <c r="A375" s="79"/>
      <c r="B375" s="84"/>
      <c r="C375" s="84"/>
      <c r="D375" s="84"/>
      <c r="E375" s="85"/>
      <c r="F375" s="85"/>
      <c r="G375" s="72"/>
      <c r="H375" s="72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6"/>
      <c r="V375" s="86"/>
      <c r="W375" s="86"/>
      <c r="X375" s="86"/>
      <c r="Y375" s="79"/>
      <c r="Z375" s="79"/>
      <c r="AA375" s="79"/>
      <c r="AB375" s="79"/>
    </row>
    <row r="376">
      <c r="A376" s="79"/>
      <c r="B376" s="84"/>
      <c r="C376" s="84"/>
      <c r="D376" s="84"/>
      <c r="E376" s="85"/>
      <c r="F376" s="85"/>
      <c r="G376" s="72"/>
      <c r="H376" s="72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6"/>
      <c r="V376" s="86"/>
      <c r="W376" s="86"/>
      <c r="X376" s="86"/>
      <c r="Y376" s="79"/>
      <c r="Z376" s="79"/>
      <c r="AA376" s="79"/>
      <c r="AB376" s="79"/>
    </row>
    <row r="377">
      <c r="A377" s="79"/>
      <c r="B377" s="84"/>
      <c r="C377" s="84"/>
      <c r="D377" s="84"/>
      <c r="E377" s="85"/>
      <c r="F377" s="85"/>
      <c r="G377" s="72"/>
      <c r="H377" s="72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6"/>
      <c r="V377" s="86"/>
      <c r="W377" s="86"/>
      <c r="X377" s="86"/>
      <c r="Y377" s="79"/>
      <c r="Z377" s="79"/>
      <c r="AA377" s="79"/>
      <c r="AB377" s="79"/>
    </row>
    <row r="378">
      <c r="A378" s="79"/>
      <c r="B378" s="84"/>
      <c r="C378" s="84"/>
      <c r="D378" s="84"/>
      <c r="E378" s="85"/>
      <c r="F378" s="85"/>
      <c r="G378" s="72"/>
      <c r="H378" s="72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6"/>
      <c r="V378" s="86"/>
      <c r="W378" s="86"/>
      <c r="X378" s="86"/>
      <c r="Y378" s="79"/>
      <c r="Z378" s="79"/>
      <c r="AA378" s="79"/>
      <c r="AB378" s="79"/>
    </row>
    <row r="379">
      <c r="A379" s="79"/>
      <c r="B379" s="84"/>
      <c r="C379" s="84"/>
      <c r="D379" s="84"/>
      <c r="E379" s="85"/>
      <c r="F379" s="85"/>
      <c r="G379" s="72"/>
      <c r="H379" s="72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6"/>
      <c r="V379" s="86"/>
      <c r="W379" s="86"/>
      <c r="X379" s="86"/>
      <c r="Y379" s="79"/>
      <c r="Z379" s="79"/>
      <c r="AA379" s="79"/>
      <c r="AB379" s="79"/>
    </row>
    <row r="380">
      <c r="A380" s="79"/>
      <c r="B380" s="84"/>
      <c r="C380" s="84"/>
      <c r="D380" s="84"/>
      <c r="E380" s="85"/>
      <c r="F380" s="85"/>
      <c r="G380" s="72"/>
      <c r="H380" s="72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6"/>
      <c r="V380" s="86"/>
      <c r="W380" s="86"/>
      <c r="X380" s="86"/>
      <c r="Y380" s="79"/>
      <c r="Z380" s="79"/>
      <c r="AA380" s="79"/>
      <c r="AB380" s="79"/>
    </row>
    <row r="381">
      <c r="A381" s="79"/>
      <c r="B381" s="84"/>
      <c r="C381" s="84"/>
      <c r="D381" s="84"/>
      <c r="E381" s="85"/>
      <c r="F381" s="85"/>
      <c r="G381" s="72"/>
      <c r="H381" s="72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6"/>
      <c r="V381" s="86"/>
      <c r="W381" s="86"/>
      <c r="X381" s="86"/>
      <c r="Y381" s="79"/>
      <c r="Z381" s="79"/>
      <c r="AA381" s="79"/>
      <c r="AB381" s="79"/>
    </row>
    <row r="382">
      <c r="A382" s="79"/>
      <c r="B382" s="84"/>
      <c r="C382" s="84"/>
      <c r="D382" s="84"/>
      <c r="E382" s="85"/>
      <c r="F382" s="85"/>
      <c r="G382" s="72"/>
      <c r="H382" s="72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6"/>
      <c r="V382" s="86"/>
      <c r="W382" s="86"/>
      <c r="X382" s="86"/>
      <c r="Y382" s="79"/>
      <c r="Z382" s="79"/>
      <c r="AA382" s="79"/>
      <c r="AB382" s="79"/>
    </row>
    <row r="383">
      <c r="A383" s="79"/>
      <c r="B383" s="84"/>
      <c r="C383" s="84"/>
      <c r="D383" s="84"/>
      <c r="E383" s="85"/>
      <c r="F383" s="85"/>
      <c r="G383" s="72"/>
      <c r="H383" s="72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6"/>
      <c r="V383" s="86"/>
      <c r="W383" s="86"/>
      <c r="X383" s="86"/>
      <c r="Y383" s="79"/>
      <c r="Z383" s="79"/>
      <c r="AA383" s="79"/>
      <c r="AB383" s="79"/>
    </row>
    <row r="384">
      <c r="A384" s="79"/>
      <c r="B384" s="84"/>
      <c r="C384" s="84"/>
      <c r="D384" s="84"/>
      <c r="E384" s="85"/>
      <c r="F384" s="85"/>
      <c r="G384" s="72"/>
      <c r="H384" s="72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6"/>
      <c r="V384" s="86"/>
      <c r="W384" s="86"/>
      <c r="X384" s="86"/>
      <c r="Y384" s="79"/>
      <c r="Z384" s="79"/>
      <c r="AA384" s="79"/>
      <c r="AB384" s="79"/>
    </row>
    <row r="385">
      <c r="A385" s="79"/>
      <c r="B385" s="84"/>
      <c r="C385" s="84"/>
      <c r="D385" s="84"/>
      <c r="E385" s="85"/>
      <c r="F385" s="85"/>
      <c r="G385" s="72"/>
      <c r="H385" s="72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6"/>
      <c r="V385" s="86"/>
      <c r="W385" s="86"/>
      <c r="X385" s="86"/>
      <c r="Y385" s="79"/>
      <c r="Z385" s="79"/>
      <c r="AA385" s="79"/>
      <c r="AB385" s="79"/>
    </row>
    <row r="386">
      <c r="A386" s="79"/>
      <c r="B386" s="84"/>
      <c r="C386" s="84"/>
      <c r="D386" s="84"/>
      <c r="E386" s="85"/>
      <c r="F386" s="85"/>
      <c r="G386" s="72"/>
      <c r="H386" s="72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6"/>
      <c r="V386" s="86"/>
      <c r="W386" s="86"/>
      <c r="X386" s="86"/>
      <c r="Y386" s="79"/>
      <c r="Z386" s="79"/>
      <c r="AA386" s="79"/>
      <c r="AB386" s="79"/>
    </row>
    <row r="387">
      <c r="A387" s="79"/>
      <c r="B387" s="84"/>
      <c r="C387" s="84"/>
      <c r="D387" s="84"/>
      <c r="E387" s="85"/>
      <c r="F387" s="85"/>
      <c r="G387" s="72"/>
      <c r="H387" s="72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6"/>
      <c r="V387" s="86"/>
      <c r="W387" s="86"/>
      <c r="X387" s="86"/>
      <c r="Y387" s="79"/>
      <c r="Z387" s="79"/>
      <c r="AA387" s="79"/>
      <c r="AB387" s="79"/>
    </row>
    <row r="388">
      <c r="A388" s="79"/>
      <c r="B388" s="84"/>
      <c r="C388" s="84"/>
      <c r="D388" s="84"/>
      <c r="E388" s="85"/>
      <c r="F388" s="85"/>
      <c r="G388" s="72"/>
      <c r="H388" s="72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6"/>
      <c r="V388" s="86"/>
      <c r="W388" s="86"/>
      <c r="X388" s="86"/>
      <c r="Y388" s="79"/>
      <c r="Z388" s="79"/>
      <c r="AA388" s="79"/>
      <c r="AB388" s="79"/>
    </row>
    <row r="389">
      <c r="A389" s="79"/>
      <c r="B389" s="84"/>
      <c r="C389" s="84"/>
      <c r="D389" s="84"/>
      <c r="E389" s="85"/>
      <c r="F389" s="85"/>
      <c r="G389" s="72"/>
      <c r="H389" s="72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6"/>
      <c r="V389" s="86"/>
      <c r="W389" s="86"/>
      <c r="X389" s="86"/>
      <c r="Y389" s="79"/>
      <c r="Z389" s="79"/>
      <c r="AA389" s="79"/>
      <c r="AB389" s="79"/>
    </row>
    <row r="390">
      <c r="A390" s="79"/>
      <c r="B390" s="84"/>
      <c r="C390" s="84"/>
      <c r="D390" s="84"/>
      <c r="E390" s="85"/>
      <c r="F390" s="85"/>
      <c r="G390" s="72"/>
      <c r="H390" s="72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6"/>
      <c r="V390" s="86"/>
      <c r="W390" s="86"/>
      <c r="X390" s="86"/>
      <c r="Y390" s="79"/>
      <c r="Z390" s="79"/>
      <c r="AA390" s="79"/>
      <c r="AB390" s="79"/>
    </row>
    <row r="391">
      <c r="A391" s="79"/>
      <c r="B391" s="84"/>
      <c r="C391" s="84"/>
      <c r="D391" s="84"/>
      <c r="E391" s="85"/>
      <c r="F391" s="85"/>
      <c r="G391" s="72"/>
      <c r="H391" s="72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6"/>
      <c r="V391" s="86"/>
      <c r="W391" s="86"/>
      <c r="X391" s="86"/>
      <c r="Y391" s="79"/>
      <c r="Z391" s="79"/>
      <c r="AA391" s="79"/>
      <c r="AB391" s="79"/>
    </row>
    <row r="392">
      <c r="A392" s="79"/>
      <c r="B392" s="84"/>
      <c r="C392" s="84"/>
      <c r="D392" s="84"/>
      <c r="E392" s="85"/>
      <c r="F392" s="85"/>
      <c r="G392" s="72"/>
      <c r="H392" s="72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6"/>
      <c r="V392" s="86"/>
      <c r="W392" s="86"/>
      <c r="X392" s="86"/>
      <c r="Y392" s="79"/>
      <c r="Z392" s="79"/>
      <c r="AA392" s="79"/>
      <c r="AB392" s="79"/>
    </row>
    <row r="393">
      <c r="A393" s="79"/>
      <c r="B393" s="84"/>
      <c r="C393" s="84"/>
      <c r="D393" s="84"/>
      <c r="E393" s="85"/>
      <c r="F393" s="85"/>
      <c r="G393" s="72"/>
      <c r="H393" s="72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6"/>
      <c r="V393" s="86"/>
      <c r="W393" s="86"/>
      <c r="X393" s="86"/>
      <c r="Y393" s="79"/>
      <c r="Z393" s="79"/>
      <c r="AA393" s="79"/>
      <c r="AB393" s="79"/>
    </row>
    <row r="394">
      <c r="A394" s="79"/>
      <c r="B394" s="84"/>
      <c r="C394" s="84"/>
      <c r="D394" s="84"/>
      <c r="E394" s="85"/>
      <c r="F394" s="85"/>
      <c r="G394" s="72"/>
      <c r="H394" s="72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6"/>
      <c r="V394" s="86"/>
      <c r="W394" s="86"/>
      <c r="X394" s="86"/>
      <c r="Y394" s="79"/>
      <c r="Z394" s="79"/>
      <c r="AA394" s="79"/>
      <c r="AB394" s="79"/>
    </row>
    <row r="395">
      <c r="A395" s="79"/>
      <c r="B395" s="84"/>
      <c r="C395" s="84"/>
      <c r="D395" s="84"/>
      <c r="E395" s="85"/>
      <c r="F395" s="85"/>
      <c r="G395" s="72"/>
      <c r="H395" s="72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6"/>
      <c r="V395" s="86"/>
      <c r="W395" s="86"/>
      <c r="X395" s="86"/>
      <c r="Y395" s="79"/>
      <c r="Z395" s="79"/>
      <c r="AA395" s="79"/>
      <c r="AB395" s="79"/>
    </row>
    <row r="396">
      <c r="A396" s="79"/>
      <c r="B396" s="84"/>
      <c r="C396" s="84"/>
      <c r="D396" s="84"/>
      <c r="E396" s="85"/>
      <c r="F396" s="85"/>
      <c r="G396" s="72"/>
      <c r="H396" s="72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6"/>
      <c r="V396" s="86"/>
      <c r="W396" s="86"/>
      <c r="X396" s="86"/>
      <c r="Y396" s="79"/>
      <c r="Z396" s="79"/>
      <c r="AA396" s="79"/>
      <c r="AB396" s="79"/>
    </row>
    <row r="397">
      <c r="A397" s="79"/>
      <c r="B397" s="84"/>
      <c r="C397" s="84"/>
      <c r="D397" s="84"/>
      <c r="E397" s="85"/>
      <c r="F397" s="85"/>
      <c r="G397" s="72"/>
      <c r="H397" s="72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6"/>
      <c r="V397" s="86"/>
      <c r="W397" s="86"/>
      <c r="X397" s="86"/>
      <c r="Y397" s="79"/>
      <c r="Z397" s="79"/>
      <c r="AA397" s="79"/>
      <c r="AB397" s="79"/>
    </row>
    <row r="398">
      <c r="A398" s="79"/>
      <c r="B398" s="84"/>
      <c r="C398" s="84"/>
      <c r="D398" s="84"/>
      <c r="E398" s="85"/>
      <c r="F398" s="85"/>
      <c r="G398" s="72"/>
      <c r="H398" s="72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6"/>
      <c r="V398" s="86"/>
      <c r="W398" s="86"/>
      <c r="X398" s="86"/>
      <c r="Y398" s="79"/>
      <c r="Z398" s="79"/>
      <c r="AA398" s="79"/>
      <c r="AB398" s="79"/>
    </row>
    <row r="399">
      <c r="A399" s="79"/>
      <c r="B399" s="84"/>
      <c r="C399" s="84"/>
      <c r="D399" s="84"/>
      <c r="E399" s="85"/>
      <c r="F399" s="85"/>
      <c r="G399" s="72"/>
      <c r="H399" s="72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6"/>
      <c r="V399" s="86"/>
      <c r="W399" s="86"/>
      <c r="X399" s="86"/>
      <c r="Y399" s="79"/>
      <c r="Z399" s="79"/>
      <c r="AA399" s="79"/>
      <c r="AB399" s="79"/>
    </row>
    <row r="400">
      <c r="A400" s="79"/>
      <c r="B400" s="84"/>
      <c r="C400" s="84"/>
      <c r="D400" s="84"/>
      <c r="E400" s="85"/>
      <c r="F400" s="85"/>
      <c r="G400" s="72"/>
      <c r="H400" s="72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6"/>
      <c r="V400" s="86"/>
      <c r="W400" s="86"/>
      <c r="X400" s="86"/>
      <c r="Y400" s="79"/>
      <c r="Z400" s="79"/>
      <c r="AA400" s="79"/>
      <c r="AB400" s="79"/>
    </row>
    <row r="401">
      <c r="A401" s="79"/>
      <c r="B401" s="84"/>
      <c r="C401" s="84"/>
      <c r="D401" s="84"/>
      <c r="E401" s="85"/>
      <c r="F401" s="85"/>
      <c r="G401" s="72"/>
      <c r="H401" s="72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6"/>
      <c r="V401" s="86"/>
      <c r="W401" s="86"/>
      <c r="X401" s="86"/>
      <c r="Y401" s="79"/>
      <c r="Z401" s="79"/>
      <c r="AA401" s="79"/>
      <c r="AB401" s="79"/>
    </row>
    <row r="402">
      <c r="A402" s="79"/>
      <c r="B402" s="84"/>
      <c r="C402" s="84"/>
      <c r="D402" s="84"/>
      <c r="E402" s="85"/>
      <c r="F402" s="85"/>
      <c r="G402" s="72"/>
      <c r="H402" s="72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6"/>
      <c r="V402" s="86"/>
      <c r="W402" s="86"/>
      <c r="X402" s="86"/>
      <c r="Y402" s="79"/>
      <c r="Z402" s="79"/>
      <c r="AA402" s="79"/>
      <c r="AB402" s="79"/>
    </row>
    <row r="403">
      <c r="A403" s="79"/>
      <c r="B403" s="84"/>
      <c r="C403" s="84"/>
      <c r="D403" s="84"/>
      <c r="E403" s="85"/>
      <c r="F403" s="85"/>
      <c r="G403" s="72"/>
      <c r="H403" s="72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6"/>
      <c r="V403" s="86"/>
      <c r="W403" s="86"/>
      <c r="X403" s="86"/>
      <c r="Y403" s="79"/>
      <c r="Z403" s="79"/>
      <c r="AA403" s="79"/>
      <c r="AB403" s="79"/>
    </row>
    <row r="404">
      <c r="A404" s="79"/>
      <c r="B404" s="84"/>
      <c r="C404" s="84"/>
      <c r="D404" s="84"/>
      <c r="E404" s="85"/>
      <c r="F404" s="85"/>
      <c r="G404" s="72"/>
      <c r="H404" s="72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6"/>
      <c r="V404" s="86"/>
      <c r="W404" s="86"/>
      <c r="X404" s="86"/>
      <c r="Y404" s="79"/>
      <c r="Z404" s="79"/>
      <c r="AA404" s="79"/>
      <c r="AB404" s="79"/>
    </row>
    <row r="405">
      <c r="A405" s="79"/>
      <c r="B405" s="84"/>
      <c r="C405" s="84"/>
      <c r="D405" s="84"/>
      <c r="E405" s="85"/>
      <c r="F405" s="85"/>
      <c r="G405" s="72"/>
      <c r="H405" s="72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6"/>
      <c r="V405" s="86"/>
      <c r="W405" s="86"/>
      <c r="X405" s="86"/>
      <c r="Y405" s="79"/>
      <c r="Z405" s="79"/>
      <c r="AA405" s="79"/>
      <c r="AB405" s="79"/>
    </row>
    <row r="406">
      <c r="A406" s="79"/>
      <c r="B406" s="84"/>
      <c r="C406" s="84"/>
      <c r="D406" s="84"/>
      <c r="E406" s="85"/>
      <c r="F406" s="85"/>
      <c r="G406" s="72"/>
      <c r="H406" s="72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6"/>
      <c r="V406" s="86"/>
      <c r="W406" s="86"/>
      <c r="X406" s="86"/>
      <c r="Y406" s="79"/>
      <c r="Z406" s="79"/>
      <c r="AA406" s="79"/>
      <c r="AB406" s="79"/>
    </row>
    <row r="407">
      <c r="A407" s="79"/>
      <c r="B407" s="84"/>
      <c r="C407" s="84"/>
      <c r="D407" s="84"/>
      <c r="E407" s="85"/>
      <c r="F407" s="85"/>
      <c r="G407" s="72"/>
      <c r="H407" s="72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6"/>
      <c r="V407" s="86"/>
      <c r="W407" s="86"/>
      <c r="X407" s="86"/>
      <c r="Y407" s="79"/>
      <c r="Z407" s="79"/>
      <c r="AA407" s="79"/>
      <c r="AB407" s="79"/>
    </row>
    <row r="408">
      <c r="A408" s="79"/>
      <c r="B408" s="84"/>
      <c r="C408" s="84"/>
      <c r="D408" s="84"/>
      <c r="E408" s="85"/>
      <c r="F408" s="85"/>
      <c r="G408" s="72"/>
      <c r="H408" s="72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6"/>
      <c r="V408" s="86"/>
      <c r="W408" s="86"/>
      <c r="X408" s="86"/>
      <c r="Y408" s="79"/>
      <c r="Z408" s="79"/>
      <c r="AA408" s="79"/>
      <c r="AB408" s="79"/>
    </row>
    <row r="409">
      <c r="A409" s="79"/>
      <c r="B409" s="84"/>
      <c r="C409" s="84"/>
      <c r="D409" s="84"/>
      <c r="E409" s="85"/>
      <c r="F409" s="85"/>
      <c r="G409" s="72"/>
      <c r="H409" s="72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6"/>
      <c r="V409" s="86"/>
      <c r="W409" s="86"/>
      <c r="X409" s="86"/>
      <c r="Y409" s="79"/>
      <c r="Z409" s="79"/>
      <c r="AA409" s="79"/>
      <c r="AB409" s="79"/>
    </row>
    <row r="410">
      <c r="A410" s="79"/>
      <c r="B410" s="84"/>
      <c r="C410" s="84"/>
      <c r="D410" s="84"/>
      <c r="E410" s="85"/>
      <c r="F410" s="85"/>
      <c r="G410" s="72"/>
      <c r="H410" s="72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6"/>
      <c r="V410" s="86"/>
      <c r="W410" s="86"/>
      <c r="X410" s="86"/>
      <c r="Y410" s="79"/>
      <c r="Z410" s="79"/>
      <c r="AA410" s="79"/>
      <c r="AB410" s="79"/>
    </row>
    <row r="411">
      <c r="A411" s="79"/>
      <c r="B411" s="84"/>
      <c r="C411" s="84"/>
      <c r="D411" s="84"/>
      <c r="E411" s="85"/>
      <c r="F411" s="85"/>
      <c r="G411" s="72"/>
      <c r="H411" s="72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6"/>
      <c r="V411" s="86"/>
      <c r="W411" s="86"/>
      <c r="X411" s="86"/>
      <c r="Y411" s="79"/>
      <c r="Z411" s="79"/>
      <c r="AA411" s="79"/>
      <c r="AB411" s="79"/>
    </row>
    <row r="412">
      <c r="A412" s="79"/>
      <c r="B412" s="84"/>
      <c r="C412" s="84"/>
      <c r="D412" s="84"/>
      <c r="E412" s="85"/>
      <c r="F412" s="85"/>
      <c r="G412" s="72"/>
      <c r="H412" s="72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6"/>
      <c r="V412" s="86"/>
      <c r="W412" s="86"/>
      <c r="X412" s="86"/>
      <c r="Y412" s="79"/>
      <c r="Z412" s="79"/>
      <c r="AA412" s="79"/>
      <c r="AB412" s="79"/>
    </row>
    <row r="413">
      <c r="A413" s="79"/>
      <c r="B413" s="84"/>
      <c r="C413" s="84"/>
      <c r="D413" s="84"/>
      <c r="E413" s="85"/>
      <c r="F413" s="85"/>
      <c r="G413" s="72"/>
      <c r="H413" s="72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6"/>
      <c r="V413" s="86"/>
      <c r="W413" s="86"/>
      <c r="X413" s="86"/>
      <c r="Y413" s="79"/>
      <c r="Z413" s="79"/>
      <c r="AA413" s="79"/>
      <c r="AB413" s="79"/>
    </row>
    <row r="414">
      <c r="A414" s="79"/>
      <c r="B414" s="84"/>
      <c r="C414" s="84"/>
      <c r="D414" s="84"/>
      <c r="E414" s="85"/>
      <c r="F414" s="85"/>
      <c r="G414" s="72"/>
      <c r="H414" s="72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6"/>
      <c r="V414" s="86"/>
      <c r="W414" s="86"/>
      <c r="X414" s="86"/>
      <c r="Y414" s="79"/>
      <c r="Z414" s="79"/>
      <c r="AA414" s="79"/>
      <c r="AB414" s="79"/>
    </row>
    <row r="415">
      <c r="A415" s="79"/>
      <c r="B415" s="84"/>
      <c r="C415" s="84"/>
      <c r="D415" s="84"/>
      <c r="E415" s="85"/>
      <c r="F415" s="85"/>
      <c r="G415" s="72"/>
      <c r="H415" s="72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6"/>
      <c r="V415" s="86"/>
      <c r="W415" s="86"/>
      <c r="X415" s="86"/>
      <c r="Y415" s="79"/>
      <c r="Z415" s="79"/>
      <c r="AA415" s="79"/>
      <c r="AB415" s="79"/>
    </row>
    <row r="416">
      <c r="A416" s="79"/>
      <c r="B416" s="84"/>
      <c r="C416" s="84"/>
      <c r="D416" s="84"/>
      <c r="E416" s="85"/>
      <c r="F416" s="85"/>
      <c r="G416" s="72"/>
      <c r="H416" s="72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6"/>
      <c r="V416" s="86"/>
      <c r="W416" s="86"/>
      <c r="X416" s="86"/>
      <c r="Y416" s="79"/>
      <c r="Z416" s="79"/>
      <c r="AA416" s="79"/>
      <c r="AB416" s="79"/>
    </row>
    <row r="417">
      <c r="A417" s="79"/>
      <c r="B417" s="84"/>
      <c r="C417" s="84"/>
      <c r="D417" s="84"/>
      <c r="E417" s="85"/>
      <c r="F417" s="85"/>
      <c r="G417" s="72"/>
      <c r="H417" s="72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6"/>
      <c r="V417" s="86"/>
      <c r="W417" s="86"/>
      <c r="X417" s="86"/>
      <c r="Y417" s="79"/>
      <c r="Z417" s="79"/>
      <c r="AA417" s="79"/>
      <c r="AB417" s="79"/>
    </row>
    <row r="418">
      <c r="A418" s="79"/>
      <c r="B418" s="84"/>
      <c r="C418" s="84"/>
      <c r="D418" s="84"/>
      <c r="E418" s="85"/>
      <c r="F418" s="85"/>
      <c r="G418" s="72"/>
      <c r="H418" s="72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6"/>
      <c r="V418" s="86"/>
      <c r="W418" s="86"/>
      <c r="X418" s="86"/>
      <c r="Y418" s="79"/>
      <c r="Z418" s="79"/>
      <c r="AA418" s="79"/>
      <c r="AB418" s="79"/>
    </row>
    <row r="419">
      <c r="A419" s="79"/>
      <c r="B419" s="84"/>
      <c r="C419" s="84"/>
      <c r="D419" s="84"/>
      <c r="E419" s="85"/>
      <c r="F419" s="85"/>
      <c r="G419" s="72"/>
      <c r="H419" s="72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6"/>
      <c r="V419" s="86"/>
      <c r="W419" s="86"/>
      <c r="X419" s="86"/>
      <c r="Y419" s="79"/>
      <c r="Z419" s="79"/>
      <c r="AA419" s="79"/>
      <c r="AB419" s="79"/>
    </row>
    <row r="420">
      <c r="A420" s="79"/>
      <c r="B420" s="84"/>
      <c r="C420" s="84"/>
      <c r="D420" s="84"/>
      <c r="E420" s="85"/>
      <c r="F420" s="85"/>
      <c r="G420" s="72"/>
      <c r="H420" s="72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6"/>
      <c r="V420" s="86"/>
      <c r="W420" s="86"/>
      <c r="X420" s="86"/>
      <c r="Y420" s="79"/>
      <c r="Z420" s="79"/>
      <c r="AA420" s="79"/>
      <c r="AB420" s="79"/>
    </row>
    <row r="421">
      <c r="A421" s="79"/>
      <c r="B421" s="84"/>
      <c r="C421" s="84"/>
      <c r="D421" s="84"/>
      <c r="E421" s="85"/>
      <c r="F421" s="85"/>
      <c r="G421" s="72"/>
      <c r="H421" s="72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6"/>
      <c r="V421" s="86"/>
      <c r="W421" s="86"/>
      <c r="X421" s="86"/>
      <c r="Y421" s="79"/>
      <c r="Z421" s="79"/>
      <c r="AA421" s="79"/>
      <c r="AB421" s="79"/>
    </row>
    <row r="422">
      <c r="A422" s="79"/>
      <c r="B422" s="84"/>
      <c r="C422" s="84"/>
      <c r="D422" s="84"/>
      <c r="E422" s="85"/>
      <c r="F422" s="85"/>
      <c r="G422" s="72"/>
      <c r="H422" s="72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6"/>
      <c r="V422" s="86"/>
      <c r="W422" s="86"/>
      <c r="X422" s="86"/>
      <c r="Y422" s="79"/>
      <c r="Z422" s="79"/>
      <c r="AA422" s="79"/>
      <c r="AB422" s="79"/>
    </row>
    <row r="423">
      <c r="A423" s="79"/>
      <c r="B423" s="84"/>
      <c r="C423" s="84"/>
      <c r="D423" s="84"/>
      <c r="E423" s="85"/>
      <c r="F423" s="85"/>
      <c r="G423" s="72"/>
      <c r="H423" s="72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6"/>
      <c r="V423" s="86"/>
      <c r="W423" s="86"/>
      <c r="X423" s="86"/>
      <c r="Y423" s="79"/>
      <c r="Z423" s="79"/>
      <c r="AA423" s="79"/>
      <c r="AB423" s="79"/>
    </row>
    <row r="424">
      <c r="A424" s="79"/>
      <c r="B424" s="84"/>
      <c r="C424" s="84"/>
      <c r="D424" s="84"/>
      <c r="E424" s="85"/>
      <c r="F424" s="85"/>
      <c r="G424" s="72"/>
      <c r="H424" s="72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6"/>
      <c r="V424" s="86"/>
      <c r="W424" s="86"/>
      <c r="X424" s="86"/>
      <c r="Y424" s="79"/>
      <c r="Z424" s="79"/>
      <c r="AA424" s="79"/>
      <c r="AB424" s="79"/>
    </row>
    <row r="425">
      <c r="A425" s="79"/>
      <c r="B425" s="84"/>
      <c r="C425" s="84"/>
      <c r="D425" s="84"/>
      <c r="E425" s="85"/>
      <c r="F425" s="85"/>
      <c r="G425" s="72"/>
      <c r="H425" s="72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6"/>
      <c r="V425" s="86"/>
      <c r="W425" s="86"/>
      <c r="X425" s="86"/>
      <c r="Y425" s="79"/>
      <c r="Z425" s="79"/>
      <c r="AA425" s="79"/>
      <c r="AB425" s="79"/>
    </row>
    <row r="426">
      <c r="A426" s="79"/>
      <c r="B426" s="84"/>
      <c r="C426" s="84"/>
      <c r="D426" s="84"/>
      <c r="E426" s="85"/>
      <c r="F426" s="85"/>
      <c r="G426" s="72"/>
      <c r="H426" s="72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6"/>
      <c r="V426" s="86"/>
      <c r="W426" s="86"/>
      <c r="X426" s="86"/>
      <c r="Y426" s="79"/>
      <c r="Z426" s="79"/>
      <c r="AA426" s="79"/>
      <c r="AB426" s="79"/>
    </row>
    <row r="427">
      <c r="A427" s="79"/>
      <c r="B427" s="84"/>
      <c r="C427" s="84"/>
      <c r="D427" s="84"/>
      <c r="E427" s="85"/>
      <c r="F427" s="85"/>
      <c r="G427" s="72"/>
      <c r="H427" s="72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6"/>
      <c r="V427" s="86"/>
      <c r="W427" s="86"/>
      <c r="X427" s="86"/>
      <c r="Y427" s="79"/>
      <c r="Z427" s="79"/>
      <c r="AA427" s="79"/>
      <c r="AB427" s="79"/>
    </row>
    <row r="428">
      <c r="A428" s="79"/>
      <c r="B428" s="84"/>
      <c r="C428" s="84"/>
      <c r="D428" s="84"/>
      <c r="E428" s="85"/>
      <c r="F428" s="85"/>
      <c r="G428" s="72"/>
      <c r="H428" s="72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6"/>
      <c r="V428" s="86"/>
      <c r="W428" s="86"/>
      <c r="X428" s="86"/>
      <c r="Y428" s="79"/>
      <c r="Z428" s="79"/>
      <c r="AA428" s="79"/>
      <c r="AB428" s="79"/>
    </row>
    <row r="429">
      <c r="A429" s="79"/>
      <c r="B429" s="84"/>
      <c r="C429" s="84"/>
      <c r="D429" s="84"/>
      <c r="E429" s="85"/>
      <c r="F429" s="85"/>
      <c r="G429" s="72"/>
      <c r="H429" s="72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6"/>
      <c r="V429" s="86"/>
      <c r="W429" s="86"/>
      <c r="X429" s="86"/>
      <c r="Y429" s="79"/>
      <c r="Z429" s="79"/>
      <c r="AA429" s="79"/>
      <c r="AB429" s="79"/>
    </row>
    <row r="430">
      <c r="A430" s="79"/>
      <c r="B430" s="84"/>
      <c r="C430" s="84"/>
      <c r="D430" s="84"/>
      <c r="E430" s="85"/>
      <c r="F430" s="85"/>
      <c r="G430" s="72"/>
      <c r="H430" s="72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6"/>
      <c r="V430" s="86"/>
      <c r="W430" s="86"/>
      <c r="X430" s="86"/>
      <c r="Y430" s="79"/>
      <c r="Z430" s="79"/>
      <c r="AA430" s="79"/>
      <c r="AB430" s="79"/>
    </row>
    <row r="431">
      <c r="A431" s="79"/>
      <c r="B431" s="84"/>
      <c r="C431" s="84"/>
      <c r="D431" s="84"/>
      <c r="E431" s="85"/>
      <c r="F431" s="85"/>
      <c r="G431" s="72"/>
      <c r="H431" s="72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6"/>
      <c r="V431" s="86"/>
      <c r="W431" s="86"/>
      <c r="X431" s="86"/>
      <c r="Y431" s="79"/>
      <c r="Z431" s="79"/>
      <c r="AA431" s="79"/>
      <c r="AB431" s="79"/>
    </row>
    <row r="432">
      <c r="A432" s="79"/>
      <c r="B432" s="84"/>
      <c r="C432" s="84"/>
      <c r="D432" s="84"/>
      <c r="E432" s="85"/>
      <c r="F432" s="85"/>
      <c r="G432" s="72"/>
      <c r="H432" s="72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6"/>
      <c r="V432" s="86"/>
      <c r="W432" s="86"/>
      <c r="X432" s="86"/>
      <c r="Y432" s="79"/>
      <c r="Z432" s="79"/>
      <c r="AA432" s="79"/>
      <c r="AB432" s="79"/>
    </row>
    <row r="433">
      <c r="A433" s="79"/>
      <c r="B433" s="84"/>
      <c r="C433" s="84"/>
      <c r="D433" s="84"/>
      <c r="E433" s="85"/>
      <c r="F433" s="85"/>
      <c r="G433" s="72"/>
      <c r="H433" s="72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6"/>
      <c r="V433" s="86"/>
      <c r="W433" s="86"/>
      <c r="X433" s="86"/>
      <c r="Y433" s="79"/>
      <c r="Z433" s="79"/>
      <c r="AA433" s="79"/>
      <c r="AB433" s="79"/>
    </row>
    <row r="434">
      <c r="A434" s="79"/>
      <c r="B434" s="84"/>
      <c r="C434" s="84"/>
      <c r="D434" s="84"/>
      <c r="E434" s="85"/>
      <c r="F434" s="85"/>
      <c r="G434" s="72"/>
      <c r="H434" s="72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6"/>
      <c r="V434" s="86"/>
      <c r="W434" s="86"/>
      <c r="X434" s="86"/>
      <c r="Y434" s="79"/>
      <c r="Z434" s="79"/>
      <c r="AA434" s="79"/>
      <c r="AB434" s="79"/>
    </row>
    <row r="435">
      <c r="A435" s="79"/>
      <c r="B435" s="84"/>
      <c r="C435" s="84"/>
      <c r="D435" s="84"/>
      <c r="E435" s="85"/>
      <c r="F435" s="85"/>
      <c r="G435" s="72"/>
      <c r="H435" s="72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6"/>
      <c r="V435" s="86"/>
      <c r="W435" s="86"/>
      <c r="X435" s="86"/>
      <c r="Y435" s="79"/>
      <c r="Z435" s="79"/>
      <c r="AA435" s="79"/>
      <c r="AB435" s="79"/>
    </row>
    <row r="436">
      <c r="A436" s="79"/>
      <c r="B436" s="84"/>
      <c r="C436" s="84"/>
      <c r="D436" s="84"/>
      <c r="E436" s="85"/>
      <c r="F436" s="85"/>
      <c r="G436" s="72"/>
      <c r="H436" s="72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6"/>
      <c r="V436" s="86"/>
      <c r="W436" s="86"/>
      <c r="X436" s="86"/>
      <c r="Y436" s="79"/>
      <c r="Z436" s="79"/>
      <c r="AA436" s="79"/>
      <c r="AB436" s="79"/>
    </row>
    <row r="437">
      <c r="A437" s="79"/>
      <c r="B437" s="84"/>
      <c r="C437" s="84"/>
      <c r="D437" s="84"/>
      <c r="E437" s="85"/>
      <c r="F437" s="85"/>
      <c r="G437" s="72"/>
      <c r="H437" s="72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6"/>
      <c r="V437" s="86"/>
      <c r="W437" s="86"/>
      <c r="X437" s="86"/>
      <c r="Y437" s="79"/>
      <c r="Z437" s="79"/>
      <c r="AA437" s="79"/>
      <c r="AB437" s="79"/>
    </row>
    <row r="438">
      <c r="A438" s="79"/>
      <c r="B438" s="84"/>
      <c r="C438" s="84"/>
      <c r="D438" s="84"/>
      <c r="E438" s="85"/>
      <c r="F438" s="85"/>
      <c r="G438" s="72"/>
      <c r="H438" s="72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6"/>
      <c r="V438" s="86"/>
      <c r="W438" s="86"/>
      <c r="X438" s="86"/>
      <c r="Y438" s="79"/>
      <c r="Z438" s="79"/>
      <c r="AA438" s="79"/>
      <c r="AB438" s="79"/>
    </row>
    <row r="439">
      <c r="A439" s="79"/>
      <c r="B439" s="84"/>
      <c r="C439" s="84"/>
      <c r="D439" s="84"/>
      <c r="E439" s="85"/>
      <c r="F439" s="85"/>
      <c r="G439" s="72"/>
      <c r="H439" s="72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6"/>
      <c r="V439" s="86"/>
      <c r="W439" s="86"/>
      <c r="X439" s="86"/>
      <c r="Y439" s="79"/>
      <c r="Z439" s="79"/>
      <c r="AA439" s="79"/>
      <c r="AB439" s="79"/>
    </row>
    <row r="440">
      <c r="A440" s="79"/>
      <c r="B440" s="84"/>
      <c r="C440" s="84"/>
      <c r="D440" s="84"/>
      <c r="E440" s="85"/>
      <c r="F440" s="85"/>
      <c r="G440" s="72"/>
      <c r="H440" s="72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6"/>
      <c r="V440" s="86"/>
      <c r="W440" s="86"/>
      <c r="X440" s="86"/>
      <c r="Y440" s="79"/>
      <c r="Z440" s="79"/>
      <c r="AA440" s="79"/>
      <c r="AB440" s="79"/>
    </row>
    <row r="441">
      <c r="A441" s="79"/>
      <c r="B441" s="84"/>
      <c r="C441" s="84"/>
      <c r="D441" s="84"/>
      <c r="E441" s="85"/>
      <c r="F441" s="85"/>
      <c r="G441" s="72"/>
      <c r="H441" s="72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6"/>
      <c r="V441" s="86"/>
      <c r="W441" s="86"/>
      <c r="X441" s="86"/>
      <c r="Y441" s="79"/>
      <c r="Z441" s="79"/>
      <c r="AA441" s="79"/>
      <c r="AB441" s="79"/>
    </row>
    <row r="442">
      <c r="A442" s="79"/>
      <c r="B442" s="84"/>
      <c r="C442" s="84"/>
      <c r="D442" s="84"/>
      <c r="E442" s="85"/>
      <c r="F442" s="85"/>
      <c r="G442" s="72"/>
      <c r="H442" s="72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6"/>
      <c r="V442" s="86"/>
      <c r="W442" s="86"/>
      <c r="X442" s="86"/>
      <c r="Y442" s="79"/>
      <c r="Z442" s="79"/>
      <c r="AA442" s="79"/>
      <c r="AB442" s="79"/>
    </row>
    <row r="443">
      <c r="A443" s="79"/>
      <c r="B443" s="84"/>
      <c r="C443" s="84"/>
      <c r="D443" s="84"/>
      <c r="E443" s="85"/>
      <c r="F443" s="85"/>
      <c r="G443" s="72"/>
      <c r="H443" s="72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6"/>
      <c r="V443" s="86"/>
      <c r="W443" s="86"/>
      <c r="X443" s="86"/>
      <c r="Y443" s="79"/>
      <c r="Z443" s="79"/>
      <c r="AA443" s="79"/>
      <c r="AB443" s="79"/>
    </row>
    <row r="444">
      <c r="A444" s="79"/>
      <c r="B444" s="84"/>
      <c r="C444" s="84"/>
      <c r="D444" s="84"/>
      <c r="E444" s="85"/>
      <c r="F444" s="85"/>
      <c r="G444" s="72"/>
      <c r="H444" s="72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6"/>
      <c r="V444" s="86"/>
      <c r="W444" s="86"/>
      <c r="X444" s="86"/>
      <c r="Y444" s="79"/>
      <c r="Z444" s="79"/>
      <c r="AA444" s="79"/>
      <c r="AB444" s="79"/>
    </row>
    <row r="445">
      <c r="A445" s="79"/>
      <c r="B445" s="84"/>
      <c r="C445" s="84"/>
      <c r="D445" s="84"/>
      <c r="E445" s="85"/>
      <c r="F445" s="85"/>
      <c r="G445" s="72"/>
      <c r="H445" s="72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6"/>
      <c r="V445" s="86"/>
      <c r="W445" s="86"/>
      <c r="X445" s="86"/>
      <c r="Y445" s="79"/>
      <c r="Z445" s="79"/>
      <c r="AA445" s="79"/>
      <c r="AB445" s="79"/>
    </row>
    <row r="446">
      <c r="A446" s="79"/>
      <c r="B446" s="84"/>
      <c r="C446" s="84"/>
      <c r="D446" s="84"/>
      <c r="E446" s="85"/>
      <c r="F446" s="85"/>
      <c r="G446" s="72"/>
      <c r="H446" s="72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6"/>
      <c r="V446" s="86"/>
      <c r="W446" s="86"/>
      <c r="X446" s="86"/>
      <c r="Y446" s="79"/>
      <c r="Z446" s="79"/>
      <c r="AA446" s="79"/>
      <c r="AB446" s="79"/>
    </row>
    <row r="447">
      <c r="A447" s="79"/>
      <c r="B447" s="84"/>
      <c r="C447" s="84"/>
      <c r="D447" s="84"/>
      <c r="E447" s="85"/>
      <c r="F447" s="85"/>
      <c r="G447" s="72"/>
      <c r="H447" s="72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6"/>
      <c r="V447" s="86"/>
      <c r="W447" s="86"/>
      <c r="X447" s="86"/>
      <c r="Y447" s="79"/>
      <c r="Z447" s="79"/>
      <c r="AA447" s="79"/>
      <c r="AB447" s="79"/>
    </row>
    <row r="448">
      <c r="A448" s="79"/>
      <c r="B448" s="84"/>
      <c r="C448" s="84"/>
      <c r="D448" s="84"/>
      <c r="E448" s="85"/>
      <c r="F448" s="85"/>
      <c r="G448" s="72"/>
      <c r="H448" s="72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6"/>
      <c r="V448" s="86"/>
      <c r="W448" s="86"/>
      <c r="X448" s="86"/>
      <c r="Y448" s="79"/>
      <c r="Z448" s="79"/>
      <c r="AA448" s="79"/>
      <c r="AB448" s="79"/>
    </row>
    <row r="449">
      <c r="A449" s="79"/>
      <c r="B449" s="84"/>
      <c r="C449" s="84"/>
      <c r="D449" s="84"/>
      <c r="E449" s="85"/>
      <c r="F449" s="85"/>
      <c r="G449" s="72"/>
      <c r="H449" s="72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6"/>
      <c r="V449" s="86"/>
      <c r="W449" s="86"/>
      <c r="X449" s="86"/>
      <c r="Y449" s="79"/>
      <c r="Z449" s="79"/>
      <c r="AA449" s="79"/>
      <c r="AB449" s="79"/>
    </row>
    <row r="450">
      <c r="A450" s="79"/>
      <c r="B450" s="84"/>
      <c r="C450" s="84"/>
      <c r="D450" s="84"/>
      <c r="E450" s="85"/>
      <c r="F450" s="85"/>
      <c r="G450" s="72"/>
      <c r="H450" s="72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6"/>
      <c r="V450" s="86"/>
      <c r="W450" s="86"/>
      <c r="X450" s="86"/>
      <c r="Y450" s="79"/>
      <c r="Z450" s="79"/>
      <c r="AA450" s="79"/>
      <c r="AB450" s="79"/>
    </row>
    <row r="451">
      <c r="A451" s="79"/>
      <c r="B451" s="84"/>
      <c r="C451" s="84"/>
      <c r="D451" s="84"/>
      <c r="E451" s="85"/>
      <c r="F451" s="85"/>
      <c r="G451" s="72"/>
      <c r="H451" s="72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6"/>
      <c r="V451" s="86"/>
      <c r="W451" s="86"/>
      <c r="X451" s="86"/>
      <c r="Y451" s="79"/>
      <c r="Z451" s="79"/>
      <c r="AA451" s="79"/>
      <c r="AB451" s="79"/>
    </row>
    <row r="452">
      <c r="A452" s="79"/>
      <c r="B452" s="84"/>
      <c r="C452" s="84"/>
      <c r="D452" s="84"/>
      <c r="E452" s="85"/>
      <c r="F452" s="85"/>
      <c r="G452" s="72"/>
      <c r="H452" s="72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6"/>
      <c r="V452" s="86"/>
      <c r="W452" s="86"/>
      <c r="X452" s="86"/>
      <c r="Y452" s="79"/>
      <c r="Z452" s="79"/>
      <c r="AA452" s="79"/>
      <c r="AB452" s="79"/>
    </row>
    <row r="453">
      <c r="A453" s="79"/>
      <c r="B453" s="84"/>
      <c r="C453" s="84"/>
      <c r="D453" s="84"/>
      <c r="E453" s="85"/>
      <c r="F453" s="85"/>
      <c r="G453" s="72"/>
      <c r="H453" s="72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6"/>
      <c r="V453" s="86"/>
      <c r="W453" s="86"/>
      <c r="X453" s="86"/>
      <c r="Y453" s="79"/>
      <c r="Z453" s="79"/>
      <c r="AA453" s="79"/>
      <c r="AB453" s="79"/>
    </row>
    <row r="454">
      <c r="A454" s="79"/>
      <c r="B454" s="84"/>
      <c r="C454" s="84"/>
      <c r="D454" s="84"/>
      <c r="E454" s="85"/>
      <c r="F454" s="85"/>
      <c r="G454" s="72"/>
      <c r="H454" s="72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6"/>
      <c r="V454" s="86"/>
      <c r="W454" s="86"/>
      <c r="X454" s="86"/>
      <c r="Y454" s="79"/>
      <c r="Z454" s="79"/>
      <c r="AA454" s="79"/>
      <c r="AB454" s="79"/>
    </row>
    <row r="455">
      <c r="A455" s="79"/>
      <c r="B455" s="84"/>
      <c r="C455" s="84"/>
      <c r="D455" s="84"/>
      <c r="E455" s="85"/>
      <c r="F455" s="85"/>
      <c r="G455" s="72"/>
      <c r="H455" s="72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6"/>
      <c r="V455" s="86"/>
      <c r="W455" s="86"/>
      <c r="X455" s="86"/>
      <c r="Y455" s="79"/>
      <c r="Z455" s="79"/>
      <c r="AA455" s="79"/>
      <c r="AB455" s="79"/>
    </row>
    <row r="456">
      <c r="A456" s="79"/>
      <c r="B456" s="84"/>
      <c r="C456" s="84"/>
      <c r="D456" s="84"/>
      <c r="E456" s="85"/>
      <c r="F456" s="85"/>
      <c r="G456" s="72"/>
      <c r="H456" s="72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6"/>
      <c r="V456" s="86"/>
      <c r="W456" s="86"/>
      <c r="X456" s="86"/>
      <c r="Y456" s="79"/>
      <c r="Z456" s="79"/>
      <c r="AA456" s="79"/>
      <c r="AB456" s="79"/>
    </row>
    <row r="457">
      <c r="A457" s="79"/>
      <c r="B457" s="84"/>
      <c r="C457" s="84"/>
      <c r="D457" s="84"/>
      <c r="E457" s="85"/>
      <c r="F457" s="85"/>
      <c r="G457" s="72"/>
      <c r="H457" s="72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6"/>
      <c r="V457" s="86"/>
      <c r="W457" s="86"/>
      <c r="X457" s="86"/>
      <c r="Y457" s="79"/>
      <c r="Z457" s="79"/>
      <c r="AA457" s="79"/>
      <c r="AB457" s="79"/>
    </row>
    <row r="458">
      <c r="A458" s="79"/>
      <c r="B458" s="84"/>
      <c r="C458" s="84"/>
      <c r="D458" s="84"/>
      <c r="E458" s="85"/>
      <c r="F458" s="85"/>
      <c r="G458" s="72"/>
      <c r="H458" s="72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6"/>
      <c r="V458" s="86"/>
      <c r="W458" s="86"/>
      <c r="X458" s="86"/>
      <c r="Y458" s="79"/>
      <c r="Z458" s="79"/>
      <c r="AA458" s="79"/>
      <c r="AB458" s="79"/>
    </row>
    <row r="459">
      <c r="A459" s="79"/>
      <c r="B459" s="84"/>
      <c r="C459" s="84"/>
      <c r="D459" s="84"/>
      <c r="E459" s="85"/>
      <c r="F459" s="85"/>
      <c r="G459" s="72"/>
      <c r="H459" s="72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6"/>
      <c r="V459" s="86"/>
      <c r="W459" s="86"/>
      <c r="X459" s="86"/>
      <c r="Y459" s="79"/>
      <c r="Z459" s="79"/>
      <c r="AA459" s="79"/>
      <c r="AB459" s="79"/>
    </row>
    <row r="460">
      <c r="A460" s="79"/>
      <c r="B460" s="84"/>
      <c r="C460" s="84"/>
      <c r="D460" s="84"/>
      <c r="E460" s="85"/>
      <c r="F460" s="85"/>
      <c r="G460" s="72"/>
      <c r="H460" s="72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6"/>
      <c r="V460" s="86"/>
      <c r="W460" s="86"/>
      <c r="X460" s="86"/>
      <c r="Y460" s="79"/>
      <c r="Z460" s="79"/>
      <c r="AA460" s="79"/>
      <c r="AB460" s="79"/>
    </row>
    <row r="461">
      <c r="A461" s="79"/>
      <c r="B461" s="84"/>
      <c r="C461" s="84"/>
      <c r="D461" s="84"/>
      <c r="E461" s="85"/>
      <c r="F461" s="85"/>
      <c r="G461" s="72"/>
      <c r="H461" s="72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6"/>
      <c r="V461" s="86"/>
      <c r="W461" s="86"/>
      <c r="X461" s="86"/>
      <c r="Y461" s="79"/>
      <c r="Z461" s="79"/>
      <c r="AA461" s="79"/>
      <c r="AB461" s="79"/>
    </row>
    <row r="462">
      <c r="A462" s="79"/>
      <c r="B462" s="84"/>
      <c r="C462" s="84"/>
      <c r="D462" s="84"/>
      <c r="E462" s="85"/>
      <c r="F462" s="85"/>
      <c r="G462" s="72"/>
      <c r="H462" s="72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6"/>
      <c r="V462" s="86"/>
      <c r="W462" s="86"/>
      <c r="X462" s="86"/>
      <c r="Y462" s="79"/>
      <c r="Z462" s="79"/>
      <c r="AA462" s="79"/>
      <c r="AB462" s="79"/>
    </row>
    <row r="463">
      <c r="A463" s="79"/>
      <c r="B463" s="84"/>
      <c r="C463" s="84"/>
      <c r="D463" s="84"/>
      <c r="E463" s="85"/>
      <c r="F463" s="85"/>
      <c r="G463" s="72"/>
      <c r="H463" s="72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6"/>
      <c r="V463" s="86"/>
      <c r="W463" s="86"/>
      <c r="X463" s="86"/>
      <c r="Y463" s="79"/>
      <c r="Z463" s="79"/>
      <c r="AA463" s="79"/>
      <c r="AB463" s="79"/>
    </row>
    <row r="464">
      <c r="A464" s="79"/>
      <c r="B464" s="84"/>
      <c r="C464" s="84"/>
      <c r="D464" s="84"/>
      <c r="E464" s="85"/>
      <c r="F464" s="85"/>
      <c r="G464" s="72"/>
      <c r="H464" s="72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6"/>
      <c r="V464" s="86"/>
      <c r="W464" s="86"/>
      <c r="X464" s="86"/>
      <c r="Y464" s="79"/>
      <c r="Z464" s="79"/>
      <c r="AA464" s="79"/>
      <c r="AB464" s="79"/>
    </row>
    <row r="465">
      <c r="A465" s="79"/>
      <c r="B465" s="84"/>
      <c r="C465" s="84"/>
      <c r="D465" s="84"/>
      <c r="E465" s="85"/>
      <c r="F465" s="85"/>
      <c r="G465" s="72"/>
      <c r="H465" s="72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6"/>
      <c r="V465" s="86"/>
      <c r="W465" s="86"/>
      <c r="X465" s="86"/>
      <c r="Y465" s="79"/>
      <c r="Z465" s="79"/>
      <c r="AA465" s="79"/>
      <c r="AB465" s="79"/>
    </row>
    <row r="466">
      <c r="A466" s="79"/>
      <c r="B466" s="84"/>
      <c r="C466" s="84"/>
      <c r="D466" s="84"/>
      <c r="E466" s="85"/>
      <c r="F466" s="85"/>
      <c r="G466" s="72"/>
      <c r="H466" s="72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6"/>
      <c r="V466" s="86"/>
      <c r="W466" s="86"/>
      <c r="X466" s="86"/>
      <c r="Y466" s="79"/>
      <c r="Z466" s="79"/>
      <c r="AA466" s="79"/>
      <c r="AB466" s="79"/>
    </row>
    <row r="467">
      <c r="A467" s="79"/>
      <c r="B467" s="84"/>
      <c r="C467" s="84"/>
      <c r="D467" s="84"/>
      <c r="E467" s="85"/>
      <c r="F467" s="85"/>
      <c r="G467" s="72"/>
      <c r="H467" s="72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6"/>
      <c r="V467" s="86"/>
      <c r="W467" s="86"/>
      <c r="X467" s="86"/>
      <c r="Y467" s="79"/>
      <c r="Z467" s="79"/>
      <c r="AA467" s="79"/>
      <c r="AB467" s="79"/>
    </row>
    <row r="468">
      <c r="A468" s="79"/>
      <c r="B468" s="84"/>
      <c r="C468" s="84"/>
      <c r="D468" s="84"/>
      <c r="E468" s="85"/>
      <c r="F468" s="85"/>
      <c r="G468" s="72"/>
      <c r="H468" s="72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6"/>
      <c r="V468" s="86"/>
      <c r="W468" s="86"/>
      <c r="X468" s="86"/>
      <c r="Y468" s="79"/>
      <c r="Z468" s="79"/>
      <c r="AA468" s="79"/>
      <c r="AB468" s="79"/>
    </row>
    <row r="469">
      <c r="A469" s="79"/>
      <c r="B469" s="84"/>
      <c r="C469" s="84"/>
      <c r="D469" s="84"/>
      <c r="E469" s="85"/>
      <c r="F469" s="85"/>
      <c r="G469" s="72"/>
      <c r="H469" s="72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6"/>
      <c r="V469" s="86"/>
      <c r="W469" s="86"/>
      <c r="X469" s="86"/>
      <c r="Y469" s="79"/>
      <c r="Z469" s="79"/>
      <c r="AA469" s="79"/>
      <c r="AB469" s="79"/>
    </row>
    <row r="470">
      <c r="A470" s="79"/>
      <c r="B470" s="84"/>
      <c r="C470" s="84"/>
      <c r="D470" s="84"/>
      <c r="E470" s="85"/>
      <c r="F470" s="85"/>
      <c r="G470" s="72"/>
      <c r="H470" s="72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6"/>
      <c r="V470" s="86"/>
      <c r="W470" s="86"/>
      <c r="X470" s="86"/>
      <c r="Y470" s="79"/>
      <c r="Z470" s="79"/>
      <c r="AA470" s="79"/>
      <c r="AB470" s="79"/>
    </row>
    <row r="471">
      <c r="A471" s="79"/>
      <c r="B471" s="84"/>
      <c r="C471" s="84"/>
      <c r="D471" s="84"/>
      <c r="E471" s="85"/>
      <c r="F471" s="85"/>
      <c r="G471" s="72"/>
      <c r="H471" s="72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6"/>
      <c r="V471" s="86"/>
      <c r="W471" s="86"/>
      <c r="X471" s="86"/>
      <c r="Y471" s="79"/>
      <c r="Z471" s="79"/>
      <c r="AA471" s="79"/>
      <c r="AB471" s="79"/>
    </row>
    <row r="472">
      <c r="A472" s="79"/>
      <c r="B472" s="84"/>
      <c r="C472" s="84"/>
      <c r="D472" s="84"/>
      <c r="E472" s="85"/>
      <c r="F472" s="85"/>
      <c r="G472" s="72"/>
      <c r="H472" s="72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6"/>
      <c r="V472" s="86"/>
      <c r="W472" s="86"/>
      <c r="X472" s="86"/>
      <c r="Y472" s="79"/>
      <c r="Z472" s="79"/>
      <c r="AA472" s="79"/>
      <c r="AB472" s="79"/>
    </row>
    <row r="473">
      <c r="A473" s="79"/>
      <c r="B473" s="84"/>
      <c r="C473" s="84"/>
      <c r="D473" s="84"/>
      <c r="E473" s="85"/>
      <c r="F473" s="85"/>
      <c r="G473" s="72"/>
      <c r="H473" s="72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6"/>
      <c r="V473" s="86"/>
      <c r="W473" s="86"/>
      <c r="X473" s="86"/>
      <c r="Y473" s="79"/>
      <c r="Z473" s="79"/>
      <c r="AA473" s="79"/>
      <c r="AB473" s="79"/>
    </row>
    <row r="474">
      <c r="A474" s="79"/>
      <c r="B474" s="84"/>
      <c r="C474" s="84"/>
      <c r="D474" s="84"/>
      <c r="E474" s="85"/>
      <c r="F474" s="85"/>
      <c r="G474" s="72"/>
      <c r="H474" s="72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6"/>
      <c r="V474" s="86"/>
      <c r="W474" s="86"/>
      <c r="X474" s="86"/>
      <c r="Y474" s="79"/>
      <c r="Z474" s="79"/>
      <c r="AA474" s="79"/>
      <c r="AB474" s="79"/>
    </row>
    <row r="475">
      <c r="A475" s="79"/>
      <c r="B475" s="84"/>
      <c r="C475" s="84"/>
      <c r="D475" s="84"/>
      <c r="E475" s="85"/>
      <c r="F475" s="85"/>
      <c r="G475" s="72"/>
      <c r="H475" s="72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6"/>
      <c r="V475" s="86"/>
      <c r="W475" s="86"/>
      <c r="X475" s="86"/>
      <c r="Y475" s="79"/>
      <c r="Z475" s="79"/>
      <c r="AA475" s="79"/>
      <c r="AB475" s="79"/>
    </row>
    <row r="476">
      <c r="A476" s="79"/>
      <c r="B476" s="84"/>
      <c r="C476" s="84"/>
      <c r="D476" s="84"/>
      <c r="E476" s="85"/>
      <c r="F476" s="85"/>
      <c r="G476" s="72"/>
      <c r="H476" s="72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6"/>
      <c r="V476" s="86"/>
      <c r="W476" s="86"/>
      <c r="X476" s="86"/>
      <c r="Y476" s="79"/>
      <c r="Z476" s="79"/>
      <c r="AA476" s="79"/>
      <c r="AB476" s="79"/>
    </row>
    <row r="477">
      <c r="A477" s="79"/>
      <c r="B477" s="84"/>
      <c r="C477" s="84"/>
      <c r="D477" s="84"/>
      <c r="E477" s="85"/>
      <c r="F477" s="85"/>
      <c r="G477" s="72"/>
      <c r="H477" s="72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6"/>
      <c r="V477" s="86"/>
      <c r="W477" s="86"/>
      <c r="X477" s="86"/>
      <c r="Y477" s="79"/>
      <c r="Z477" s="79"/>
      <c r="AA477" s="79"/>
      <c r="AB477" s="79"/>
    </row>
    <row r="478">
      <c r="A478" s="79"/>
      <c r="B478" s="84"/>
      <c r="C478" s="84"/>
      <c r="D478" s="84"/>
      <c r="E478" s="85"/>
      <c r="F478" s="85"/>
      <c r="G478" s="72"/>
      <c r="H478" s="72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6"/>
      <c r="V478" s="86"/>
      <c r="W478" s="86"/>
      <c r="X478" s="86"/>
      <c r="Y478" s="79"/>
      <c r="Z478" s="79"/>
      <c r="AA478" s="79"/>
      <c r="AB478" s="79"/>
    </row>
    <row r="479">
      <c r="A479" s="79"/>
      <c r="B479" s="84"/>
      <c r="C479" s="84"/>
      <c r="D479" s="84"/>
      <c r="E479" s="85"/>
      <c r="F479" s="85"/>
      <c r="G479" s="72"/>
      <c r="H479" s="72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6"/>
      <c r="V479" s="86"/>
      <c r="W479" s="86"/>
      <c r="X479" s="86"/>
      <c r="Y479" s="79"/>
      <c r="Z479" s="79"/>
      <c r="AA479" s="79"/>
      <c r="AB479" s="79"/>
    </row>
    <row r="480">
      <c r="A480" s="79"/>
      <c r="B480" s="84"/>
      <c r="C480" s="84"/>
      <c r="D480" s="84"/>
      <c r="E480" s="85"/>
      <c r="F480" s="85"/>
      <c r="G480" s="72"/>
      <c r="H480" s="72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6"/>
      <c r="V480" s="86"/>
      <c r="W480" s="86"/>
      <c r="X480" s="86"/>
      <c r="Y480" s="79"/>
      <c r="Z480" s="79"/>
      <c r="AA480" s="79"/>
      <c r="AB480" s="79"/>
    </row>
    <row r="481">
      <c r="A481" s="79"/>
      <c r="B481" s="84"/>
      <c r="C481" s="84"/>
      <c r="D481" s="84"/>
      <c r="E481" s="85"/>
      <c r="F481" s="85"/>
      <c r="G481" s="72"/>
      <c r="H481" s="72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6"/>
      <c r="V481" s="86"/>
      <c r="W481" s="86"/>
      <c r="X481" s="86"/>
      <c r="Y481" s="79"/>
      <c r="Z481" s="79"/>
      <c r="AA481" s="79"/>
      <c r="AB481" s="79"/>
    </row>
    <row r="482">
      <c r="A482" s="79"/>
      <c r="B482" s="84"/>
      <c r="C482" s="84"/>
      <c r="D482" s="84"/>
      <c r="E482" s="85"/>
      <c r="F482" s="85"/>
      <c r="G482" s="72"/>
      <c r="H482" s="72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6"/>
      <c r="V482" s="86"/>
      <c r="W482" s="86"/>
      <c r="X482" s="86"/>
      <c r="Y482" s="79"/>
      <c r="Z482" s="79"/>
      <c r="AA482" s="79"/>
      <c r="AB482" s="79"/>
    </row>
    <row r="483">
      <c r="A483" s="79"/>
      <c r="B483" s="84"/>
      <c r="C483" s="84"/>
      <c r="D483" s="84"/>
      <c r="E483" s="85"/>
      <c r="F483" s="85"/>
      <c r="G483" s="72"/>
      <c r="H483" s="72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6"/>
      <c r="V483" s="86"/>
      <c r="W483" s="86"/>
      <c r="X483" s="86"/>
      <c r="Y483" s="79"/>
      <c r="Z483" s="79"/>
      <c r="AA483" s="79"/>
      <c r="AB483" s="79"/>
    </row>
    <row r="484">
      <c r="A484" s="79"/>
      <c r="B484" s="84"/>
      <c r="C484" s="84"/>
      <c r="D484" s="84"/>
      <c r="E484" s="85"/>
      <c r="F484" s="85"/>
      <c r="G484" s="72"/>
      <c r="H484" s="72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6"/>
      <c r="V484" s="86"/>
      <c r="W484" s="86"/>
      <c r="X484" s="86"/>
      <c r="Y484" s="79"/>
      <c r="Z484" s="79"/>
      <c r="AA484" s="79"/>
      <c r="AB484" s="79"/>
    </row>
    <row r="485">
      <c r="A485" s="79"/>
      <c r="B485" s="84"/>
      <c r="C485" s="84"/>
      <c r="D485" s="84"/>
      <c r="E485" s="85"/>
      <c r="F485" s="85"/>
      <c r="G485" s="72"/>
      <c r="H485" s="72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6"/>
      <c r="V485" s="86"/>
      <c r="W485" s="86"/>
      <c r="X485" s="86"/>
      <c r="Y485" s="79"/>
      <c r="Z485" s="79"/>
      <c r="AA485" s="79"/>
      <c r="AB485" s="79"/>
    </row>
    <row r="486">
      <c r="A486" s="79"/>
      <c r="B486" s="84"/>
      <c r="C486" s="84"/>
      <c r="D486" s="84"/>
      <c r="E486" s="85"/>
      <c r="F486" s="85"/>
      <c r="G486" s="72"/>
      <c r="H486" s="72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6"/>
      <c r="V486" s="86"/>
      <c r="W486" s="86"/>
      <c r="X486" s="86"/>
      <c r="Y486" s="79"/>
      <c r="Z486" s="79"/>
      <c r="AA486" s="79"/>
      <c r="AB486" s="79"/>
    </row>
    <row r="487">
      <c r="A487" s="79"/>
      <c r="B487" s="84"/>
      <c r="C487" s="84"/>
      <c r="D487" s="84"/>
      <c r="E487" s="85"/>
      <c r="F487" s="85"/>
      <c r="G487" s="72"/>
      <c r="H487" s="72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6"/>
      <c r="V487" s="86"/>
      <c r="W487" s="86"/>
      <c r="X487" s="86"/>
      <c r="Y487" s="79"/>
      <c r="Z487" s="79"/>
      <c r="AA487" s="79"/>
      <c r="AB487" s="79"/>
    </row>
    <row r="488">
      <c r="A488" s="79"/>
      <c r="B488" s="84"/>
      <c r="C488" s="84"/>
      <c r="D488" s="84"/>
      <c r="E488" s="85"/>
      <c r="F488" s="85"/>
      <c r="G488" s="72"/>
      <c r="H488" s="72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6"/>
      <c r="V488" s="86"/>
      <c r="W488" s="86"/>
      <c r="X488" s="86"/>
      <c r="Y488" s="79"/>
      <c r="Z488" s="79"/>
      <c r="AA488" s="79"/>
      <c r="AB488" s="79"/>
    </row>
    <row r="489">
      <c r="A489" s="79"/>
      <c r="B489" s="84"/>
      <c r="C489" s="84"/>
      <c r="D489" s="84"/>
      <c r="E489" s="85"/>
      <c r="F489" s="85"/>
      <c r="G489" s="72"/>
      <c r="H489" s="72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6"/>
      <c r="V489" s="86"/>
      <c r="W489" s="86"/>
      <c r="X489" s="86"/>
      <c r="Y489" s="79"/>
      <c r="Z489" s="79"/>
      <c r="AA489" s="79"/>
      <c r="AB489" s="79"/>
    </row>
    <row r="490">
      <c r="A490" s="79"/>
      <c r="B490" s="84"/>
      <c r="C490" s="84"/>
      <c r="D490" s="84"/>
      <c r="E490" s="85"/>
      <c r="F490" s="85"/>
      <c r="G490" s="72"/>
      <c r="H490" s="72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6"/>
      <c r="V490" s="86"/>
      <c r="W490" s="86"/>
      <c r="X490" s="86"/>
      <c r="Y490" s="79"/>
      <c r="Z490" s="79"/>
      <c r="AA490" s="79"/>
      <c r="AB490" s="79"/>
    </row>
    <row r="491">
      <c r="A491" s="79"/>
      <c r="B491" s="84"/>
      <c r="C491" s="84"/>
      <c r="D491" s="84"/>
      <c r="E491" s="85"/>
      <c r="F491" s="85"/>
      <c r="G491" s="72"/>
      <c r="H491" s="72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6"/>
      <c r="V491" s="86"/>
      <c r="W491" s="86"/>
      <c r="X491" s="86"/>
      <c r="Y491" s="79"/>
      <c r="Z491" s="79"/>
      <c r="AA491" s="79"/>
      <c r="AB491" s="79"/>
    </row>
    <row r="492">
      <c r="A492" s="79"/>
      <c r="B492" s="84"/>
      <c r="C492" s="84"/>
      <c r="D492" s="84"/>
      <c r="E492" s="85"/>
      <c r="F492" s="85"/>
      <c r="G492" s="72"/>
      <c r="H492" s="72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6"/>
      <c r="V492" s="86"/>
      <c r="W492" s="86"/>
      <c r="X492" s="86"/>
      <c r="Y492" s="79"/>
      <c r="Z492" s="79"/>
      <c r="AA492" s="79"/>
      <c r="AB492" s="79"/>
    </row>
    <row r="493">
      <c r="A493" s="79"/>
      <c r="B493" s="84"/>
      <c r="C493" s="84"/>
      <c r="D493" s="84"/>
      <c r="E493" s="85"/>
      <c r="F493" s="85"/>
      <c r="G493" s="72"/>
      <c r="H493" s="72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6"/>
      <c r="V493" s="86"/>
      <c r="W493" s="86"/>
      <c r="X493" s="86"/>
      <c r="Y493" s="79"/>
      <c r="Z493" s="79"/>
      <c r="AA493" s="79"/>
      <c r="AB493" s="79"/>
    </row>
    <row r="494">
      <c r="A494" s="79"/>
      <c r="B494" s="84"/>
      <c r="C494" s="84"/>
      <c r="D494" s="84"/>
      <c r="E494" s="85"/>
      <c r="F494" s="85"/>
      <c r="G494" s="72"/>
      <c r="H494" s="72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6"/>
      <c r="V494" s="86"/>
      <c r="W494" s="86"/>
      <c r="X494" s="86"/>
      <c r="Y494" s="79"/>
      <c r="Z494" s="79"/>
      <c r="AA494" s="79"/>
      <c r="AB494" s="79"/>
    </row>
    <row r="495">
      <c r="A495" s="79"/>
      <c r="B495" s="84"/>
      <c r="C495" s="84"/>
      <c r="D495" s="84"/>
      <c r="E495" s="85"/>
      <c r="F495" s="85"/>
      <c r="G495" s="72"/>
      <c r="H495" s="72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6"/>
      <c r="V495" s="86"/>
      <c r="W495" s="86"/>
      <c r="X495" s="86"/>
      <c r="Y495" s="79"/>
      <c r="Z495" s="79"/>
      <c r="AA495" s="79"/>
      <c r="AB495" s="79"/>
    </row>
    <row r="496">
      <c r="A496" s="79"/>
      <c r="B496" s="84"/>
      <c r="C496" s="84"/>
      <c r="D496" s="84"/>
      <c r="E496" s="85"/>
      <c r="F496" s="85"/>
      <c r="G496" s="72"/>
      <c r="H496" s="72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6"/>
      <c r="V496" s="86"/>
      <c r="W496" s="86"/>
      <c r="X496" s="86"/>
      <c r="Y496" s="79"/>
      <c r="Z496" s="79"/>
      <c r="AA496" s="79"/>
      <c r="AB496" s="79"/>
    </row>
    <row r="497">
      <c r="A497" s="79"/>
      <c r="B497" s="84"/>
      <c r="C497" s="84"/>
      <c r="D497" s="84"/>
      <c r="E497" s="85"/>
      <c r="F497" s="85"/>
      <c r="G497" s="72"/>
      <c r="H497" s="72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6"/>
      <c r="V497" s="86"/>
      <c r="W497" s="86"/>
      <c r="X497" s="86"/>
      <c r="Y497" s="79"/>
      <c r="Z497" s="79"/>
      <c r="AA497" s="79"/>
      <c r="AB497" s="79"/>
    </row>
    <row r="498">
      <c r="A498" s="79"/>
      <c r="B498" s="84"/>
      <c r="C498" s="84"/>
      <c r="D498" s="84"/>
      <c r="E498" s="85"/>
      <c r="F498" s="85"/>
      <c r="G498" s="72"/>
      <c r="H498" s="72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6"/>
      <c r="V498" s="86"/>
      <c r="W498" s="86"/>
      <c r="X498" s="86"/>
      <c r="Y498" s="79"/>
      <c r="Z498" s="79"/>
      <c r="AA498" s="79"/>
      <c r="AB498" s="79"/>
    </row>
    <row r="499">
      <c r="A499" s="79"/>
      <c r="B499" s="84"/>
      <c r="C499" s="84"/>
      <c r="D499" s="84"/>
      <c r="E499" s="85"/>
      <c r="F499" s="85"/>
      <c r="G499" s="72"/>
      <c r="H499" s="72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6"/>
      <c r="V499" s="86"/>
      <c r="W499" s="86"/>
      <c r="X499" s="86"/>
      <c r="Y499" s="79"/>
      <c r="Z499" s="79"/>
      <c r="AA499" s="79"/>
      <c r="AB499" s="79"/>
    </row>
    <row r="500">
      <c r="A500" s="79"/>
      <c r="B500" s="84"/>
      <c r="C500" s="84"/>
      <c r="D500" s="84"/>
      <c r="E500" s="85"/>
      <c r="F500" s="85"/>
      <c r="G500" s="72"/>
      <c r="H500" s="72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6"/>
      <c r="V500" s="86"/>
      <c r="W500" s="86"/>
      <c r="X500" s="86"/>
      <c r="Y500" s="79"/>
      <c r="Z500" s="79"/>
      <c r="AA500" s="79"/>
      <c r="AB500" s="79"/>
    </row>
    <row r="501">
      <c r="A501" s="79"/>
      <c r="B501" s="84"/>
      <c r="C501" s="84"/>
      <c r="D501" s="84"/>
      <c r="E501" s="85"/>
      <c r="F501" s="85"/>
      <c r="G501" s="72"/>
      <c r="H501" s="72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6"/>
      <c r="V501" s="86"/>
      <c r="W501" s="86"/>
      <c r="X501" s="86"/>
      <c r="Y501" s="79"/>
      <c r="Z501" s="79"/>
      <c r="AA501" s="79"/>
      <c r="AB501" s="79"/>
    </row>
    <row r="502">
      <c r="A502" s="79"/>
      <c r="B502" s="84"/>
      <c r="C502" s="84"/>
      <c r="D502" s="84"/>
      <c r="E502" s="85"/>
      <c r="F502" s="85"/>
      <c r="G502" s="72"/>
      <c r="H502" s="72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6"/>
      <c r="V502" s="86"/>
      <c r="W502" s="86"/>
      <c r="X502" s="86"/>
      <c r="Y502" s="79"/>
      <c r="Z502" s="79"/>
      <c r="AA502" s="79"/>
      <c r="AB502" s="79"/>
    </row>
    <row r="503">
      <c r="A503" s="79"/>
      <c r="B503" s="84"/>
      <c r="C503" s="84"/>
      <c r="D503" s="84"/>
      <c r="E503" s="85"/>
      <c r="F503" s="85"/>
      <c r="G503" s="72"/>
      <c r="H503" s="72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6"/>
      <c r="V503" s="86"/>
      <c r="W503" s="86"/>
      <c r="X503" s="86"/>
      <c r="Y503" s="79"/>
      <c r="Z503" s="79"/>
      <c r="AA503" s="79"/>
      <c r="AB503" s="79"/>
    </row>
    <row r="504">
      <c r="A504" s="79"/>
      <c r="B504" s="84"/>
      <c r="C504" s="84"/>
      <c r="D504" s="84"/>
      <c r="E504" s="85"/>
      <c r="F504" s="85"/>
      <c r="G504" s="72"/>
      <c r="H504" s="72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6"/>
      <c r="V504" s="86"/>
      <c r="W504" s="86"/>
      <c r="X504" s="86"/>
      <c r="Y504" s="79"/>
      <c r="Z504" s="79"/>
      <c r="AA504" s="79"/>
      <c r="AB504" s="79"/>
    </row>
    <row r="505">
      <c r="A505" s="79"/>
      <c r="B505" s="84"/>
      <c r="C505" s="84"/>
      <c r="D505" s="84"/>
      <c r="E505" s="85"/>
      <c r="F505" s="85"/>
      <c r="G505" s="72"/>
      <c r="H505" s="72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6"/>
      <c r="V505" s="86"/>
      <c r="W505" s="86"/>
      <c r="X505" s="86"/>
      <c r="Y505" s="79"/>
      <c r="Z505" s="79"/>
      <c r="AA505" s="79"/>
      <c r="AB505" s="79"/>
    </row>
    <row r="506">
      <c r="A506" s="79"/>
      <c r="B506" s="84"/>
      <c r="C506" s="84"/>
      <c r="D506" s="84"/>
      <c r="E506" s="85"/>
      <c r="F506" s="85"/>
      <c r="G506" s="72"/>
      <c r="H506" s="72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6"/>
      <c r="V506" s="86"/>
      <c r="W506" s="86"/>
      <c r="X506" s="86"/>
      <c r="Y506" s="79"/>
      <c r="Z506" s="79"/>
      <c r="AA506" s="79"/>
      <c r="AB506" s="79"/>
    </row>
    <row r="507">
      <c r="A507" s="79"/>
      <c r="B507" s="84"/>
      <c r="C507" s="84"/>
      <c r="D507" s="84"/>
      <c r="E507" s="85"/>
      <c r="F507" s="85"/>
      <c r="G507" s="72"/>
      <c r="H507" s="72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6"/>
      <c r="V507" s="86"/>
      <c r="W507" s="86"/>
      <c r="X507" s="86"/>
      <c r="Y507" s="79"/>
      <c r="Z507" s="79"/>
      <c r="AA507" s="79"/>
      <c r="AB507" s="79"/>
    </row>
    <row r="508">
      <c r="A508" s="79"/>
      <c r="B508" s="84"/>
      <c r="C508" s="84"/>
      <c r="D508" s="84"/>
      <c r="E508" s="85"/>
      <c r="F508" s="85"/>
      <c r="G508" s="72"/>
      <c r="H508" s="72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6"/>
      <c r="V508" s="86"/>
      <c r="W508" s="86"/>
      <c r="X508" s="86"/>
      <c r="Y508" s="79"/>
      <c r="Z508" s="79"/>
      <c r="AA508" s="79"/>
      <c r="AB508" s="79"/>
    </row>
    <row r="509">
      <c r="A509" s="79"/>
      <c r="B509" s="84"/>
      <c r="C509" s="84"/>
      <c r="D509" s="84"/>
      <c r="E509" s="85"/>
      <c r="F509" s="85"/>
      <c r="G509" s="72"/>
      <c r="H509" s="72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6"/>
      <c r="V509" s="86"/>
      <c r="W509" s="86"/>
      <c r="X509" s="86"/>
      <c r="Y509" s="79"/>
      <c r="Z509" s="79"/>
      <c r="AA509" s="79"/>
      <c r="AB509" s="79"/>
    </row>
    <row r="510">
      <c r="A510" s="79"/>
      <c r="B510" s="84"/>
      <c r="C510" s="84"/>
      <c r="D510" s="84"/>
      <c r="E510" s="85"/>
      <c r="F510" s="85"/>
      <c r="G510" s="72"/>
      <c r="H510" s="72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6"/>
      <c r="V510" s="86"/>
      <c r="W510" s="86"/>
      <c r="X510" s="86"/>
      <c r="Y510" s="79"/>
      <c r="Z510" s="79"/>
      <c r="AA510" s="79"/>
      <c r="AB510" s="79"/>
    </row>
    <row r="511">
      <c r="A511" s="79"/>
      <c r="B511" s="84"/>
      <c r="C511" s="84"/>
      <c r="D511" s="84"/>
      <c r="E511" s="85"/>
      <c r="F511" s="85"/>
      <c r="G511" s="72"/>
      <c r="H511" s="72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6"/>
      <c r="V511" s="86"/>
      <c r="W511" s="86"/>
      <c r="X511" s="86"/>
      <c r="Y511" s="79"/>
      <c r="Z511" s="79"/>
      <c r="AA511" s="79"/>
      <c r="AB511" s="79"/>
    </row>
    <row r="512">
      <c r="A512" s="79"/>
      <c r="B512" s="84"/>
      <c r="C512" s="84"/>
      <c r="D512" s="84"/>
      <c r="E512" s="85"/>
      <c r="F512" s="85"/>
      <c r="G512" s="72"/>
      <c r="H512" s="72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6"/>
      <c r="V512" s="86"/>
      <c r="W512" s="86"/>
      <c r="X512" s="86"/>
      <c r="Y512" s="79"/>
      <c r="Z512" s="79"/>
      <c r="AA512" s="79"/>
      <c r="AB512" s="79"/>
    </row>
    <row r="513">
      <c r="A513" s="79"/>
      <c r="B513" s="84"/>
      <c r="C513" s="84"/>
      <c r="D513" s="84"/>
      <c r="E513" s="85"/>
      <c r="F513" s="85"/>
      <c r="G513" s="72"/>
      <c r="H513" s="72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6"/>
      <c r="V513" s="86"/>
      <c r="W513" s="86"/>
      <c r="X513" s="86"/>
      <c r="Y513" s="79"/>
      <c r="Z513" s="79"/>
      <c r="AA513" s="79"/>
      <c r="AB513" s="79"/>
    </row>
    <row r="514">
      <c r="A514" s="79"/>
      <c r="B514" s="84"/>
      <c r="C514" s="84"/>
      <c r="D514" s="84"/>
      <c r="E514" s="85"/>
      <c r="F514" s="85"/>
      <c r="G514" s="72"/>
      <c r="H514" s="72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6"/>
      <c r="V514" s="86"/>
      <c r="W514" s="86"/>
      <c r="X514" s="86"/>
      <c r="Y514" s="79"/>
      <c r="Z514" s="79"/>
      <c r="AA514" s="79"/>
      <c r="AB514" s="79"/>
    </row>
    <row r="515">
      <c r="A515" s="79"/>
      <c r="B515" s="84"/>
      <c r="C515" s="84"/>
      <c r="D515" s="84"/>
      <c r="E515" s="85"/>
      <c r="F515" s="85"/>
      <c r="G515" s="72"/>
      <c r="H515" s="72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6"/>
      <c r="V515" s="86"/>
      <c r="W515" s="86"/>
      <c r="X515" s="86"/>
      <c r="Y515" s="79"/>
      <c r="Z515" s="79"/>
      <c r="AA515" s="79"/>
      <c r="AB515" s="79"/>
    </row>
    <row r="516">
      <c r="A516" s="79"/>
      <c r="B516" s="84"/>
      <c r="C516" s="84"/>
      <c r="D516" s="84"/>
      <c r="E516" s="85"/>
      <c r="F516" s="85"/>
      <c r="G516" s="72"/>
      <c r="H516" s="72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6"/>
      <c r="V516" s="86"/>
      <c r="W516" s="86"/>
      <c r="X516" s="86"/>
      <c r="Y516" s="79"/>
      <c r="Z516" s="79"/>
      <c r="AA516" s="79"/>
      <c r="AB516" s="79"/>
    </row>
    <row r="517">
      <c r="A517" s="79"/>
      <c r="B517" s="84"/>
      <c r="C517" s="84"/>
      <c r="D517" s="84"/>
      <c r="E517" s="85"/>
      <c r="F517" s="85"/>
      <c r="G517" s="72"/>
      <c r="H517" s="72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6"/>
      <c r="V517" s="86"/>
      <c r="W517" s="86"/>
      <c r="X517" s="86"/>
      <c r="Y517" s="79"/>
      <c r="Z517" s="79"/>
      <c r="AA517" s="79"/>
      <c r="AB517" s="79"/>
    </row>
    <row r="518">
      <c r="A518" s="79"/>
      <c r="B518" s="84"/>
      <c r="C518" s="84"/>
      <c r="D518" s="84"/>
      <c r="E518" s="85"/>
      <c r="F518" s="85"/>
      <c r="G518" s="72"/>
      <c r="H518" s="72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6"/>
      <c r="V518" s="86"/>
      <c r="W518" s="86"/>
      <c r="X518" s="86"/>
      <c r="Y518" s="79"/>
      <c r="Z518" s="79"/>
      <c r="AA518" s="79"/>
      <c r="AB518" s="79"/>
    </row>
    <row r="519">
      <c r="A519" s="79"/>
      <c r="B519" s="84"/>
      <c r="C519" s="84"/>
      <c r="D519" s="84"/>
      <c r="E519" s="85"/>
      <c r="F519" s="85"/>
      <c r="G519" s="72"/>
      <c r="H519" s="72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6"/>
      <c r="V519" s="86"/>
      <c r="W519" s="86"/>
      <c r="X519" s="86"/>
      <c r="Y519" s="79"/>
      <c r="Z519" s="79"/>
      <c r="AA519" s="79"/>
      <c r="AB519" s="79"/>
    </row>
    <row r="520">
      <c r="A520" s="79"/>
      <c r="B520" s="84"/>
      <c r="C520" s="84"/>
      <c r="D520" s="84"/>
      <c r="E520" s="85"/>
      <c r="F520" s="85"/>
      <c r="G520" s="72"/>
      <c r="H520" s="72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6"/>
      <c r="V520" s="86"/>
      <c r="W520" s="86"/>
      <c r="X520" s="86"/>
      <c r="Y520" s="79"/>
      <c r="Z520" s="79"/>
      <c r="AA520" s="79"/>
      <c r="AB520" s="79"/>
    </row>
    <row r="521">
      <c r="A521" s="79"/>
      <c r="B521" s="84"/>
      <c r="C521" s="84"/>
      <c r="D521" s="84"/>
      <c r="E521" s="85"/>
      <c r="F521" s="85"/>
      <c r="G521" s="72"/>
      <c r="H521" s="72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6"/>
      <c r="V521" s="86"/>
      <c r="W521" s="86"/>
      <c r="X521" s="86"/>
      <c r="Y521" s="79"/>
      <c r="Z521" s="79"/>
      <c r="AA521" s="79"/>
      <c r="AB521" s="79"/>
    </row>
    <row r="522">
      <c r="A522" s="79"/>
      <c r="B522" s="84"/>
      <c r="C522" s="84"/>
      <c r="D522" s="84"/>
      <c r="E522" s="85"/>
      <c r="F522" s="85"/>
      <c r="G522" s="72"/>
      <c r="H522" s="72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6"/>
      <c r="V522" s="86"/>
      <c r="W522" s="86"/>
      <c r="X522" s="86"/>
      <c r="Y522" s="79"/>
      <c r="Z522" s="79"/>
      <c r="AA522" s="79"/>
      <c r="AB522" s="79"/>
    </row>
    <row r="523">
      <c r="A523" s="79"/>
      <c r="B523" s="84"/>
      <c r="C523" s="84"/>
      <c r="D523" s="84"/>
      <c r="E523" s="85"/>
      <c r="F523" s="85"/>
      <c r="G523" s="72"/>
      <c r="H523" s="72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6"/>
      <c r="V523" s="86"/>
      <c r="W523" s="86"/>
      <c r="X523" s="86"/>
      <c r="Y523" s="79"/>
      <c r="Z523" s="79"/>
      <c r="AA523" s="79"/>
      <c r="AB523" s="79"/>
    </row>
    <row r="524">
      <c r="A524" s="79"/>
      <c r="B524" s="84"/>
      <c r="C524" s="84"/>
      <c r="D524" s="84"/>
      <c r="E524" s="85"/>
      <c r="F524" s="85"/>
      <c r="G524" s="72"/>
      <c r="H524" s="72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6"/>
      <c r="V524" s="86"/>
      <c r="W524" s="86"/>
      <c r="X524" s="86"/>
      <c r="Y524" s="79"/>
      <c r="Z524" s="79"/>
      <c r="AA524" s="79"/>
      <c r="AB524" s="79"/>
    </row>
    <row r="525">
      <c r="A525" s="79"/>
      <c r="B525" s="84"/>
      <c r="C525" s="84"/>
      <c r="D525" s="84"/>
      <c r="E525" s="85"/>
      <c r="F525" s="85"/>
      <c r="G525" s="72"/>
      <c r="H525" s="72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6"/>
      <c r="V525" s="86"/>
      <c r="W525" s="86"/>
      <c r="X525" s="86"/>
      <c r="Y525" s="79"/>
      <c r="Z525" s="79"/>
      <c r="AA525" s="79"/>
      <c r="AB525" s="79"/>
    </row>
    <row r="526">
      <c r="A526" s="79"/>
      <c r="B526" s="84"/>
      <c r="C526" s="84"/>
      <c r="D526" s="84"/>
      <c r="E526" s="85"/>
      <c r="F526" s="85"/>
      <c r="G526" s="72"/>
      <c r="H526" s="72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6"/>
      <c r="V526" s="86"/>
      <c r="W526" s="86"/>
      <c r="X526" s="86"/>
      <c r="Y526" s="79"/>
      <c r="Z526" s="79"/>
      <c r="AA526" s="79"/>
      <c r="AB526" s="79"/>
    </row>
    <row r="527">
      <c r="A527" s="79"/>
      <c r="B527" s="84"/>
      <c r="C527" s="84"/>
      <c r="D527" s="84"/>
      <c r="E527" s="85"/>
      <c r="F527" s="85"/>
      <c r="G527" s="72"/>
      <c r="H527" s="72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6"/>
      <c r="V527" s="86"/>
      <c r="W527" s="86"/>
      <c r="X527" s="86"/>
      <c r="Y527" s="79"/>
      <c r="Z527" s="79"/>
      <c r="AA527" s="79"/>
      <c r="AB527" s="79"/>
    </row>
    <row r="528">
      <c r="A528" s="79"/>
      <c r="B528" s="84"/>
      <c r="C528" s="84"/>
      <c r="D528" s="84"/>
      <c r="E528" s="85"/>
      <c r="F528" s="85"/>
      <c r="G528" s="72"/>
      <c r="H528" s="72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6"/>
      <c r="V528" s="86"/>
      <c r="W528" s="86"/>
      <c r="X528" s="86"/>
      <c r="Y528" s="79"/>
      <c r="Z528" s="79"/>
      <c r="AA528" s="79"/>
      <c r="AB528" s="79"/>
    </row>
    <row r="529">
      <c r="A529" s="79"/>
      <c r="B529" s="84"/>
      <c r="C529" s="84"/>
      <c r="D529" s="84"/>
      <c r="E529" s="85"/>
      <c r="F529" s="85"/>
      <c r="G529" s="72"/>
      <c r="H529" s="72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6"/>
      <c r="V529" s="86"/>
      <c r="W529" s="86"/>
      <c r="X529" s="86"/>
      <c r="Y529" s="79"/>
      <c r="Z529" s="79"/>
      <c r="AA529" s="79"/>
      <c r="AB529" s="79"/>
    </row>
    <row r="530">
      <c r="A530" s="79"/>
      <c r="B530" s="84"/>
      <c r="C530" s="84"/>
      <c r="D530" s="84"/>
      <c r="E530" s="85"/>
      <c r="F530" s="85"/>
      <c r="G530" s="72"/>
      <c r="H530" s="72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6"/>
      <c r="V530" s="86"/>
      <c r="W530" s="86"/>
      <c r="X530" s="86"/>
      <c r="Y530" s="79"/>
      <c r="Z530" s="79"/>
      <c r="AA530" s="79"/>
      <c r="AB530" s="79"/>
    </row>
    <row r="531">
      <c r="A531" s="79"/>
      <c r="B531" s="84"/>
      <c r="C531" s="84"/>
      <c r="D531" s="84"/>
      <c r="E531" s="85"/>
      <c r="F531" s="85"/>
      <c r="G531" s="72"/>
      <c r="H531" s="72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6"/>
      <c r="V531" s="86"/>
      <c r="W531" s="86"/>
      <c r="X531" s="86"/>
      <c r="Y531" s="79"/>
      <c r="Z531" s="79"/>
      <c r="AA531" s="79"/>
      <c r="AB531" s="79"/>
    </row>
    <row r="532">
      <c r="A532" s="79"/>
      <c r="B532" s="84"/>
      <c r="C532" s="84"/>
      <c r="D532" s="84"/>
      <c r="E532" s="85"/>
      <c r="F532" s="85"/>
      <c r="G532" s="72"/>
      <c r="H532" s="72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6"/>
      <c r="V532" s="86"/>
      <c r="W532" s="86"/>
      <c r="X532" s="86"/>
      <c r="Y532" s="79"/>
      <c r="Z532" s="79"/>
      <c r="AA532" s="79"/>
      <c r="AB532" s="79"/>
    </row>
    <row r="533">
      <c r="A533" s="79"/>
      <c r="B533" s="84"/>
      <c r="C533" s="84"/>
      <c r="D533" s="84"/>
      <c r="E533" s="85"/>
      <c r="F533" s="85"/>
      <c r="G533" s="72"/>
      <c r="H533" s="72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6"/>
      <c r="V533" s="86"/>
      <c r="W533" s="86"/>
      <c r="X533" s="86"/>
      <c r="Y533" s="79"/>
      <c r="Z533" s="79"/>
      <c r="AA533" s="79"/>
      <c r="AB533" s="79"/>
    </row>
    <row r="534">
      <c r="A534" s="79"/>
      <c r="B534" s="84"/>
      <c r="C534" s="84"/>
      <c r="D534" s="84"/>
      <c r="E534" s="85"/>
      <c r="F534" s="85"/>
      <c r="G534" s="72"/>
      <c r="H534" s="72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6"/>
      <c r="V534" s="86"/>
      <c r="W534" s="86"/>
      <c r="X534" s="86"/>
      <c r="Y534" s="79"/>
      <c r="Z534" s="79"/>
      <c r="AA534" s="79"/>
      <c r="AB534" s="79"/>
    </row>
    <row r="535">
      <c r="A535" s="79"/>
      <c r="B535" s="84"/>
      <c r="C535" s="84"/>
      <c r="D535" s="84"/>
      <c r="E535" s="85"/>
      <c r="F535" s="85"/>
      <c r="G535" s="72"/>
      <c r="H535" s="72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6"/>
      <c r="V535" s="86"/>
      <c r="W535" s="86"/>
      <c r="X535" s="86"/>
      <c r="Y535" s="79"/>
      <c r="Z535" s="79"/>
      <c r="AA535" s="79"/>
      <c r="AB535" s="79"/>
    </row>
    <row r="536">
      <c r="A536" s="79"/>
      <c r="B536" s="84"/>
      <c r="C536" s="84"/>
      <c r="D536" s="84"/>
      <c r="E536" s="85"/>
      <c r="F536" s="85"/>
      <c r="G536" s="72"/>
      <c r="H536" s="72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6"/>
      <c r="V536" s="86"/>
      <c r="W536" s="86"/>
      <c r="X536" s="86"/>
      <c r="Y536" s="79"/>
      <c r="Z536" s="79"/>
      <c r="AA536" s="79"/>
      <c r="AB536" s="79"/>
    </row>
    <row r="537">
      <c r="A537" s="79"/>
      <c r="B537" s="84"/>
      <c r="C537" s="84"/>
      <c r="D537" s="84"/>
      <c r="E537" s="85"/>
      <c r="F537" s="85"/>
      <c r="G537" s="72"/>
      <c r="H537" s="72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6"/>
      <c r="V537" s="86"/>
      <c r="W537" s="86"/>
      <c r="X537" s="86"/>
      <c r="Y537" s="79"/>
      <c r="Z537" s="79"/>
      <c r="AA537" s="79"/>
      <c r="AB537" s="79"/>
    </row>
    <row r="538">
      <c r="A538" s="79"/>
      <c r="B538" s="84"/>
      <c r="C538" s="84"/>
      <c r="D538" s="84"/>
      <c r="E538" s="85"/>
      <c r="F538" s="85"/>
      <c r="G538" s="72"/>
      <c r="H538" s="72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6"/>
      <c r="V538" s="86"/>
      <c r="W538" s="86"/>
      <c r="X538" s="86"/>
      <c r="Y538" s="79"/>
      <c r="Z538" s="79"/>
      <c r="AA538" s="79"/>
      <c r="AB538" s="79"/>
    </row>
    <row r="539">
      <c r="A539" s="79"/>
      <c r="B539" s="84"/>
      <c r="C539" s="84"/>
      <c r="D539" s="84"/>
      <c r="E539" s="85"/>
      <c r="F539" s="85"/>
      <c r="G539" s="72"/>
      <c r="H539" s="72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6"/>
      <c r="V539" s="86"/>
      <c r="W539" s="86"/>
      <c r="X539" s="86"/>
      <c r="Y539" s="79"/>
      <c r="Z539" s="79"/>
      <c r="AA539" s="79"/>
      <c r="AB539" s="79"/>
    </row>
    <row r="540">
      <c r="A540" s="79"/>
      <c r="B540" s="84"/>
      <c r="C540" s="84"/>
      <c r="D540" s="84"/>
      <c r="E540" s="85"/>
      <c r="F540" s="85"/>
      <c r="G540" s="72"/>
      <c r="H540" s="72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6"/>
      <c r="V540" s="86"/>
      <c r="W540" s="86"/>
      <c r="X540" s="86"/>
      <c r="Y540" s="79"/>
      <c r="Z540" s="79"/>
      <c r="AA540" s="79"/>
      <c r="AB540" s="79"/>
    </row>
    <row r="541">
      <c r="A541" s="79"/>
      <c r="B541" s="84"/>
      <c r="C541" s="84"/>
      <c r="D541" s="84"/>
      <c r="E541" s="85"/>
      <c r="F541" s="85"/>
      <c r="G541" s="72"/>
      <c r="H541" s="72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6"/>
      <c r="V541" s="86"/>
      <c r="W541" s="86"/>
      <c r="X541" s="86"/>
      <c r="Y541" s="79"/>
      <c r="Z541" s="79"/>
      <c r="AA541" s="79"/>
      <c r="AB541" s="79"/>
    </row>
    <row r="542">
      <c r="A542" s="79"/>
      <c r="B542" s="84"/>
      <c r="C542" s="84"/>
      <c r="D542" s="84"/>
      <c r="E542" s="85"/>
      <c r="F542" s="85"/>
      <c r="G542" s="72"/>
      <c r="H542" s="72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6"/>
      <c r="V542" s="86"/>
      <c r="W542" s="86"/>
      <c r="X542" s="86"/>
      <c r="Y542" s="79"/>
      <c r="Z542" s="79"/>
      <c r="AA542" s="79"/>
      <c r="AB542" s="79"/>
    </row>
    <row r="543">
      <c r="A543" s="79"/>
      <c r="B543" s="84"/>
      <c r="C543" s="84"/>
      <c r="D543" s="84"/>
      <c r="E543" s="85"/>
      <c r="F543" s="85"/>
      <c r="G543" s="72"/>
      <c r="H543" s="72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6"/>
      <c r="V543" s="86"/>
      <c r="W543" s="86"/>
      <c r="X543" s="86"/>
      <c r="Y543" s="79"/>
      <c r="Z543" s="79"/>
      <c r="AA543" s="79"/>
      <c r="AB543" s="79"/>
    </row>
    <row r="544">
      <c r="A544" s="79"/>
      <c r="B544" s="84"/>
      <c r="C544" s="84"/>
      <c r="D544" s="84"/>
      <c r="E544" s="85"/>
      <c r="F544" s="85"/>
      <c r="G544" s="72"/>
      <c r="H544" s="72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6"/>
      <c r="V544" s="86"/>
      <c r="W544" s="86"/>
      <c r="X544" s="86"/>
      <c r="Y544" s="79"/>
      <c r="Z544" s="79"/>
      <c r="AA544" s="79"/>
      <c r="AB544" s="79"/>
    </row>
    <row r="545">
      <c r="A545" s="79"/>
      <c r="B545" s="84"/>
      <c r="C545" s="84"/>
      <c r="D545" s="84"/>
      <c r="E545" s="85"/>
      <c r="F545" s="85"/>
      <c r="G545" s="72"/>
      <c r="H545" s="72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6"/>
      <c r="V545" s="86"/>
      <c r="W545" s="86"/>
      <c r="X545" s="86"/>
      <c r="Y545" s="79"/>
      <c r="Z545" s="79"/>
      <c r="AA545" s="79"/>
      <c r="AB545" s="79"/>
    </row>
    <row r="546">
      <c r="A546" s="79"/>
      <c r="B546" s="84"/>
      <c r="C546" s="84"/>
      <c r="D546" s="84"/>
      <c r="E546" s="85"/>
      <c r="F546" s="85"/>
      <c r="G546" s="72"/>
      <c r="H546" s="72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6"/>
      <c r="V546" s="86"/>
      <c r="W546" s="86"/>
      <c r="X546" s="86"/>
      <c r="Y546" s="79"/>
      <c r="Z546" s="79"/>
      <c r="AA546" s="79"/>
      <c r="AB546" s="79"/>
    </row>
    <row r="547">
      <c r="A547" s="79"/>
      <c r="B547" s="84"/>
      <c r="C547" s="84"/>
      <c r="D547" s="84"/>
      <c r="E547" s="85"/>
      <c r="F547" s="85"/>
      <c r="G547" s="72"/>
      <c r="H547" s="72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6"/>
      <c r="V547" s="86"/>
      <c r="W547" s="86"/>
      <c r="X547" s="86"/>
      <c r="Y547" s="79"/>
      <c r="Z547" s="79"/>
      <c r="AA547" s="79"/>
      <c r="AB547" s="79"/>
    </row>
    <row r="548">
      <c r="A548" s="79"/>
      <c r="B548" s="84"/>
      <c r="C548" s="84"/>
      <c r="D548" s="84"/>
      <c r="E548" s="85"/>
      <c r="F548" s="85"/>
      <c r="G548" s="72"/>
      <c r="H548" s="72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6"/>
      <c r="V548" s="86"/>
      <c r="W548" s="86"/>
      <c r="X548" s="86"/>
      <c r="Y548" s="79"/>
      <c r="Z548" s="79"/>
      <c r="AA548" s="79"/>
      <c r="AB548" s="79"/>
    </row>
    <row r="549">
      <c r="A549" s="79"/>
      <c r="B549" s="84"/>
      <c r="C549" s="84"/>
      <c r="D549" s="84"/>
      <c r="E549" s="85"/>
      <c r="F549" s="85"/>
      <c r="G549" s="72"/>
      <c r="H549" s="72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6"/>
      <c r="V549" s="86"/>
      <c r="W549" s="86"/>
      <c r="X549" s="86"/>
      <c r="Y549" s="79"/>
      <c r="Z549" s="79"/>
      <c r="AA549" s="79"/>
      <c r="AB549" s="79"/>
    </row>
    <row r="550">
      <c r="A550" s="79"/>
      <c r="B550" s="84"/>
      <c r="C550" s="84"/>
      <c r="D550" s="84"/>
      <c r="E550" s="85"/>
      <c r="F550" s="85"/>
      <c r="G550" s="72"/>
      <c r="H550" s="72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6"/>
      <c r="V550" s="86"/>
      <c r="W550" s="86"/>
      <c r="X550" s="86"/>
      <c r="Y550" s="79"/>
      <c r="Z550" s="79"/>
      <c r="AA550" s="79"/>
      <c r="AB550" s="79"/>
    </row>
    <row r="551">
      <c r="A551" s="79"/>
      <c r="B551" s="84"/>
      <c r="C551" s="84"/>
      <c r="D551" s="84"/>
      <c r="E551" s="85"/>
      <c r="F551" s="85"/>
      <c r="G551" s="72"/>
      <c r="H551" s="72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6"/>
      <c r="V551" s="86"/>
      <c r="W551" s="86"/>
      <c r="X551" s="86"/>
      <c r="Y551" s="79"/>
      <c r="Z551" s="79"/>
      <c r="AA551" s="79"/>
      <c r="AB551" s="79"/>
    </row>
    <row r="552">
      <c r="A552" s="79"/>
      <c r="B552" s="84"/>
      <c r="C552" s="84"/>
      <c r="D552" s="84"/>
      <c r="E552" s="85"/>
      <c r="F552" s="85"/>
      <c r="G552" s="72"/>
      <c r="H552" s="72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6"/>
      <c r="V552" s="86"/>
      <c r="W552" s="86"/>
      <c r="X552" s="86"/>
      <c r="Y552" s="79"/>
      <c r="Z552" s="79"/>
      <c r="AA552" s="79"/>
      <c r="AB552" s="79"/>
    </row>
    <row r="553">
      <c r="A553" s="79"/>
      <c r="B553" s="84"/>
      <c r="C553" s="84"/>
      <c r="D553" s="84"/>
      <c r="E553" s="85"/>
      <c r="F553" s="85"/>
      <c r="G553" s="72"/>
      <c r="H553" s="72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6"/>
      <c r="V553" s="86"/>
      <c r="W553" s="86"/>
      <c r="X553" s="86"/>
      <c r="Y553" s="79"/>
      <c r="Z553" s="79"/>
      <c r="AA553" s="79"/>
      <c r="AB553" s="79"/>
    </row>
    <row r="554">
      <c r="A554" s="79"/>
      <c r="B554" s="84"/>
      <c r="C554" s="84"/>
      <c r="D554" s="84"/>
      <c r="E554" s="85"/>
      <c r="F554" s="85"/>
      <c r="G554" s="72"/>
      <c r="H554" s="72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6"/>
      <c r="V554" s="86"/>
      <c r="W554" s="86"/>
      <c r="X554" s="86"/>
      <c r="Y554" s="79"/>
      <c r="Z554" s="79"/>
      <c r="AA554" s="79"/>
      <c r="AB554" s="79"/>
    </row>
    <row r="555">
      <c r="A555" s="79"/>
      <c r="B555" s="84"/>
      <c r="C555" s="84"/>
      <c r="D555" s="84"/>
      <c r="E555" s="85"/>
      <c r="F555" s="85"/>
      <c r="G555" s="72"/>
      <c r="H555" s="72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6"/>
      <c r="V555" s="86"/>
      <c r="W555" s="86"/>
      <c r="X555" s="86"/>
      <c r="Y555" s="79"/>
      <c r="Z555" s="79"/>
      <c r="AA555" s="79"/>
      <c r="AB555" s="79"/>
    </row>
    <row r="556">
      <c r="A556" s="79"/>
      <c r="B556" s="84"/>
      <c r="C556" s="84"/>
      <c r="D556" s="84"/>
      <c r="E556" s="85"/>
      <c r="F556" s="85"/>
      <c r="G556" s="72"/>
      <c r="H556" s="72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6"/>
      <c r="V556" s="86"/>
      <c r="W556" s="86"/>
      <c r="X556" s="86"/>
      <c r="Y556" s="79"/>
      <c r="Z556" s="79"/>
      <c r="AA556" s="79"/>
      <c r="AB556" s="79"/>
    </row>
    <row r="557">
      <c r="A557" s="79"/>
      <c r="B557" s="84"/>
      <c r="C557" s="84"/>
      <c r="D557" s="84"/>
      <c r="E557" s="85"/>
      <c r="F557" s="85"/>
      <c r="G557" s="72"/>
      <c r="H557" s="72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6"/>
      <c r="V557" s="86"/>
      <c r="W557" s="86"/>
      <c r="X557" s="86"/>
      <c r="Y557" s="79"/>
      <c r="Z557" s="79"/>
      <c r="AA557" s="79"/>
      <c r="AB557" s="79"/>
    </row>
    <row r="558">
      <c r="A558" s="79"/>
      <c r="B558" s="84"/>
      <c r="C558" s="84"/>
      <c r="D558" s="84"/>
      <c r="E558" s="85"/>
      <c r="F558" s="85"/>
      <c r="G558" s="72"/>
      <c r="H558" s="72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6"/>
      <c r="V558" s="86"/>
      <c r="W558" s="86"/>
      <c r="X558" s="86"/>
      <c r="Y558" s="79"/>
      <c r="Z558" s="79"/>
      <c r="AA558" s="79"/>
      <c r="AB558" s="79"/>
    </row>
    <row r="559">
      <c r="A559" s="79"/>
      <c r="B559" s="84"/>
      <c r="C559" s="84"/>
      <c r="D559" s="84"/>
      <c r="E559" s="85"/>
      <c r="F559" s="85"/>
      <c r="G559" s="72"/>
      <c r="H559" s="72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6"/>
      <c r="V559" s="86"/>
      <c r="W559" s="86"/>
      <c r="X559" s="86"/>
      <c r="Y559" s="79"/>
      <c r="Z559" s="79"/>
      <c r="AA559" s="79"/>
      <c r="AB559" s="79"/>
    </row>
    <row r="560">
      <c r="A560" s="79"/>
      <c r="B560" s="84"/>
      <c r="C560" s="84"/>
      <c r="D560" s="84"/>
      <c r="E560" s="85"/>
      <c r="F560" s="85"/>
      <c r="G560" s="72"/>
      <c r="H560" s="72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6"/>
      <c r="V560" s="86"/>
      <c r="W560" s="86"/>
      <c r="X560" s="86"/>
      <c r="Y560" s="79"/>
      <c r="Z560" s="79"/>
      <c r="AA560" s="79"/>
      <c r="AB560" s="79"/>
    </row>
    <row r="561">
      <c r="A561" s="79"/>
      <c r="B561" s="84"/>
      <c r="C561" s="84"/>
      <c r="D561" s="84"/>
      <c r="E561" s="85"/>
      <c r="F561" s="85"/>
      <c r="G561" s="72"/>
      <c r="H561" s="72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6"/>
      <c r="V561" s="86"/>
      <c r="W561" s="86"/>
      <c r="X561" s="86"/>
      <c r="Y561" s="79"/>
      <c r="Z561" s="79"/>
      <c r="AA561" s="79"/>
      <c r="AB561" s="79"/>
    </row>
    <row r="562">
      <c r="A562" s="79"/>
      <c r="B562" s="84"/>
      <c r="C562" s="84"/>
      <c r="D562" s="84"/>
      <c r="E562" s="85"/>
      <c r="F562" s="85"/>
      <c r="G562" s="72"/>
      <c r="H562" s="72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6"/>
      <c r="V562" s="86"/>
      <c r="W562" s="86"/>
      <c r="X562" s="86"/>
      <c r="Y562" s="79"/>
      <c r="Z562" s="79"/>
      <c r="AA562" s="79"/>
      <c r="AB562" s="79"/>
    </row>
    <row r="563">
      <c r="A563" s="79"/>
      <c r="B563" s="84"/>
      <c r="C563" s="84"/>
      <c r="D563" s="84"/>
      <c r="E563" s="85"/>
      <c r="F563" s="85"/>
      <c r="G563" s="72"/>
      <c r="H563" s="72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6"/>
      <c r="V563" s="86"/>
      <c r="W563" s="86"/>
      <c r="X563" s="86"/>
      <c r="Y563" s="79"/>
      <c r="Z563" s="79"/>
      <c r="AA563" s="79"/>
      <c r="AB563" s="79"/>
    </row>
    <row r="564">
      <c r="A564" s="79"/>
      <c r="B564" s="84"/>
      <c r="C564" s="84"/>
      <c r="D564" s="84"/>
      <c r="E564" s="85"/>
      <c r="F564" s="85"/>
      <c r="G564" s="72"/>
      <c r="H564" s="72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6"/>
      <c r="V564" s="86"/>
      <c r="W564" s="86"/>
      <c r="X564" s="86"/>
      <c r="Y564" s="79"/>
      <c r="Z564" s="79"/>
      <c r="AA564" s="79"/>
      <c r="AB564" s="79"/>
    </row>
    <row r="565">
      <c r="A565" s="79"/>
      <c r="B565" s="84"/>
      <c r="C565" s="84"/>
      <c r="D565" s="84"/>
      <c r="E565" s="85"/>
      <c r="F565" s="85"/>
      <c r="G565" s="72"/>
      <c r="H565" s="72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6"/>
      <c r="V565" s="86"/>
      <c r="W565" s="86"/>
      <c r="X565" s="86"/>
      <c r="Y565" s="79"/>
      <c r="Z565" s="79"/>
      <c r="AA565" s="79"/>
      <c r="AB565" s="79"/>
    </row>
    <row r="566">
      <c r="A566" s="79"/>
      <c r="B566" s="84"/>
      <c r="C566" s="84"/>
      <c r="D566" s="84"/>
      <c r="E566" s="85"/>
      <c r="F566" s="85"/>
      <c r="G566" s="72"/>
      <c r="H566" s="72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6"/>
      <c r="V566" s="86"/>
      <c r="W566" s="86"/>
      <c r="X566" s="86"/>
      <c r="Y566" s="79"/>
      <c r="Z566" s="79"/>
      <c r="AA566" s="79"/>
      <c r="AB566" s="79"/>
    </row>
    <row r="567">
      <c r="A567" s="79"/>
      <c r="B567" s="84"/>
      <c r="C567" s="84"/>
      <c r="D567" s="84"/>
      <c r="E567" s="85"/>
      <c r="F567" s="85"/>
      <c r="G567" s="72"/>
      <c r="H567" s="72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6"/>
      <c r="V567" s="86"/>
      <c r="W567" s="86"/>
      <c r="X567" s="86"/>
      <c r="Y567" s="79"/>
      <c r="Z567" s="79"/>
      <c r="AA567" s="79"/>
      <c r="AB567" s="79"/>
    </row>
    <row r="568">
      <c r="A568" s="79"/>
      <c r="B568" s="84"/>
      <c r="C568" s="84"/>
      <c r="D568" s="84"/>
      <c r="E568" s="85"/>
      <c r="F568" s="85"/>
      <c r="G568" s="72"/>
      <c r="H568" s="72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6"/>
      <c r="V568" s="86"/>
      <c r="W568" s="86"/>
      <c r="X568" s="86"/>
      <c r="Y568" s="79"/>
      <c r="Z568" s="79"/>
      <c r="AA568" s="79"/>
      <c r="AB568" s="79"/>
    </row>
    <row r="569">
      <c r="A569" s="79"/>
      <c r="B569" s="84"/>
      <c r="C569" s="84"/>
      <c r="D569" s="84"/>
      <c r="E569" s="85"/>
      <c r="F569" s="85"/>
      <c r="G569" s="72"/>
      <c r="H569" s="72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6"/>
      <c r="V569" s="86"/>
      <c r="W569" s="86"/>
      <c r="X569" s="86"/>
      <c r="Y569" s="79"/>
      <c r="Z569" s="79"/>
      <c r="AA569" s="79"/>
      <c r="AB569" s="79"/>
    </row>
    <row r="570">
      <c r="A570" s="79"/>
      <c r="B570" s="84"/>
      <c r="C570" s="84"/>
      <c r="D570" s="84"/>
      <c r="E570" s="85"/>
      <c r="F570" s="85"/>
      <c r="G570" s="72"/>
      <c r="H570" s="72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6"/>
      <c r="V570" s="86"/>
      <c r="W570" s="86"/>
      <c r="X570" s="86"/>
      <c r="Y570" s="79"/>
      <c r="Z570" s="79"/>
      <c r="AA570" s="79"/>
      <c r="AB570" s="79"/>
    </row>
    <row r="571">
      <c r="A571" s="79"/>
      <c r="B571" s="84"/>
      <c r="C571" s="84"/>
      <c r="D571" s="84"/>
      <c r="E571" s="85"/>
      <c r="F571" s="85"/>
      <c r="G571" s="72"/>
      <c r="H571" s="72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6"/>
      <c r="V571" s="86"/>
      <c r="W571" s="86"/>
      <c r="X571" s="86"/>
      <c r="Y571" s="79"/>
      <c r="Z571" s="79"/>
      <c r="AA571" s="79"/>
      <c r="AB571" s="79"/>
    </row>
    <row r="572">
      <c r="A572" s="79"/>
      <c r="B572" s="84"/>
      <c r="C572" s="84"/>
      <c r="D572" s="84"/>
      <c r="E572" s="85"/>
      <c r="F572" s="85"/>
      <c r="G572" s="72"/>
      <c r="H572" s="72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6"/>
      <c r="V572" s="86"/>
      <c r="W572" s="86"/>
      <c r="X572" s="86"/>
      <c r="Y572" s="79"/>
      <c r="Z572" s="79"/>
      <c r="AA572" s="79"/>
      <c r="AB572" s="79"/>
    </row>
    <row r="573">
      <c r="A573" s="79"/>
      <c r="B573" s="84"/>
      <c r="C573" s="84"/>
      <c r="D573" s="84"/>
      <c r="E573" s="85"/>
      <c r="F573" s="85"/>
      <c r="G573" s="72"/>
      <c r="H573" s="72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6"/>
      <c r="V573" s="86"/>
      <c r="W573" s="86"/>
      <c r="X573" s="86"/>
      <c r="Y573" s="79"/>
      <c r="Z573" s="79"/>
      <c r="AA573" s="79"/>
      <c r="AB573" s="79"/>
    </row>
    <row r="574">
      <c r="A574" s="79"/>
      <c r="B574" s="84"/>
      <c r="C574" s="84"/>
      <c r="D574" s="84"/>
      <c r="E574" s="85"/>
      <c r="F574" s="85"/>
      <c r="G574" s="72"/>
      <c r="H574" s="72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6"/>
      <c r="V574" s="86"/>
      <c r="W574" s="86"/>
      <c r="X574" s="86"/>
      <c r="Y574" s="79"/>
      <c r="Z574" s="79"/>
      <c r="AA574" s="79"/>
      <c r="AB574" s="79"/>
    </row>
    <row r="575">
      <c r="A575" s="79"/>
      <c r="B575" s="84"/>
      <c r="C575" s="84"/>
      <c r="D575" s="84"/>
      <c r="E575" s="85"/>
      <c r="F575" s="85"/>
      <c r="G575" s="72"/>
      <c r="H575" s="72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6"/>
      <c r="V575" s="86"/>
      <c r="W575" s="86"/>
      <c r="X575" s="86"/>
      <c r="Y575" s="79"/>
      <c r="Z575" s="79"/>
      <c r="AA575" s="79"/>
      <c r="AB575" s="79"/>
    </row>
    <row r="576">
      <c r="A576" s="79"/>
      <c r="B576" s="84"/>
      <c r="C576" s="84"/>
      <c r="D576" s="84"/>
      <c r="E576" s="85"/>
      <c r="F576" s="85"/>
      <c r="G576" s="72"/>
      <c r="H576" s="72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6"/>
      <c r="V576" s="86"/>
      <c r="W576" s="86"/>
      <c r="X576" s="86"/>
      <c r="Y576" s="79"/>
      <c r="Z576" s="79"/>
      <c r="AA576" s="79"/>
      <c r="AB576" s="79"/>
    </row>
    <row r="577">
      <c r="A577" s="79"/>
      <c r="B577" s="84"/>
      <c r="C577" s="84"/>
      <c r="D577" s="84"/>
      <c r="E577" s="85"/>
      <c r="F577" s="85"/>
      <c r="G577" s="72"/>
      <c r="H577" s="72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6"/>
      <c r="V577" s="86"/>
      <c r="W577" s="86"/>
      <c r="X577" s="86"/>
      <c r="Y577" s="79"/>
      <c r="Z577" s="79"/>
      <c r="AA577" s="79"/>
      <c r="AB577" s="79"/>
    </row>
    <row r="578">
      <c r="A578" s="79"/>
      <c r="B578" s="84"/>
      <c r="C578" s="84"/>
      <c r="D578" s="84"/>
      <c r="E578" s="85"/>
      <c r="F578" s="85"/>
      <c r="G578" s="72"/>
      <c r="H578" s="72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6"/>
      <c r="V578" s="86"/>
      <c r="W578" s="86"/>
      <c r="X578" s="86"/>
      <c r="Y578" s="79"/>
      <c r="Z578" s="79"/>
      <c r="AA578" s="79"/>
      <c r="AB578" s="79"/>
    </row>
    <row r="579">
      <c r="A579" s="79"/>
      <c r="B579" s="84"/>
      <c r="C579" s="84"/>
      <c r="D579" s="84"/>
      <c r="E579" s="85"/>
      <c r="F579" s="85"/>
      <c r="G579" s="72"/>
      <c r="H579" s="72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6"/>
      <c r="V579" s="86"/>
      <c r="W579" s="86"/>
      <c r="X579" s="86"/>
      <c r="Y579" s="79"/>
      <c r="Z579" s="79"/>
      <c r="AA579" s="79"/>
      <c r="AB579" s="79"/>
    </row>
    <row r="580">
      <c r="A580" s="79"/>
      <c r="B580" s="84"/>
      <c r="C580" s="84"/>
      <c r="D580" s="84"/>
      <c r="E580" s="85"/>
      <c r="F580" s="85"/>
      <c r="G580" s="72"/>
      <c r="H580" s="72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6"/>
      <c r="V580" s="86"/>
      <c r="W580" s="86"/>
      <c r="X580" s="86"/>
      <c r="Y580" s="79"/>
      <c r="Z580" s="79"/>
      <c r="AA580" s="79"/>
      <c r="AB580" s="79"/>
    </row>
    <row r="581">
      <c r="A581" s="79"/>
      <c r="B581" s="84"/>
      <c r="C581" s="84"/>
      <c r="D581" s="84"/>
      <c r="E581" s="85"/>
      <c r="F581" s="85"/>
      <c r="G581" s="72"/>
      <c r="H581" s="72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6"/>
      <c r="V581" s="86"/>
      <c r="W581" s="86"/>
      <c r="X581" s="86"/>
      <c r="Y581" s="79"/>
      <c r="Z581" s="79"/>
      <c r="AA581" s="79"/>
      <c r="AB581" s="79"/>
    </row>
    <row r="582">
      <c r="A582" s="79"/>
      <c r="B582" s="84"/>
      <c r="C582" s="84"/>
      <c r="D582" s="84"/>
      <c r="E582" s="85"/>
      <c r="F582" s="85"/>
      <c r="G582" s="72"/>
      <c r="H582" s="72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6"/>
      <c r="V582" s="86"/>
      <c r="W582" s="86"/>
      <c r="X582" s="86"/>
      <c r="Y582" s="79"/>
      <c r="Z582" s="79"/>
      <c r="AA582" s="79"/>
      <c r="AB582" s="79"/>
    </row>
    <row r="583">
      <c r="A583" s="79"/>
      <c r="B583" s="84"/>
      <c r="C583" s="84"/>
      <c r="D583" s="84"/>
      <c r="E583" s="85"/>
      <c r="F583" s="85"/>
      <c r="G583" s="72"/>
      <c r="H583" s="72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6"/>
      <c r="V583" s="86"/>
      <c r="W583" s="86"/>
      <c r="X583" s="86"/>
      <c r="Y583" s="79"/>
      <c r="Z583" s="79"/>
      <c r="AA583" s="79"/>
      <c r="AB583" s="79"/>
    </row>
    <row r="584">
      <c r="A584" s="79"/>
      <c r="B584" s="84"/>
      <c r="C584" s="84"/>
      <c r="D584" s="84"/>
      <c r="E584" s="85"/>
      <c r="F584" s="85"/>
      <c r="G584" s="72"/>
      <c r="H584" s="72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6"/>
      <c r="V584" s="86"/>
      <c r="W584" s="86"/>
      <c r="X584" s="86"/>
      <c r="Y584" s="79"/>
      <c r="Z584" s="79"/>
      <c r="AA584" s="79"/>
      <c r="AB584" s="79"/>
    </row>
    <row r="585">
      <c r="A585" s="79"/>
      <c r="B585" s="84"/>
      <c r="C585" s="84"/>
      <c r="D585" s="84"/>
      <c r="E585" s="85"/>
      <c r="F585" s="85"/>
      <c r="G585" s="72"/>
      <c r="H585" s="72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6"/>
      <c r="V585" s="86"/>
      <c r="W585" s="86"/>
      <c r="X585" s="86"/>
      <c r="Y585" s="79"/>
      <c r="Z585" s="79"/>
      <c r="AA585" s="79"/>
      <c r="AB585" s="79"/>
    </row>
    <row r="586">
      <c r="A586" s="79"/>
      <c r="B586" s="84"/>
      <c r="C586" s="84"/>
      <c r="D586" s="84"/>
      <c r="E586" s="85"/>
      <c r="F586" s="85"/>
      <c r="G586" s="72"/>
      <c r="H586" s="72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6"/>
      <c r="V586" s="86"/>
      <c r="W586" s="86"/>
      <c r="X586" s="86"/>
      <c r="Y586" s="79"/>
      <c r="Z586" s="79"/>
      <c r="AA586" s="79"/>
      <c r="AB586" s="79"/>
    </row>
    <row r="587">
      <c r="A587" s="79"/>
      <c r="B587" s="84"/>
      <c r="C587" s="84"/>
      <c r="D587" s="84"/>
      <c r="E587" s="85"/>
      <c r="F587" s="85"/>
      <c r="G587" s="72"/>
      <c r="H587" s="72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6"/>
      <c r="V587" s="86"/>
      <c r="W587" s="86"/>
      <c r="X587" s="86"/>
      <c r="Y587" s="79"/>
      <c r="Z587" s="79"/>
      <c r="AA587" s="79"/>
      <c r="AB587" s="79"/>
    </row>
    <row r="588">
      <c r="A588" s="79"/>
      <c r="B588" s="84"/>
      <c r="C588" s="84"/>
      <c r="D588" s="84"/>
      <c r="E588" s="85"/>
      <c r="F588" s="85"/>
      <c r="G588" s="72"/>
      <c r="H588" s="72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6"/>
      <c r="V588" s="86"/>
      <c r="W588" s="86"/>
      <c r="X588" s="86"/>
      <c r="Y588" s="79"/>
      <c r="Z588" s="79"/>
      <c r="AA588" s="79"/>
      <c r="AB588" s="79"/>
    </row>
    <row r="589">
      <c r="A589" s="79"/>
      <c r="B589" s="84"/>
      <c r="C589" s="84"/>
      <c r="D589" s="84"/>
      <c r="E589" s="85"/>
      <c r="F589" s="85"/>
      <c r="G589" s="72"/>
      <c r="H589" s="72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6"/>
      <c r="V589" s="86"/>
      <c r="W589" s="86"/>
      <c r="X589" s="86"/>
      <c r="Y589" s="79"/>
      <c r="Z589" s="79"/>
      <c r="AA589" s="79"/>
      <c r="AB589" s="79"/>
    </row>
    <row r="590">
      <c r="A590" s="79"/>
      <c r="B590" s="84"/>
      <c r="C590" s="84"/>
      <c r="D590" s="84"/>
      <c r="E590" s="85"/>
      <c r="F590" s="85"/>
      <c r="G590" s="72"/>
      <c r="H590" s="72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6"/>
      <c r="V590" s="86"/>
      <c r="W590" s="86"/>
      <c r="X590" s="86"/>
      <c r="Y590" s="79"/>
      <c r="Z590" s="79"/>
      <c r="AA590" s="79"/>
      <c r="AB590" s="79"/>
    </row>
    <row r="591">
      <c r="A591" s="79"/>
      <c r="B591" s="84"/>
      <c r="C591" s="84"/>
      <c r="D591" s="84"/>
      <c r="E591" s="85"/>
      <c r="F591" s="85"/>
      <c r="G591" s="72"/>
      <c r="H591" s="72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6"/>
      <c r="V591" s="86"/>
      <c r="W591" s="86"/>
      <c r="X591" s="86"/>
      <c r="Y591" s="79"/>
      <c r="Z591" s="79"/>
      <c r="AA591" s="79"/>
      <c r="AB591" s="79"/>
    </row>
    <row r="592">
      <c r="A592" s="79"/>
      <c r="B592" s="84"/>
      <c r="C592" s="84"/>
      <c r="D592" s="84"/>
      <c r="E592" s="85"/>
      <c r="F592" s="85"/>
      <c r="G592" s="72"/>
      <c r="H592" s="72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6"/>
      <c r="V592" s="86"/>
      <c r="W592" s="86"/>
      <c r="X592" s="86"/>
      <c r="Y592" s="79"/>
      <c r="Z592" s="79"/>
      <c r="AA592" s="79"/>
      <c r="AB592" s="79"/>
    </row>
    <row r="593">
      <c r="A593" s="79"/>
      <c r="B593" s="84"/>
      <c r="C593" s="84"/>
      <c r="D593" s="84"/>
      <c r="E593" s="85"/>
      <c r="F593" s="85"/>
      <c r="G593" s="72"/>
      <c r="H593" s="72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6"/>
      <c r="V593" s="86"/>
      <c r="W593" s="86"/>
      <c r="X593" s="86"/>
      <c r="Y593" s="79"/>
      <c r="Z593" s="79"/>
      <c r="AA593" s="79"/>
      <c r="AB593" s="79"/>
    </row>
    <row r="594">
      <c r="A594" s="79"/>
      <c r="B594" s="84"/>
      <c r="C594" s="84"/>
      <c r="D594" s="84"/>
      <c r="E594" s="85"/>
      <c r="F594" s="85"/>
      <c r="G594" s="72"/>
      <c r="H594" s="72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6"/>
      <c r="V594" s="86"/>
      <c r="W594" s="86"/>
      <c r="X594" s="86"/>
      <c r="Y594" s="79"/>
      <c r="Z594" s="79"/>
      <c r="AA594" s="79"/>
      <c r="AB594" s="79"/>
    </row>
    <row r="595">
      <c r="A595" s="79"/>
      <c r="B595" s="84"/>
      <c r="C595" s="84"/>
      <c r="D595" s="84"/>
      <c r="E595" s="85"/>
      <c r="F595" s="85"/>
      <c r="G595" s="72"/>
      <c r="H595" s="72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6"/>
      <c r="V595" s="86"/>
      <c r="W595" s="86"/>
      <c r="X595" s="86"/>
      <c r="Y595" s="79"/>
      <c r="Z595" s="79"/>
      <c r="AA595" s="79"/>
      <c r="AB595" s="79"/>
    </row>
    <row r="596">
      <c r="A596" s="79"/>
      <c r="B596" s="84"/>
      <c r="C596" s="84"/>
      <c r="D596" s="84"/>
      <c r="E596" s="85"/>
      <c r="F596" s="85"/>
      <c r="G596" s="72"/>
      <c r="H596" s="72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6"/>
      <c r="V596" s="86"/>
      <c r="W596" s="86"/>
      <c r="X596" s="86"/>
      <c r="Y596" s="79"/>
      <c r="Z596" s="79"/>
      <c r="AA596" s="79"/>
      <c r="AB596" s="79"/>
    </row>
    <row r="597">
      <c r="A597" s="79"/>
      <c r="B597" s="84"/>
      <c r="C597" s="84"/>
      <c r="D597" s="84"/>
      <c r="E597" s="85"/>
      <c r="F597" s="85"/>
      <c r="G597" s="72"/>
      <c r="H597" s="72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6"/>
      <c r="V597" s="86"/>
      <c r="W597" s="86"/>
      <c r="X597" s="86"/>
      <c r="Y597" s="79"/>
      <c r="Z597" s="79"/>
      <c r="AA597" s="79"/>
      <c r="AB597" s="79"/>
    </row>
    <row r="598">
      <c r="A598" s="79"/>
      <c r="B598" s="84"/>
      <c r="C598" s="84"/>
      <c r="D598" s="84"/>
      <c r="E598" s="85"/>
      <c r="F598" s="85"/>
      <c r="G598" s="72"/>
      <c r="H598" s="72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6"/>
      <c r="V598" s="86"/>
      <c r="W598" s="86"/>
      <c r="X598" s="86"/>
      <c r="Y598" s="79"/>
      <c r="Z598" s="79"/>
      <c r="AA598" s="79"/>
      <c r="AB598" s="79"/>
    </row>
    <row r="599">
      <c r="A599" s="79"/>
      <c r="B599" s="84"/>
      <c r="C599" s="84"/>
      <c r="D599" s="84"/>
      <c r="E599" s="85"/>
      <c r="F599" s="85"/>
      <c r="G599" s="72"/>
      <c r="H599" s="72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6"/>
      <c r="V599" s="86"/>
      <c r="W599" s="86"/>
      <c r="X599" s="86"/>
      <c r="Y599" s="79"/>
      <c r="Z599" s="79"/>
      <c r="AA599" s="79"/>
      <c r="AB599" s="79"/>
    </row>
    <row r="600">
      <c r="A600" s="79"/>
      <c r="B600" s="84"/>
      <c r="C600" s="84"/>
      <c r="D600" s="84"/>
      <c r="E600" s="85"/>
      <c r="F600" s="85"/>
      <c r="G600" s="72"/>
      <c r="H600" s="72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6"/>
      <c r="V600" s="86"/>
      <c r="W600" s="86"/>
      <c r="X600" s="86"/>
      <c r="Y600" s="79"/>
      <c r="Z600" s="79"/>
      <c r="AA600" s="79"/>
      <c r="AB600" s="79"/>
    </row>
    <row r="601">
      <c r="A601" s="79"/>
      <c r="B601" s="84"/>
      <c r="C601" s="84"/>
      <c r="D601" s="84"/>
      <c r="E601" s="85"/>
      <c r="F601" s="85"/>
      <c r="G601" s="72"/>
      <c r="H601" s="72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6"/>
      <c r="V601" s="86"/>
      <c r="W601" s="86"/>
      <c r="X601" s="86"/>
      <c r="Y601" s="79"/>
      <c r="Z601" s="79"/>
      <c r="AA601" s="79"/>
      <c r="AB601" s="79"/>
    </row>
    <row r="602">
      <c r="A602" s="79"/>
      <c r="B602" s="84"/>
      <c r="C602" s="84"/>
      <c r="D602" s="84"/>
      <c r="E602" s="85"/>
      <c r="F602" s="85"/>
      <c r="G602" s="72"/>
      <c r="H602" s="72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6"/>
      <c r="V602" s="86"/>
      <c r="W602" s="86"/>
      <c r="X602" s="86"/>
      <c r="Y602" s="79"/>
      <c r="Z602" s="79"/>
      <c r="AA602" s="79"/>
      <c r="AB602" s="79"/>
    </row>
    <row r="603">
      <c r="A603" s="79"/>
      <c r="B603" s="84"/>
      <c r="C603" s="84"/>
      <c r="D603" s="84"/>
      <c r="E603" s="85"/>
      <c r="F603" s="85"/>
      <c r="G603" s="72"/>
      <c r="H603" s="72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6"/>
      <c r="V603" s="86"/>
      <c r="W603" s="86"/>
      <c r="X603" s="86"/>
      <c r="Y603" s="79"/>
      <c r="Z603" s="79"/>
      <c r="AA603" s="79"/>
      <c r="AB603" s="79"/>
    </row>
    <row r="604">
      <c r="A604" s="79"/>
      <c r="B604" s="84"/>
      <c r="C604" s="84"/>
      <c r="D604" s="84"/>
      <c r="E604" s="85"/>
      <c r="F604" s="85"/>
      <c r="G604" s="72"/>
      <c r="H604" s="72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6"/>
      <c r="V604" s="86"/>
      <c r="W604" s="86"/>
      <c r="X604" s="86"/>
      <c r="Y604" s="79"/>
      <c r="Z604" s="79"/>
      <c r="AA604" s="79"/>
      <c r="AB604" s="79"/>
    </row>
    <row r="605">
      <c r="A605" s="79"/>
      <c r="B605" s="84"/>
      <c r="C605" s="84"/>
      <c r="D605" s="84"/>
      <c r="E605" s="85"/>
      <c r="F605" s="85"/>
      <c r="G605" s="72"/>
      <c r="H605" s="72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6"/>
      <c r="V605" s="86"/>
      <c r="W605" s="86"/>
      <c r="X605" s="86"/>
      <c r="Y605" s="79"/>
      <c r="Z605" s="79"/>
      <c r="AA605" s="79"/>
      <c r="AB605" s="79"/>
    </row>
    <row r="606">
      <c r="A606" s="79"/>
      <c r="B606" s="84"/>
      <c r="C606" s="84"/>
      <c r="D606" s="84"/>
      <c r="E606" s="85"/>
      <c r="F606" s="85"/>
      <c r="G606" s="72"/>
      <c r="H606" s="72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6"/>
      <c r="V606" s="86"/>
      <c r="W606" s="86"/>
      <c r="X606" s="86"/>
      <c r="Y606" s="79"/>
      <c r="Z606" s="79"/>
      <c r="AA606" s="79"/>
      <c r="AB606" s="79"/>
    </row>
    <row r="607">
      <c r="A607" s="79"/>
      <c r="B607" s="84"/>
      <c r="C607" s="84"/>
      <c r="D607" s="84"/>
      <c r="E607" s="85"/>
      <c r="F607" s="85"/>
      <c r="G607" s="72"/>
      <c r="H607" s="72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6"/>
      <c r="V607" s="86"/>
      <c r="W607" s="86"/>
      <c r="X607" s="86"/>
      <c r="Y607" s="79"/>
      <c r="Z607" s="79"/>
      <c r="AA607" s="79"/>
      <c r="AB607" s="79"/>
    </row>
    <row r="608">
      <c r="A608" s="79"/>
      <c r="B608" s="84"/>
      <c r="C608" s="84"/>
      <c r="D608" s="84"/>
      <c r="E608" s="85"/>
      <c r="F608" s="85"/>
      <c r="G608" s="72"/>
      <c r="H608" s="72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6"/>
      <c r="V608" s="86"/>
      <c r="W608" s="86"/>
      <c r="X608" s="86"/>
      <c r="Y608" s="79"/>
      <c r="Z608" s="79"/>
      <c r="AA608" s="79"/>
      <c r="AB608" s="79"/>
    </row>
    <row r="609">
      <c r="A609" s="79"/>
      <c r="B609" s="84"/>
      <c r="C609" s="84"/>
      <c r="D609" s="84"/>
      <c r="E609" s="85"/>
      <c r="F609" s="85"/>
      <c r="G609" s="72"/>
      <c r="H609" s="72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6"/>
      <c r="V609" s="86"/>
      <c r="W609" s="86"/>
      <c r="X609" s="86"/>
      <c r="Y609" s="79"/>
      <c r="Z609" s="79"/>
      <c r="AA609" s="79"/>
      <c r="AB609" s="79"/>
    </row>
    <row r="610">
      <c r="A610" s="79"/>
      <c r="B610" s="84"/>
      <c r="C610" s="84"/>
      <c r="D610" s="84"/>
      <c r="E610" s="85"/>
      <c r="F610" s="85"/>
      <c r="G610" s="72"/>
      <c r="H610" s="72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6"/>
      <c r="V610" s="86"/>
      <c r="W610" s="86"/>
      <c r="X610" s="86"/>
      <c r="Y610" s="79"/>
      <c r="Z610" s="79"/>
      <c r="AA610" s="79"/>
      <c r="AB610" s="79"/>
    </row>
    <row r="611">
      <c r="A611" s="79"/>
      <c r="B611" s="84"/>
      <c r="C611" s="84"/>
      <c r="D611" s="84"/>
      <c r="E611" s="85"/>
      <c r="F611" s="85"/>
      <c r="G611" s="72"/>
      <c r="H611" s="72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6"/>
      <c r="V611" s="86"/>
      <c r="W611" s="86"/>
      <c r="X611" s="86"/>
      <c r="Y611" s="79"/>
      <c r="Z611" s="79"/>
      <c r="AA611" s="79"/>
      <c r="AB611" s="79"/>
    </row>
    <row r="612">
      <c r="A612" s="79"/>
      <c r="B612" s="84"/>
      <c r="C612" s="84"/>
      <c r="D612" s="84"/>
      <c r="E612" s="85"/>
      <c r="F612" s="85"/>
      <c r="G612" s="72"/>
      <c r="H612" s="72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6"/>
      <c r="V612" s="86"/>
      <c r="W612" s="86"/>
      <c r="X612" s="86"/>
      <c r="Y612" s="79"/>
      <c r="Z612" s="79"/>
      <c r="AA612" s="79"/>
      <c r="AB612" s="79"/>
    </row>
    <row r="613">
      <c r="A613" s="79"/>
      <c r="B613" s="84"/>
      <c r="C613" s="84"/>
      <c r="D613" s="84"/>
      <c r="E613" s="85"/>
      <c r="F613" s="85"/>
      <c r="G613" s="72"/>
      <c r="H613" s="72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6"/>
      <c r="V613" s="86"/>
      <c r="W613" s="86"/>
      <c r="X613" s="86"/>
      <c r="Y613" s="79"/>
      <c r="Z613" s="79"/>
      <c r="AA613" s="79"/>
      <c r="AB613" s="79"/>
    </row>
    <row r="614">
      <c r="A614" s="79"/>
      <c r="B614" s="84"/>
      <c r="C614" s="84"/>
      <c r="D614" s="84"/>
      <c r="E614" s="85"/>
      <c r="F614" s="85"/>
      <c r="G614" s="72"/>
      <c r="H614" s="72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6"/>
      <c r="V614" s="86"/>
      <c r="W614" s="86"/>
      <c r="X614" s="86"/>
      <c r="Y614" s="79"/>
      <c r="Z614" s="79"/>
      <c r="AA614" s="79"/>
      <c r="AB614" s="79"/>
    </row>
    <row r="615">
      <c r="A615" s="79"/>
      <c r="B615" s="84"/>
      <c r="C615" s="84"/>
      <c r="D615" s="84"/>
      <c r="E615" s="85"/>
      <c r="F615" s="85"/>
      <c r="G615" s="72"/>
      <c r="H615" s="72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6"/>
      <c r="V615" s="86"/>
      <c r="W615" s="86"/>
      <c r="X615" s="86"/>
      <c r="Y615" s="79"/>
      <c r="Z615" s="79"/>
      <c r="AA615" s="79"/>
      <c r="AB615" s="79"/>
    </row>
    <row r="616">
      <c r="A616" s="79"/>
      <c r="B616" s="84"/>
      <c r="C616" s="84"/>
      <c r="D616" s="84"/>
      <c r="E616" s="85"/>
      <c r="F616" s="85"/>
      <c r="G616" s="72"/>
      <c r="H616" s="72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6"/>
      <c r="V616" s="86"/>
      <c r="W616" s="86"/>
      <c r="X616" s="86"/>
      <c r="Y616" s="79"/>
      <c r="Z616" s="79"/>
      <c r="AA616" s="79"/>
      <c r="AB616" s="79"/>
    </row>
    <row r="617">
      <c r="A617" s="79"/>
      <c r="B617" s="84"/>
      <c r="C617" s="84"/>
      <c r="D617" s="84"/>
      <c r="E617" s="85"/>
      <c r="F617" s="85"/>
      <c r="G617" s="72"/>
      <c r="H617" s="72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6"/>
      <c r="V617" s="86"/>
      <c r="W617" s="86"/>
      <c r="X617" s="86"/>
      <c r="Y617" s="79"/>
      <c r="Z617" s="79"/>
      <c r="AA617" s="79"/>
      <c r="AB617" s="79"/>
    </row>
    <row r="618">
      <c r="A618" s="79"/>
      <c r="B618" s="84"/>
      <c r="C618" s="84"/>
      <c r="D618" s="84"/>
      <c r="E618" s="85"/>
      <c r="F618" s="85"/>
      <c r="G618" s="72"/>
      <c r="H618" s="72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6"/>
      <c r="V618" s="86"/>
      <c r="W618" s="86"/>
      <c r="X618" s="86"/>
      <c r="Y618" s="79"/>
      <c r="Z618" s="79"/>
      <c r="AA618" s="79"/>
      <c r="AB618" s="79"/>
    </row>
    <row r="619">
      <c r="A619" s="79"/>
      <c r="B619" s="84"/>
      <c r="C619" s="84"/>
      <c r="D619" s="84"/>
      <c r="E619" s="85"/>
      <c r="F619" s="85"/>
      <c r="G619" s="72"/>
      <c r="H619" s="72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6"/>
      <c r="V619" s="86"/>
      <c r="W619" s="86"/>
      <c r="X619" s="86"/>
      <c r="Y619" s="79"/>
      <c r="Z619" s="79"/>
      <c r="AA619" s="79"/>
      <c r="AB619" s="79"/>
    </row>
    <row r="620">
      <c r="A620" s="79"/>
      <c r="B620" s="84"/>
      <c r="C620" s="84"/>
      <c r="D620" s="84"/>
      <c r="E620" s="85"/>
      <c r="F620" s="85"/>
      <c r="G620" s="72"/>
      <c r="H620" s="72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6"/>
      <c r="V620" s="86"/>
      <c r="W620" s="86"/>
      <c r="X620" s="86"/>
      <c r="Y620" s="79"/>
      <c r="Z620" s="79"/>
      <c r="AA620" s="79"/>
      <c r="AB620" s="79"/>
    </row>
    <row r="621">
      <c r="A621" s="79"/>
      <c r="B621" s="84"/>
      <c r="C621" s="84"/>
      <c r="D621" s="84"/>
      <c r="E621" s="85"/>
      <c r="F621" s="85"/>
      <c r="G621" s="72"/>
      <c r="H621" s="72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6"/>
      <c r="V621" s="86"/>
      <c r="W621" s="86"/>
      <c r="X621" s="86"/>
      <c r="Y621" s="79"/>
      <c r="Z621" s="79"/>
      <c r="AA621" s="79"/>
      <c r="AB621" s="79"/>
    </row>
    <row r="622">
      <c r="A622" s="79"/>
      <c r="B622" s="84"/>
      <c r="C622" s="84"/>
      <c r="D622" s="84"/>
      <c r="E622" s="85"/>
      <c r="F622" s="85"/>
      <c r="G622" s="72"/>
      <c r="H622" s="72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6"/>
      <c r="V622" s="86"/>
      <c r="W622" s="86"/>
      <c r="X622" s="86"/>
      <c r="Y622" s="79"/>
      <c r="Z622" s="79"/>
      <c r="AA622" s="79"/>
      <c r="AB622" s="79"/>
    </row>
    <row r="623">
      <c r="A623" s="79"/>
      <c r="B623" s="84"/>
      <c r="C623" s="84"/>
      <c r="D623" s="84"/>
      <c r="E623" s="85"/>
      <c r="F623" s="85"/>
      <c r="G623" s="72"/>
      <c r="H623" s="72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6"/>
      <c r="V623" s="86"/>
      <c r="W623" s="86"/>
      <c r="X623" s="86"/>
      <c r="Y623" s="79"/>
      <c r="Z623" s="79"/>
      <c r="AA623" s="79"/>
      <c r="AB623" s="79"/>
    </row>
    <row r="624">
      <c r="A624" s="79"/>
      <c r="B624" s="84"/>
      <c r="C624" s="84"/>
      <c r="D624" s="84"/>
      <c r="E624" s="85"/>
      <c r="F624" s="85"/>
      <c r="G624" s="72"/>
      <c r="H624" s="72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6"/>
      <c r="V624" s="86"/>
      <c r="W624" s="86"/>
      <c r="X624" s="86"/>
      <c r="Y624" s="79"/>
      <c r="Z624" s="79"/>
      <c r="AA624" s="79"/>
      <c r="AB624" s="79"/>
    </row>
    <row r="625">
      <c r="A625" s="79"/>
      <c r="B625" s="84"/>
      <c r="C625" s="84"/>
      <c r="D625" s="84"/>
      <c r="E625" s="85"/>
      <c r="F625" s="85"/>
      <c r="G625" s="72"/>
      <c r="H625" s="72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6"/>
      <c r="V625" s="86"/>
      <c r="W625" s="86"/>
      <c r="X625" s="86"/>
      <c r="Y625" s="79"/>
      <c r="Z625" s="79"/>
      <c r="AA625" s="79"/>
      <c r="AB625" s="79"/>
    </row>
    <row r="626">
      <c r="A626" s="79"/>
      <c r="B626" s="84"/>
      <c r="C626" s="84"/>
      <c r="D626" s="84"/>
      <c r="E626" s="85"/>
      <c r="F626" s="85"/>
      <c r="G626" s="72"/>
      <c r="H626" s="72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6"/>
      <c r="V626" s="86"/>
      <c r="W626" s="86"/>
      <c r="X626" s="86"/>
      <c r="Y626" s="79"/>
      <c r="Z626" s="79"/>
      <c r="AA626" s="79"/>
      <c r="AB626" s="79"/>
    </row>
    <row r="627">
      <c r="A627" s="79"/>
      <c r="B627" s="84"/>
      <c r="C627" s="84"/>
      <c r="D627" s="84"/>
      <c r="E627" s="85"/>
      <c r="F627" s="85"/>
      <c r="G627" s="72"/>
      <c r="H627" s="72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6"/>
      <c r="V627" s="86"/>
      <c r="W627" s="86"/>
      <c r="X627" s="86"/>
      <c r="Y627" s="79"/>
      <c r="Z627" s="79"/>
      <c r="AA627" s="79"/>
      <c r="AB627" s="79"/>
    </row>
    <row r="628">
      <c r="A628" s="79"/>
      <c r="B628" s="84"/>
      <c r="C628" s="84"/>
      <c r="D628" s="84"/>
      <c r="E628" s="85"/>
      <c r="F628" s="85"/>
      <c r="G628" s="72"/>
      <c r="H628" s="72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6"/>
      <c r="V628" s="86"/>
      <c r="W628" s="86"/>
      <c r="X628" s="86"/>
      <c r="Y628" s="79"/>
      <c r="Z628" s="79"/>
      <c r="AA628" s="79"/>
      <c r="AB628" s="79"/>
    </row>
    <row r="629">
      <c r="A629" s="79"/>
      <c r="B629" s="84"/>
      <c r="C629" s="84"/>
      <c r="D629" s="84"/>
      <c r="E629" s="85"/>
      <c r="F629" s="85"/>
      <c r="G629" s="72"/>
      <c r="H629" s="72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6"/>
      <c r="V629" s="86"/>
      <c r="W629" s="86"/>
      <c r="X629" s="86"/>
      <c r="Y629" s="79"/>
      <c r="Z629" s="79"/>
      <c r="AA629" s="79"/>
      <c r="AB629" s="79"/>
    </row>
    <row r="630">
      <c r="A630" s="79"/>
      <c r="B630" s="84"/>
      <c r="C630" s="84"/>
      <c r="D630" s="84"/>
      <c r="E630" s="85"/>
      <c r="F630" s="85"/>
      <c r="G630" s="72"/>
      <c r="H630" s="72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6"/>
      <c r="V630" s="86"/>
      <c r="W630" s="86"/>
      <c r="X630" s="86"/>
      <c r="Y630" s="79"/>
      <c r="Z630" s="79"/>
      <c r="AA630" s="79"/>
      <c r="AB630" s="79"/>
    </row>
    <row r="631">
      <c r="A631" s="79"/>
      <c r="B631" s="84"/>
      <c r="C631" s="84"/>
      <c r="D631" s="84"/>
      <c r="E631" s="85"/>
      <c r="F631" s="85"/>
      <c r="G631" s="72"/>
      <c r="H631" s="72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6"/>
      <c r="V631" s="86"/>
      <c r="W631" s="86"/>
      <c r="X631" s="86"/>
      <c r="Y631" s="79"/>
      <c r="Z631" s="79"/>
      <c r="AA631" s="79"/>
      <c r="AB631" s="79"/>
    </row>
    <row r="632">
      <c r="A632" s="79"/>
      <c r="B632" s="84"/>
      <c r="C632" s="84"/>
      <c r="D632" s="84"/>
      <c r="E632" s="85"/>
      <c r="F632" s="85"/>
      <c r="G632" s="72"/>
      <c r="H632" s="72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6"/>
      <c r="V632" s="86"/>
      <c r="W632" s="86"/>
      <c r="X632" s="86"/>
      <c r="Y632" s="79"/>
      <c r="Z632" s="79"/>
      <c r="AA632" s="79"/>
      <c r="AB632" s="79"/>
    </row>
    <row r="633">
      <c r="A633" s="79"/>
      <c r="B633" s="84"/>
      <c r="C633" s="84"/>
      <c r="D633" s="84"/>
      <c r="E633" s="85"/>
      <c r="F633" s="85"/>
      <c r="G633" s="72"/>
      <c r="H633" s="72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6"/>
      <c r="V633" s="86"/>
      <c r="W633" s="86"/>
      <c r="X633" s="86"/>
      <c r="Y633" s="79"/>
      <c r="Z633" s="79"/>
      <c r="AA633" s="79"/>
      <c r="AB633" s="79"/>
    </row>
    <row r="634">
      <c r="A634" s="79"/>
      <c r="B634" s="84"/>
      <c r="C634" s="84"/>
      <c r="D634" s="84"/>
      <c r="E634" s="85"/>
      <c r="F634" s="85"/>
      <c r="G634" s="72"/>
      <c r="H634" s="72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6"/>
      <c r="V634" s="86"/>
      <c r="W634" s="86"/>
      <c r="X634" s="86"/>
      <c r="Y634" s="79"/>
      <c r="Z634" s="79"/>
      <c r="AA634" s="79"/>
      <c r="AB634" s="79"/>
    </row>
    <row r="635">
      <c r="A635" s="79"/>
      <c r="B635" s="84"/>
      <c r="C635" s="84"/>
      <c r="D635" s="84"/>
      <c r="E635" s="85"/>
      <c r="F635" s="85"/>
      <c r="G635" s="72"/>
      <c r="H635" s="72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6"/>
      <c r="V635" s="86"/>
      <c r="W635" s="86"/>
      <c r="X635" s="86"/>
      <c r="Y635" s="79"/>
      <c r="Z635" s="79"/>
      <c r="AA635" s="79"/>
      <c r="AB635" s="79"/>
    </row>
    <row r="636">
      <c r="A636" s="79"/>
      <c r="B636" s="84"/>
      <c r="C636" s="84"/>
      <c r="D636" s="84"/>
      <c r="E636" s="85"/>
      <c r="F636" s="85"/>
      <c r="G636" s="72"/>
      <c r="H636" s="72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6"/>
      <c r="V636" s="86"/>
      <c r="W636" s="86"/>
      <c r="X636" s="86"/>
      <c r="Y636" s="79"/>
      <c r="Z636" s="79"/>
      <c r="AA636" s="79"/>
      <c r="AB636" s="79"/>
    </row>
    <row r="637">
      <c r="A637" s="79"/>
      <c r="B637" s="84"/>
      <c r="C637" s="84"/>
      <c r="D637" s="84"/>
      <c r="E637" s="85"/>
      <c r="F637" s="85"/>
      <c r="G637" s="72"/>
      <c r="H637" s="72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6"/>
      <c r="V637" s="86"/>
      <c r="W637" s="86"/>
      <c r="X637" s="86"/>
      <c r="Y637" s="79"/>
      <c r="Z637" s="79"/>
      <c r="AA637" s="79"/>
      <c r="AB637" s="79"/>
    </row>
    <row r="638">
      <c r="A638" s="79"/>
      <c r="B638" s="84"/>
      <c r="C638" s="84"/>
      <c r="D638" s="84"/>
      <c r="E638" s="85"/>
      <c r="F638" s="85"/>
      <c r="G638" s="72"/>
      <c r="H638" s="72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6"/>
      <c r="V638" s="86"/>
      <c r="W638" s="86"/>
      <c r="X638" s="86"/>
      <c r="Y638" s="79"/>
      <c r="Z638" s="79"/>
      <c r="AA638" s="79"/>
      <c r="AB638" s="79"/>
    </row>
    <row r="639">
      <c r="A639" s="79"/>
      <c r="B639" s="84"/>
      <c r="C639" s="84"/>
      <c r="D639" s="84"/>
      <c r="E639" s="85"/>
      <c r="F639" s="85"/>
      <c r="G639" s="72"/>
      <c r="H639" s="72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6"/>
      <c r="V639" s="86"/>
      <c r="W639" s="86"/>
      <c r="X639" s="86"/>
      <c r="Y639" s="79"/>
      <c r="Z639" s="79"/>
      <c r="AA639" s="79"/>
      <c r="AB639" s="79"/>
    </row>
    <row r="640">
      <c r="A640" s="79"/>
      <c r="B640" s="84"/>
      <c r="C640" s="84"/>
      <c r="D640" s="84"/>
      <c r="E640" s="85"/>
      <c r="F640" s="85"/>
      <c r="G640" s="72"/>
      <c r="H640" s="72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6"/>
      <c r="V640" s="86"/>
      <c r="W640" s="86"/>
      <c r="X640" s="86"/>
      <c r="Y640" s="79"/>
      <c r="Z640" s="79"/>
      <c r="AA640" s="79"/>
      <c r="AB640" s="79"/>
    </row>
    <row r="641">
      <c r="A641" s="79"/>
      <c r="B641" s="84"/>
      <c r="C641" s="84"/>
      <c r="D641" s="84"/>
      <c r="E641" s="85"/>
      <c r="F641" s="85"/>
      <c r="G641" s="72"/>
      <c r="H641" s="72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6"/>
      <c r="V641" s="86"/>
      <c r="W641" s="86"/>
      <c r="X641" s="86"/>
      <c r="Y641" s="79"/>
      <c r="Z641" s="79"/>
      <c r="AA641" s="79"/>
      <c r="AB641" s="79"/>
    </row>
    <row r="642">
      <c r="A642" s="79"/>
      <c r="B642" s="84"/>
      <c r="C642" s="84"/>
      <c r="D642" s="84"/>
      <c r="E642" s="85"/>
      <c r="F642" s="85"/>
      <c r="G642" s="72"/>
      <c r="H642" s="72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6"/>
      <c r="V642" s="86"/>
      <c r="W642" s="86"/>
      <c r="X642" s="86"/>
      <c r="Y642" s="79"/>
      <c r="Z642" s="79"/>
      <c r="AA642" s="79"/>
      <c r="AB642" s="79"/>
    </row>
    <row r="643">
      <c r="A643" s="79"/>
      <c r="B643" s="84"/>
      <c r="C643" s="84"/>
      <c r="D643" s="84"/>
      <c r="E643" s="85"/>
      <c r="F643" s="85"/>
      <c r="G643" s="72"/>
      <c r="H643" s="72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6"/>
      <c r="V643" s="86"/>
      <c r="W643" s="86"/>
      <c r="X643" s="86"/>
      <c r="Y643" s="79"/>
      <c r="Z643" s="79"/>
      <c r="AA643" s="79"/>
      <c r="AB643" s="79"/>
    </row>
    <row r="644">
      <c r="A644" s="79"/>
      <c r="B644" s="84"/>
      <c r="C644" s="84"/>
      <c r="D644" s="84"/>
      <c r="E644" s="85"/>
      <c r="F644" s="85"/>
      <c r="G644" s="72"/>
      <c r="H644" s="72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6"/>
      <c r="V644" s="86"/>
      <c r="W644" s="86"/>
      <c r="X644" s="86"/>
      <c r="Y644" s="79"/>
      <c r="Z644" s="79"/>
      <c r="AA644" s="79"/>
      <c r="AB644" s="79"/>
    </row>
    <row r="645">
      <c r="A645" s="79"/>
      <c r="B645" s="84"/>
      <c r="C645" s="84"/>
      <c r="D645" s="84"/>
      <c r="E645" s="85"/>
      <c r="F645" s="85"/>
      <c r="G645" s="72"/>
      <c r="H645" s="72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6"/>
      <c r="V645" s="86"/>
      <c r="W645" s="86"/>
      <c r="X645" s="86"/>
      <c r="Y645" s="79"/>
      <c r="Z645" s="79"/>
      <c r="AA645" s="79"/>
      <c r="AB645" s="79"/>
    </row>
    <row r="646">
      <c r="A646" s="79"/>
      <c r="B646" s="84"/>
      <c r="C646" s="84"/>
      <c r="D646" s="84"/>
      <c r="E646" s="85"/>
      <c r="F646" s="85"/>
      <c r="G646" s="72"/>
      <c r="H646" s="72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6"/>
      <c r="V646" s="86"/>
      <c r="W646" s="86"/>
      <c r="X646" s="86"/>
      <c r="Y646" s="79"/>
      <c r="Z646" s="79"/>
      <c r="AA646" s="79"/>
      <c r="AB646" s="79"/>
    </row>
    <row r="647">
      <c r="A647" s="79"/>
      <c r="B647" s="84"/>
      <c r="C647" s="84"/>
      <c r="D647" s="84"/>
      <c r="E647" s="85"/>
      <c r="F647" s="85"/>
      <c r="G647" s="72"/>
      <c r="H647" s="72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6"/>
      <c r="V647" s="86"/>
      <c r="W647" s="86"/>
      <c r="X647" s="86"/>
      <c r="Y647" s="79"/>
      <c r="Z647" s="79"/>
      <c r="AA647" s="79"/>
      <c r="AB647" s="79"/>
    </row>
    <row r="648">
      <c r="A648" s="79"/>
      <c r="B648" s="84"/>
      <c r="C648" s="84"/>
      <c r="D648" s="84"/>
      <c r="E648" s="85"/>
      <c r="F648" s="85"/>
      <c r="G648" s="72"/>
      <c r="H648" s="72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6"/>
      <c r="V648" s="86"/>
      <c r="W648" s="86"/>
      <c r="X648" s="86"/>
      <c r="Y648" s="79"/>
      <c r="Z648" s="79"/>
      <c r="AA648" s="79"/>
      <c r="AB648" s="79"/>
    </row>
    <row r="649">
      <c r="A649" s="79"/>
      <c r="B649" s="84"/>
      <c r="C649" s="84"/>
      <c r="D649" s="84"/>
      <c r="E649" s="85"/>
      <c r="F649" s="85"/>
      <c r="G649" s="72"/>
      <c r="H649" s="72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6"/>
      <c r="V649" s="86"/>
      <c r="W649" s="86"/>
      <c r="X649" s="86"/>
      <c r="Y649" s="79"/>
      <c r="Z649" s="79"/>
      <c r="AA649" s="79"/>
      <c r="AB649" s="79"/>
    </row>
    <row r="650">
      <c r="A650" s="79"/>
      <c r="B650" s="84"/>
      <c r="C650" s="84"/>
      <c r="D650" s="84"/>
      <c r="E650" s="85"/>
      <c r="F650" s="85"/>
      <c r="G650" s="72"/>
      <c r="H650" s="72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6"/>
      <c r="V650" s="86"/>
      <c r="W650" s="86"/>
      <c r="X650" s="86"/>
      <c r="Y650" s="79"/>
      <c r="Z650" s="79"/>
      <c r="AA650" s="79"/>
      <c r="AB650" s="79"/>
    </row>
    <row r="651">
      <c r="A651" s="79"/>
      <c r="B651" s="84"/>
      <c r="C651" s="84"/>
      <c r="D651" s="84"/>
      <c r="E651" s="85"/>
      <c r="F651" s="85"/>
      <c r="G651" s="72"/>
      <c r="H651" s="72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6"/>
      <c r="V651" s="86"/>
      <c r="W651" s="86"/>
      <c r="X651" s="86"/>
      <c r="Y651" s="79"/>
      <c r="Z651" s="79"/>
      <c r="AA651" s="79"/>
      <c r="AB651" s="79"/>
    </row>
    <row r="652">
      <c r="A652" s="79"/>
      <c r="B652" s="84"/>
      <c r="C652" s="84"/>
      <c r="D652" s="84"/>
      <c r="E652" s="85"/>
      <c r="F652" s="85"/>
      <c r="G652" s="72"/>
      <c r="H652" s="72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6"/>
      <c r="V652" s="86"/>
      <c r="W652" s="86"/>
      <c r="X652" s="86"/>
      <c r="Y652" s="79"/>
      <c r="Z652" s="79"/>
      <c r="AA652" s="79"/>
      <c r="AB652" s="79"/>
    </row>
    <row r="653">
      <c r="A653" s="79"/>
      <c r="B653" s="84"/>
      <c r="C653" s="84"/>
      <c r="D653" s="84"/>
      <c r="E653" s="85"/>
      <c r="F653" s="85"/>
      <c r="G653" s="72"/>
      <c r="H653" s="72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6"/>
      <c r="V653" s="86"/>
      <c r="W653" s="86"/>
      <c r="X653" s="86"/>
      <c r="Y653" s="79"/>
      <c r="Z653" s="79"/>
      <c r="AA653" s="79"/>
      <c r="AB653" s="79"/>
    </row>
    <row r="654">
      <c r="A654" s="79"/>
      <c r="B654" s="84"/>
      <c r="C654" s="84"/>
      <c r="D654" s="84"/>
      <c r="E654" s="85"/>
      <c r="F654" s="85"/>
      <c r="G654" s="72"/>
      <c r="H654" s="72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6"/>
      <c r="V654" s="86"/>
      <c r="W654" s="86"/>
      <c r="X654" s="86"/>
      <c r="Y654" s="79"/>
      <c r="Z654" s="79"/>
      <c r="AA654" s="79"/>
      <c r="AB654" s="79"/>
    </row>
    <row r="655">
      <c r="A655" s="79"/>
      <c r="B655" s="84"/>
      <c r="C655" s="84"/>
      <c r="D655" s="84"/>
      <c r="E655" s="85"/>
      <c r="F655" s="85"/>
      <c r="G655" s="72"/>
      <c r="H655" s="72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6"/>
      <c r="V655" s="86"/>
      <c r="W655" s="86"/>
      <c r="X655" s="86"/>
      <c r="Y655" s="79"/>
      <c r="Z655" s="79"/>
      <c r="AA655" s="79"/>
      <c r="AB655" s="79"/>
    </row>
    <row r="656">
      <c r="A656" s="79"/>
      <c r="B656" s="84"/>
      <c r="C656" s="84"/>
      <c r="D656" s="84"/>
      <c r="E656" s="85"/>
      <c r="F656" s="85"/>
      <c r="G656" s="72"/>
      <c r="H656" s="72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6"/>
      <c r="V656" s="86"/>
      <c r="W656" s="86"/>
      <c r="X656" s="86"/>
      <c r="Y656" s="79"/>
      <c r="Z656" s="79"/>
      <c r="AA656" s="79"/>
      <c r="AB656" s="79"/>
    </row>
    <row r="657">
      <c r="A657" s="79"/>
      <c r="B657" s="84"/>
      <c r="C657" s="84"/>
      <c r="D657" s="84"/>
      <c r="E657" s="85"/>
      <c r="F657" s="85"/>
      <c r="G657" s="72"/>
      <c r="H657" s="72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6"/>
      <c r="V657" s="86"/>
      <c r="W657" s="86"/>
      <c r="X657" s="86"/>
      <c r="Y657" s="79"/>
      <c r="Z657" s="79"/>
      <c r="AA657" s="79"/>
      <c r="AB657" s="79"/>
    </row>
    <row r="658">
      <c r="A658" s="79"/>
      <c r="B658" s="84"/>
      <c r="C658" s="84"/>
      <c r="D658" s="84"/>
      <c r="E658" s="85"/>
      <c r="F658" s="85"/>
      <c r="G658" s="72"/>
      <c r="H658" s="72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6"/>
      <c r="V658" s="86"/>
      <c r="W658" s="86"/>
      <c r="X658" s="86"/>
      <c r="Y658" s="79"/>
      <c r="Z658" s="79"/>
      <c r="AA658" s="79"/>
      <c r="AB658" s="79"/>
    </row>
    <row r="659">
      <c r="A659" s="79"/>
      <c r="B659" s="84"/>
      <c r="C659" s="84"/>
      <c r="D659" s="84"/>
      <c r="E659" s="85"/>
      <c r="F659" s="85"/>
      <c r="G659" s="72"/>
      <c r="H659" s="72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6"/>
      <c r="V659" s="86"/>
      <c r="W659" s="86"/>
      <c r="X659" s="86"/>
      <c r="Y659" s="79"/>
      <c r="Z659" s="79"/>
      <c r="AA659" s="79"/>
      <c r="AB659" s="79"/>
    </row>
    <row r="660">
      <c r="A660" s="79"/>
      <c r="B660" s="84"/>
      <c r="C660" s="84"/>
      <c r="D660" s="84"/>
      <c r="E660" s="85"/>
      <c r="F660" s="85"/>
      <c r="G660" s="72"/>
      <c r="H660" s="72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6"/>
      <c r="V660" s="86"/>
      <c r="W660" s="86"/>
      <c r="X660" s="86"/>
      <c r="Y660" s="79"/>
      <c r="Z660" s="79"/>
      <c r="AA660" s="79"/>
      <c r="AB660" s="79"/>
    </row>
    <row r="661">
      <c r="A661" s="79"/>
      <c r="B661" s="84"/>
      <c r="C661" s="84"/>
      <c r="D661" s="84"/>
      <c r="E661" s="85"/>
      <c r="F661" s="85"/>
      <c r="G661" s="72"/>
      <c r="H661" s="72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6"/>
      <c r="V661" s="86"/>
      <c r="W661" s="86"/>
      <c r="X661" s="86"/>
      <c r="Y661" s="79"/>
      <c r="Z661" s="79"/>
      <c r="AA661" s="79"/>
      <c r="AB661" s="79"/>
    </row>
    <row r="662">
      <c r="A662" s="79"/>
      <c r="B662" s="84"/>
      <c r="C662" s="84"/>
      <c r="D662" s="84"/>
      <c r="E662" s="85"/>
      <c r="F662" s="85"/>
      <c r="G662" s="72"/>
      <c r="H662" s="72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6"/>
      <c r="V662" s="86"/>
      <c r="W662" s="86"/>
      <c r="X662" s="86"/>
      <c r="Y662" s="79"/>
      <c r="Z662" s="79"/>
      <c r="AA662" s="79"/>
      <c r="AB662" s="79"/>
    </row>
    <row r="663">
      <c r="A663" s="79"/>
      <c r="B663" s="84"/>
      <c r="C663" s="84"/>
      <c r="D663" s="84"/>
      <c r="E663" s="85"/>
      <c r="F663" s="85"/>
      <c r="G663" s="72"/>
      <c r="H663" s="72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6"/>
      <c r="V663" s="86"/>
      <c r="W663" s="86"/>
      <c r="X663" s="86"/>
      <c r="Y663" s="79"/>
      <c r="Z663" s="79"/>
      <c r="AA663" s="79"/>
      <c r="AB663" s="79"/>
    </row>
    <row r="664">
      <c r="A664" s="79"/>
      <c r="B664" s="84"/>
      <c r="C664" s="84"/>
      <c r="D664" s="84"/>
      <c r="E664" s="85"/>
      <c r="F664" s="85"/>
      <c r="G664" s="72"/>
      <c r="H664" s="72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6"/>
      <c r="V664" s="86"/>
      <c r="W664" s="86"/>
      <c r="X664" s="86"/>
      <c r="Y664" s="79"/>
      <c r="Z664" s="79"/>
      <c r="AA664" s="79"/>
      <c r="AB664" s="79"/>
    </row>
    <row r="665">
      <c r="A665" s="79"/>
      <c r="B665" s="84"/>
      <c r="C665" s="84"/>
      <c r="D665" s="84"/>
      <c r="E665" s="85"/>
      <c r="F665" s="85"/>
      <c r="G665" s="72"/>
      <c r="H665" s="72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6"/>
      <c r="V665" s="86"/>
      <c r="W665" s="86"/>
      <c r="X665" s="86"/>
      <c r="Y665" s="79"/>
      <c r="Z665" s="79"/>
      <c r="AA665" s="79"/>
      <c r="AB665" s="79"/>
    </row>
    <row r="666">
      <c r="A666" s="79"/>
      <c r="B666" s="84"/>
      <c r="C666" s="84"/>
      <c r="D666" s="84"/>
      <c r="E666" s="85"/>
      <c r="F666" s="85"/>
      <c r="G666" s="72"/>
      <c r="H666" s="72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6"/>
      <c r="V666" s="86"/>
      <c r="W666" s="86"/>
      <c r="X666" s="86"/>
      <c r="Y666" s="79"/>
      <c r="Z666" s="79"/>
      <c r="AA666" s="79"/>
      <c r="AB666" s="79"/>
    </row>
    <row r="667">
      <c r="A667" s="79"/>
      <c r="B667" s="84"/>
      <c r="C667" s="84"/>
      <c r="D667" s="84"/>
      <c r="E667" s="85"/>
      <c r="F667" s="85"/>
      <c r="G667" s="72"/>
      <c r="H667" s="72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6"/>
      <c r="V667" s="86"/>
      <c r="W667" s="86"/>
      <c r="X667" s="86"/>
      <c r="Y667" s="79"/>
      <c r="Z667" s="79"/>
      <c r="AA667" s="79"/>
      <c r="AB667" s="79"/>
    </row>
    <row r="668">
      <c r="A668" s="79"/>
      <c r="B668" s="84"/>
      <c r="C668" s="84"/>
      <c r="D668" s="84"/>
      <c r="E668" s="85"/>
      <c r="F668" s="85"/>
      <c r="G668" s="72"/>
      <c r="H668" s="72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6"/>
      <c r="V668" s="86"/>
      <c r="W668" s="86"/>
      <c r="X668" s="86"/>
      <c r="Y668" s="79"/>
      <c r="Z668" s="79"/>
      <c r="AA668" s="79"/>
      <c r="AB668" s="79"/>
    </row>
    <row r="669">
      <c r="A669" s="79"/>
      <c r="B669" s="84"/>
      <c r="C669" s="84"/>
      <c r="D669" s="84"/>
      <c r="E669" s="85"/>
      <c r="F669" s="85"/>
      <c r="G669" s="72"/>
      <c r="H669" s="72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6"/>
      <c r="V669" s="86"/>
      <c r="W669" s="86"/>
      <c r="X669" s="86"/>
      <c r="Y669" s="79"/>
      <c r="Z669" s="79"/>
      <c r="AA669" s="79"/>
      <c r="AB669" s="79"/>
    </row>
    <row r="670">
      <c r="A670" s="79"/>
      <c r="B670" s="84"/>
      <c r="C670" s="84"/>
      <c r="D670" s="84"/>
      <c r="E670" s="85"/>
      <c r="F670" s="85"/>
      <c r="G670" s="72"/>
      <c r="H670" s="72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6"/>
      <c r="V670" s="86"/>
      <c r="W670" s="86"/>
      <c r="X670" s="86"/>
      <c r="Y670" s="79"/>
      <c r="Z670" s="79"/>
      <c r="AA670" s="79"/>
      <c r="AB670" s="79"/>
    </row>
    <row r="671">
      <c r="A671" s="79"/>
      <c r="B671" s="84"/>
      <c r="C671" s="84"/>
      <c r="D671" s="84"/>
      <c r="E671" s="85"/>
      <c r="F671" s="85"/>
      <c r="G671" s="72"/>
      <c r="H671" s="72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6"/>
      <c r="V671" s="86"/>
      <c r="W671" s="86"/>
      <c r="X671" s="86"/>
      <c r="Y671" s="79"/>
      <c r="Z671" s="79"/>
      <c r="AA671" s="79"/>
      <c r="AB671" s="79"/>
    </row>
    <row r="672">
      <c r="A672" s="79"/>
      <c r="B672" s="84"/>
      <c r="C672" s="84"/>
      <c r="D672" s="84"/>
      <c r="E672" s="85"/>
      <c r="F672" s="85"/>
      <c r="G672" s="72"/>
      <c r="H672" s="72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6"/>
      <c r="V672" s="86"/>
      <c r="W672" s="86"/>
      <c r="X672" s="86"/>
      <c r="Y672" s="79"/>
      <c r="Z672" s="79"/>
      <c r="AA672" s="79"/>
      <c r="AB672" s="79"/>
    </row>
    <row r="673">
      <c r="A673" s="79"/>
      <c r="B673" s="84"/>
      <c r="C673" s="84"/>
      <c r="D673" s="84"/>
      <c r="E673" s="85"/>
      <c r="F673" s="85"/>
      <c r="G673" s="72"/>
      <c r="H673" s="72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6"/>
      <c r="V673" s="86"/>
      <c r="W673" s="86"/>
      <c r="X673" s="86"/>
      <c r="Y673" s="79"/>
      <c r="Z673" s="79"/>
      <c r="AA673" s="79"/>
      <c r="AB673" s="79"/>
    </row>
    <row r="674">
      <c r="A674" s="79"/>
      <c r="B674" s="84"/>
      <c r="C674" s="84"/>
      <c r="D674" s="84"/>
      <c r="E674" s="85"/>
      <c r="F674" s="85"/>
      <c r="G674" s="72"/>
      <c r="H674" s="72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6"/>
      <c r="V674" s="86"/>
      <c r="W674" s="86"/>
      <c r="X674" s="86"/>
      <c r="Y674" s="79"/>
      <c r="Z674" s="79"/>
      <c r="AA674" s="79"/>
      <c r="AB674" s="79"/>
    </row>
    <row r="675">
      <c r="A675" s="79"/>
      <c r="B675" s="84"/>
      <c r="C675" s="84"/>
      <c r="D675" s="84"/>
      <c r="E675" s="85"/>
      <c r="F675" s="85"/>
      <c r="G675" s="72"/>
      <c r="H675" s="72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6"/>
      <c r="V675" s="86"/>
      <c r="W675" s="86"/>
      <c r="X675" s="86"/>
      <c r="Y675" s="79"/>
      <c r="Z675" s="79"/>
      <c r="AA675" s="79"/>
      <c r="AB675" s="79"/>
    </row>
    <row r="676">
      <c r="A676" s="79"/>
      <c r="B676" s="84"/>
      <c r="C676" s="84"/>
      <c r="D676" s="84"/>
      <c r="E676" s="85"/>
      <c r="F676" s="85"/>
      <c r="G676" s="72"/>
      <c r="H676" s="72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6"/>
      <c r="V676" s="86"/>
      <c r="W676" s="86"/>
      <c r="X676" s="86"/>
      <c r="Y676" s="79"/>
      <c r="Z676" s="79"/>
      <c r="AA676" s="79"/>
      <c r="AB676" s="79"/>
    </row>
    <row r="677">
      <c r="A677" s="79"/>
      <c r="B677" s="84"/>
      <c r="C677" s="84"/>
      <c r="D677" s="84"/>
      <c r="E677" s="85"/>
      <c r="F677" s="85"/>
      <c r="G677" s="72"/>
      <c r="H677" s="72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6"/>
      <c r="V677" s="86"/>
      <c r="W677" s="86"/>
      <c r="X677" s="86"/>
      <c r="Y677" s="79"/>
      <c r="Z677" s="79"/>
      <c r="AA677" s="79"/>
      <c r="AB677" s="79"/>
    </row>
    <row r="678">
      <c r="A678" s="79"/>
      <c r="B678" s="84"/>
      <c r="C678" s="84"/>
      <c r="D678" s="84"/>
      <c r="E678" s="85"/>
      <c r="F678" s="85"/>
      <c r="G678" s="72"/>
      <c r="H678" s="72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6"/>
      <c r="V678" s="86"/>
      <c r="W678" s="86"/>
      <c r="X678" s="86"/>
      <c r="Y678" s="79"/>
      <c r="Z678" s="79"/>
      <c r="AA678" s="79"/>
      <c r="AB678" s="79"/>
    </row>
    <row r="679">
      <c r="A679" s="79"/>
      <c r="B679" s="84"/>
      <c r="C679" s="84"/>
      <c r="D679" s="84"/>
      <c r="E679" s="85"/>
      <c r="F679" s="85"/>
      <c r="G679" s="72"/>
      <c r="H679" s="72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6"/>
      <c r="V679" s="86"/>
      <c r="W679" s="86"/>
      <c r="X679" s="86"/>
      <c r="Y679" s="79"/>
      <c r="Z679" s="79"/>
      <c r="AA679" s="79"/>
      <c r="AB679" s="79"/>
    </row>
    <row r="680">
      <c r="A680" s="79"/>
      <c r="B680" s="84"/>
      <c r="C680" s="84"/>
      <c r="D680" s="84"/>
      <c r="E680" s="85"/>
      <c r="F680" s="85"/>
      <c r="G680" s="72"/>
      <c r="H680" s="72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6"/>
      <c r="V680" s="86"/>
      <c r="W680" s="86"/>
      <c r="X680" s="86"/>
      <c r="Y680" s="79"/>
      <c r="Z680" s="79"/>
      <c r="AA680" s="79"/>
      <c r="AB680" s="79"/>
    </row>
    <row r="681">
      <c r="A681" s="79"/>
      <c r="B681" s="84"/>
      <c r="C681" s="84"/>
      <c r="D681" s="84"/>
      <c r="E681" s="85"/>
      <c r="F681" s="85"/>
      <c r="G681" s="72"/>
      <c r="H681" s="72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6"/>
      <c r="V681" s="86"/>
      <c r="W681" s="86"/>
      <c r="X681" s="86"/>
      <c r="Y681" s="79"/>
      <c r="Z681" s="79"/>
      <c r="AA681" s="79"/>
      <c r="AB681" s="79"/>
    </row>
    <row r="682">
      <c r="A682" s="79"/>
      <c r="B682" s="84"/>
      <c r="C682" s="84"/>
      <c r="D682" s="84"/>
      <c r="E682" s="85"/>
      <c r="F682" s="85"/>
      <c r="G682" s="72"/>
      <c r="H682" s="72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6"/>
      <c r="V682" s="86"/>
      <c r="W682" s="86"/>
      <c r="X682" s="86"/>
      <c r="Y682" s="79"/>
      <c r="Z682" s="79"/>
      <c r="AA682" s="79"/>
      <c r="AB682" s="79"/>
    </row>
    <row r="683">
      <c r="A683" s="79"/>
      <c r="B683" s="84"/>
      <c r="C683" s="84"/>
      <c r="D683" s="84"/>
      <c r="E683" s="85"/>
      <c r="F683" s="85"/>
      <c r="G683" s="72"/>
      <c r="H683" s="72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6"/>
      <c r="V683" s="86"/>
      <c r="W683" s="86"/>
      <c r="X683" s="86"/>
      <c r="Y683" s="79"/>
      <c r="Z683" s="79"/>
      <c r="AA683" s="79"/>
      <c r="AB683" s="79"/>
    </row>
    <row r="684">
      <c r="A684" s="79"/>
      <c r="B684" s="84"/>
      <c r="C684" s="84"/>
      <c r="D684" s="84"/>
      <c r="E684" s="85"/>
      <c r="F684" s="85"/>
      <c r="G684" s="72"/>
      <c r="H684" s="72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6"/>
      <c r="V684" s="86"/>
      <c r="W684" s="86"/>
      <c r="X684" s="86"/>
      <c r="Y684" s="79"/>
      <c r="Z684" s="79"/>
      <c r="AA684" s="79"/>
      <c r="AB684" s="79"/>
    </row>
    <row r="685">
      <c r="A685" s="79"/>
      <c r="B685" s="84"/>
      <c r="C685" s="84"/>
      <c r="D685" s="84"/>
      <c r="E685" s="85"/>
      <c r="F685" s="85"/>
      <c r="G685" s="72"/>
      <c r="H685" s="72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6"/>
      <c r="V685" s="86"/>
      <c r="W685" s="86"/>
      <c r="X685" s="86"/>
      <c r="Y685" s="79"/>
      <c r="Z685" s="79"/>
      <c r="AA685" s="79"/>
      <c r="AB685" s="79"/>
    </row>
    <row r="686">
      <c r="A686" s="79"/>
      <c r="B686" s="84"/>
      <c r="C686" s="84"/>
      <c r="D686" s="84"/>
      <c r="E686" s="85"/>
      <c r="F686" s="85"/>
      <c r="G686" s="72"/>
      <c r="H686" s="72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6"/>
      <c r="V686" s="86"/>
      <c r="W686" s="86"/>
      <c r="X686" s="86"/>
      <c r="Y686" s="79"/>
      <c r="Z686" s="79"/>
      <c r="AA686" s="79"/>
      <c r="AB686" s="79"/>
    </row>
    <row r="687">
      <c r="A687" s="79"/>
      <c r="B687" s="84"/>
      <c r="C687" s="84"/>
      <c r="D687" s="84"/>
      <c r="E687" s="85"/>
      <c r="F687" s="85"/>
      <c r="G687" s="72"/>
      <c r="H687" s="72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6"/>
      <c r="V687" s="86"/>
      <c r="W687" s="86"/>
      <c r="X687" s="86"/>
      <c r="Y687" s="79"/>
      <c r="Z687" s="79"/>
      <c r="AA687" s="79"/>
      <c r="AB687" s="79"/>
    </row>
    <row r="688">
      <c r="A688" s="79"/>
      <c r="B688" s="84"/>
      <c r="C688" s="84"/>
      <c r="D688" s="84"/>
      <c r="E688" s="85"/>
      <c r="F688" s="85"/>
      <c r="G688" s="72"/>
      <c r="H688" s="72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6"/>
      <c r="V688" s="86"/>
      <c r="W688" s="86"/>
      <c r="X688" s="86"/>
      <c r="Y688" s="79"/>
      <c r="Z688" s="79"/>
      <c r="AA688" s="79"/>
      <c r="AB688" s="79"/>
    </row>
    <row r="689">
      <c r="A689" s="79"/>
      <c r="B689" s="84"/>
      <c r="C689" s="84"/>
      <c r="D689" s="84"/>
      <c r="E689" s="85"/>
      <c r="F689" s="85"/>
      <c r="G689" s="72"/>
      <c r="H689" s="72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6"/>
      <c r="V689" s="86"/>
      <c r="W689" s="86"/>
      <c r="X689" s="86"/>
      <c r="Y689" s="79"/>
      <c r="Z689" s="79"/>
      <c r="AA689" s="79"/>
      <c r="AB689" s="79"/>
    </row>
    <row r="690">
      <c r="A690" s="79"/>
      <c r="B690" s="84"/>
      <c r="C690" s="84"/>
      <c r="D690" s="84"/>
      <c r="E690" s="85"/>
      <c r="F690" s="85"/>
      <c r="G690" s="72"/>
      <c r="H690" s="72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6"/>
      <c r="V690" s="86"/>
      <c r="W690" s="86"/>
      <c r="X690" s="86"/>
      <c r="Y690" s="79"/>
      <c r="Z690" s="79"/>
      <c r="AA690" s="79"/>
      <c r="AB690" s="79"/>
    </row>
    <row r="691">
      <c r="A691" s="79"/>
      <c r="B691" s="84"/>
      <c r="C691" s="84"/>
      <c r="D691" s="84"/>
      <c r="E691" s="85"/>
      <c r="F691" s="85"/>
      <c r="G691" s="72"/>
      <c r="H691" s="72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6"/>
      <c r="V691" s="86"/>
      <c r="W691" s="86"/>
      <c r="X691" s="86"/>
      <c r="Y691" s="79"/>
      <c r="Z691" s="79"/>
      <c r="AA691" s="79"/>
      <c r="AB691" s="79"/>
    </row>
    <row r="692">
      <c r="A692" s="79"/>
      <c r="B692" s="84"/>
      <c r="C692" s="84"/>
      <c r="D692" s="84"/>
      <c r="E692" s="85"/>
      <c r="F692" s="85"/>
      <c r="G692" s="72"/>
      <c r="H692" s="72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6"/>
      <c r="V692" s="86"/>
      <c r="W692" s="86"/>
      <c r="X692" s="86"/>
      <c r="Y692" s="79"/>
      <c r="Z692" s="79"/>
      <c r="AA692" s="79"/>
      <c r="AB692" s="79"/>
    </row>
    <row r="693">
      <c r="A693" s="79"/>
      <c r="B693" s="84"/>
      <c r="C693" s="84"/>
      <c r="D693" s="84"/>
      <c r="E693" s="85"/>
      <c r="F693" s="85"/>
      <c r="G693" s="72"/>
      <c r="H693" s="72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6"/>
      <c r="V693" s="86"/>
      <c r="W693" s="86"/>
      <c r="X693" s="86"/>
      <c r="Y693" s="79"/>
      <c r="Z693" s="79"/>
      <c r="AA693" s="79"/>
      <c r="AB693" s="79"/>
    </row>
    <row r="694">
      <c r="A694" s="79"/>
      <c r="B694" s="84"/>
      <c r="C694" s="84"/>
      <c r="D694" s="84"/>
      <c r="E694" s="85"/>
      <c r="F694" s="85"/>
      <c r="G694" s="72"/>
      <c r="H694" s="72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6"/>
      <c r="V694" s="86"/>
      <c r="W694" s="86"/>
      <c r="X694" s="86"/>
      <c r="Y694" s="79"/>
      <c r="Z694" s="79"/>
      <c r="AA694" s="79"/>
      <c r="AB694" s="79"/>
    </row>
    <row r="695">
      <c r="A695" s="79"/>
      <c r="B695" s="84"/>
      <c r="C695" s="84"/>
      <c r="D695" s="84"/>
      <c r="E695" s="85"/>
      <c r="F695" s="85"/>
      <c r="G695" s="72"/>
      <c r="H695" s="72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6"/>
      <c r="V695" s="86"/>
      <c r="W695" s="86"/>
      <c r="X695" s="86"/>
      <c r="Y695" s="79"/>
      <c r="Z695" s="79"/>
      <c r="AA695" s="79"/>
      <c r="AB695" s="79"/>
    </row>
    <row r="696">
      <c r="A696" s="79"/>
      <c r="B696" s="84"/>
      <c r="C696" s="84"/>
      <c r="D696" s="84"/>
      <c r="E696" s="85"/>
      <c r="F696" s="85"/>
      <c r="G696" s="72"/>
      <c r="H696" s="72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6"/>
      <c r="V696" s="86"/>
      <c r="W696" s="86"/>
      <c r="X696" s="86"/>
      <c r="Y696" s="79"/>
      <c r="Z696" s="79"/>
      <c r="AA696" s="79"/>
      <c r="AB696" s="79"/>
    </row>
    <row r="697">
      <c r="A697" s="79"/>
      <c r="B697" s="84"/>
      <c r="C697" s="84"/>
      <c r="D697" s="84"/>
      <c r="E697" s="85"/>
      <c r="F697" s="85"/>
      <c r="G697" s="72"/>
      <c r="H697" s="72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6"/>
      <c r="V697" s="86"/>
      <c r="W697" s="86"/>
      <c r="X697" s="86"/>
      <c r="Y697" s="79"/>
      <c r="Z697" s="79"/>
      <c r="AA697" s="79"/>
      <c r="AB697" s="79"/>
    </row>
    <row r="698">
      <c r="A698" s="79"/>
      <c r="B698" s="84"/>
      <c r="C698" s="84"/>
      <c r="D698" s="84"/>
      <c r="E698" s="85"/>
      <c r="F698" s="85"/>
      <c r="G698" s="72"/>
      <c r="H698" s="72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6"/>
      <c r="V698" s="86"/>
      <c r="W698" s="86"/>
      <c r="X698" s="86"/>
      <c r="Y698" s="79"/>
      <c r="Z698" s="79"/>
      <c r="AA698" s="79"/>
      <c r="AB698" s="79"/>
    </row>
    <row r="699">
      <c r="A699" s="79"/>
      <c r="B699" s="84"/>
      <c r="C699" s="84"/>
      <c r="D699" s="84"/>
      <c r="E699" s="85"/>
      <c r="F699" s="85"/>
      <c r="G699" s="72"/>
      <c r="H699" s="72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6"/>
      <c r="V699" s="86"/>
      <c r="W699" s="86"/>
      <c r="X699" s="86"/>
      <c r="Y699" s="79"/>
      <c r="Z699" s="79"/>
      <c r="AA699" s="79"/>
      <c r="AB699" s="79"/>
    </row>
    <row r="700">
      <c r="A700" s="79"/>
      <c r="B700" s="84"/>
      <c r="C700" s="84"/>
      <c r="D700" s="84"/>
      <c r="E700" s="85"/>
      <c r="F700" s="85"/>
      <c r="G700" s="72"/>
      <c r="H700" s="72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6"/>
      <c r="V700" s="86"/>
      <c r="W700" s="86"/>
      <c r="X700" s="86"/>
      <c r="Y700" s="79"/>
      <c r="Z700" s="79"/>
      <c r="AA700" s="79"/>
      <c r="AB700" s="79"/>
    </row>
    <row r="701">
      <c r="A701" s="79"/>
      <c r="B701" s="84"/>
      <c r="C701" s="84"/>
      <c r="D701" s="84"/>
      <c r="E701" s="85"/>
      <c r="F701" s="85"/>
      <c r="G701" s="72"/>
      <c r="H701" s="72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6"/>
      <c r="V701" s="86"/>
      <c r="W701" s="86"/>
      <c r="X701" s="86"/>
      <c r="Y701" s="79"/>
      <c r="Z701" s="79"/>
      <c r="AA701" s="79"/>
      <c r="AB701" s="79"/>
    </row>
    <row r="702">
      <c r="A702" s="79"/>
      <c r="B702" s="84"/>
      <c r="C702" s="84"/>
      <c r="D702" s="84"/>
      <c r="E702" s="85"/>
      <c r="F702" s="85"/>
      <c r="G702" s="72"/>
      <c r="H702" s="72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6"/>
      <c r="V702" s="86"/>
      <c r="W702" s="86"/>
      <c r="X702" s="86"/>
      <c r="Y702" s="79"/>
      <c r="Z702" s="79"/>
      <c r="AA702" s="79"/>
      <c r="AB702" s="79"/>
    </row>
    <row r="703">
      <c r="A703" s="79"/>
      <c r="B703" s="84"/>
      <c r="C703" s="84"/>
      <c r="D703" s="84"/>
      <c r="E703" s="85"/>
      <c r="F703" s="85"/>
      <c r="G703" s="72"/>
      <c r="H703" s="72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6"/>
      <c r="V703" s="86"/>
      <c r="W703" s="86"/>
      <c r="X703" s="86"/>
      <c r="Y703" s="79"/>
      <c r="Z703" s="79"/>
      <c r="AA703" s="79"/>
      <c r="AB703" s="79"/>
    </row>
    <row r="704">
      <c r="A704" s="79"/>
      <c r="B704" s="84"/>
      <c r="C704" s="84"/>
      <c r="D704" s="84"/>
      <c r="E704" s="85"/>
      <c r="F704" s="85"/>
      <c r="G704" s="72"/>
      <c r="H704" s="72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6"/>
      <c r="V704" s="86"/>
      <c r="W704" s="86"/>
      <c r="X704" s="86"/>
      <c r="Y704" s="79"/>
      <c r="Z704" s="79"/>
      <c r="AA704" s="79"/>
      <c r="AB704" s="79"/>
    </row>
    <row r="705">
      <c r="A705" s="79"/>
      <c r="B705" s="84"/>
      <c r="C705" s="84"/>
      <c r="D705" s="84"/>
      <c r="E705" s="85"/>
      <c r="F705" s="85"/>
      <c r="G705" s="72"/>
      <c r="H705" s="72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6"/>
      <c r="V705" s="86"/>
      <c r="W705" s="86"/>
      <c r="X705" s="86"/>
      <c r="Y705" s="79"/>
      <c r="Z705" s="79"/>
      <c r="AA705" s="79"/>
      <c r="AB705" s="79"/>
    </row>
    <row r="706">
      <c r="A706" s="79"/>
      <c r="B706" s="84"/>
      <c r="C706" s="84"/>
      <c r="D706" s="84"/>
      <c r="E706" s="85"/>
      <c r="F706" s="85"/>
      <c r="G706" s="72"/>
      <c r="H706" s="72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6"/>
      <c r="V706" s="86"/>
      <c r="W706" s="86"/>
      <c r="X706" s="86"/>
      <c r="Y706" s="79"/>
      <c r="Z706" s="79"/>
      <c r="AA706" s="79"/>
      <c r="AB706" s="79"/>
    </row>
    <row r="707">
      <c r="A707" s="79"/>
      <c r="B707" s="84"/>
      <c r="C707" s="84"/>
      <c r="D707" s="84"/>
      <c r="E707" s="85"/>
      <c r="F707" s="85"/>
      <c r="G707" s="72"/>
      <c r="H707" s="72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6"/>
      <c r="V707" s="86"/>
      <c r="W707" s="86"/>
      <c r="X707" s="86"/>
      <c r="Y707" s="79"/>
      <c r="Z707" s="79"/>
      <c r="AA707" s="79"/>
      <c r="AB707" s="79"/>
    </row>
    <row r="708">
      <c r="A708" s="79"/>
      <c r="B708" s="84"/>
      <c r="C708" s="84"/>
      <c r="D708" s="84"/>
      <c r="E708" s="85"/>
      <c r="F708" s="85"/>
      <c r="G708" s="72"/>
      <c r="H708" s="72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6"/>
      <c r="V708" s="86"/>
      <c r="W708" s="86"/>
      <c r="X708" s="86"/>
      <c r="Y708" s="79"/>
      <c r="Z708" s="79"/>
      <c r="AA708" s="79"/>
      <c r="AB708" s="79"/>
    </row>
    <row r="709">
      <c r="A709" s="79"/>
      <c r="B709" s="84"/>
      <c r="C709" s="84"/>
      <c r="D709" s="84"/>
      <c r="E709" s="85"/>
      <c r="F709" s="85"/>
      <c r="G709" s="72"/>
      <c r="H709" s="72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6"/>
      <c r="V709" s="86"/>
      <c r="W709" s="86"/>
      <c r="X709" s="86"/>
      <c r="Y709" s="79"/>
      <c r="Z709" s="79"/>
      <c r="AA709" s="79"/>
      <c r="AB709" s="79"/>
    </row>
    <row r="710">
      <c r="A710" s="79"/>
      <c r="B710" s="84"/>
      <c r="C710" s="84"/>
      <c r="D710" s="84"/>
      <c r="E710" s="85"/>
      <c r="F710" s="85"/>
      <c r="G710" s="72"/>
      <c r="H710" s="72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6"/>
      <c r="V710" s="86"/>
      <c r="W710" s="86"/>
      <c r="X710" s="86"/>
      <c r="Y710" s="79"/>
      <c r="Z710" s="79"/>
      <c r="AA710" s="79"/>
      <c r="AB710" s="79"/>
    </row>
    <row r="711">
      <c r="A711" s="79"/>
      <c r="B711" s="84"/>
      <c r="C711" s="84"/>
      <c r="D711" s="84"/>
      <c r="E711" s="85"/>
      <c r="F711" s="85"/>
      <c r="G711" s="72"/>
      <c r="H711" s="72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6"/>
      <c r="V711" s="86"/>
      <c r="W711" s="86"/>
      <c r="X711" s="86"/>
      <c r="Y711" s="79"/>
      <c r="Z711" s="79"/>
      <c r="AA711" s="79"/>
      <c r="AB711" s="79"/>
    </row>
    <row r="712">
      <c r="A712" s="79"/>
      <c r="B712" s="84"/>
      <c r="C712" s="84"/>
      <c r="D712" s="84"/>
      <c r="E712" s="85"/>
      <c r="F712" s="85"/>
      <c r="G712" s="72"/>
      <c r="H712" s="72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6"/>
      <c r="V712" s="86"/>
      <c r="W712" s="86"/>
      <c r="X712" s="86"/>
      <c r="Y712" s="79"/>
      <c r="Z712" s="79"/>
      <c r="AA712" s="79"/>
      <c r="AB712" s="79"/>
    </row>
    <row r="713">
      <c r="A713" s="79"/>
      <c r="B713" s="84"/>
      <c r="C713" s="84"/>
      <c r="D713" s="84"/>
      <c r="E713" s="85"/>
      <c r="F713" s="85"/>
      <c r="G713" s="72"/>
      <c r="H713" s="72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6"/>
      <c r="V713" s="86"/>
      <c r="W713" s="86"/>
      <c r="X713" s="86"/>
      <c r="Y713" s="79"/>
      <c r="Z713" s="79"/>
      <c r="AA713" s="79"/>
      <c r="AB713" s="79"/>
    </row>
    <row r="714">
      <c r="A714" s="79"/>
      <c r="B714" s="84"/>
      <c r="C714" s="84"/>
      <c r="D714" s="84"/>
      <c r="E714" s="85"/>
      <c r="F714" s="85"/>
      <c r="G714" s="72"/>
      <c r="H714" s="72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6"/>
      <c r="V714" s="86"/>
      <c r="W714" s="86"/>
      <c r="X714" s="86"/>
      <c r="Y714" s="79"/>
      <c r="Z714" s="79"/>
      <c r="AA714" s="79"/>
      <c r="AB714" s="79"/>
    </row>
    <row r="715">
      <c r="A715" s="79"/>
      <c r="B715" s="84"/>
      <c r="C715" s="84"/>
      <c r="D715" s="84"/>
      <c r="E715" s="85"/>
      <c r="F715" s="85"/>
      <c r="G715" s="72"/>
      <c r="H715" s="72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6"/>
      <c r="V715" s="86"/>
      <c r="W715" s="86"/>
      <c r="X715" s="86"/>
      <c r="Y715" s="79"/>
      <c r="Z715" s="79"/>
      <c r="AA715" s="79"/>
      <c r="AB715" s="79"/>
    </row>
    <row r="716">
      <c r="A716" s="79"/>
      <c r="B716" s="84"/>
      <c r="C716" s="84"/>
      <c r="D716" s="84"/>
      <c r="E716" s="85"/>
      <c r="F716" s="85"/>
      <c r="G716" s="72"/>
      <c r="H716" s="72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6"/>
      <c r="V716" s="86"/>
      <c r="W716" s="86"/>
      <c r="X716" s="86"/>
      <c r="Y716" s="79"/>
      <c r="Z716" s="79"/>
      <c r="AA716" s="79"/>
      <c r="AB716" s="79"/>
    </row>
    <row r="717">
      <c r="A717" s="79"/>
      <c r="B717" s="84"/>
      <c r="C717" s="84"/>
      <c r="D717" s="84"/>
      <c r="E717" s="85"/>
      <c r="F717" s="85"/>
      <c r="G717" s="72"/>
      <c r="H717" s="72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6"/>
      <c r="V717" s="86"/>
      <c r="W717" s="86"/>
      <c r="X717" s="86"/>
      <c r="Y717" s="79"/>
      <c r="Z717" s="79"/>
      <c r="AA717" s="79"/>
      <c r="AB717" s="79"/>
    </row>
    <row r="718">
      <c r="A718" s="79"/>
      <c r="B718" s="84"/>
      <c r="C718" s="84"/>
      <c r="D718" s="84"/>
      <c r="E718" s="85"/>
      <c r="F718" s="85"/>
      <c r="G718" s="72"/>
      <c r="H718" s="72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6"/>
      <c r="V718" s="86"/>
      <c r="W718" s="86"/>
      <c r="X718" s="86"/>
      <c r="Y718" s="79"/>
      <c r="Z718" s="79"/>
      <c r="AA718" s="79"/>
      <c r="AB718" s="79"/>
    </row>
    <row r="719">
      <c r="A719" s="79"/>
      <c r="B719" s="84"/>
      <c r="C719" s="84"/>
      <c r="D719" s="84"/>
      <c r="E719" s="85"/>
      <c r="F719" s="85"/>
      <c r="G719" s="72"/>
      <c r="H719" s="72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6"/>
      <c r="V719" s="86"/>
      <c r="W719" s="86"/>
      <c r="X719" s="86"/>
      <c r="Y719" s="79"/>
      <c r="Z719" s="79"/>
      <c r="AA719" s="79"/>
      <c r="AB719" s="79"/>
    </row>
    <row r="720">
      <c r="A720" s="79"/>
      <c r="B720" s="84"/>
      <c r="C720" s="84"/>
      <c r="D720" s="84"/>
      <c r="E720" s="85"/>
      <c r="F720" s="85"/>
      <c r="G720" s="72"/>
      <c r="H720" s="72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6"/>
      <c r="V720" s="86"/>
      <c r="W720" s="86"/>
      <c r="X720" s="86"/>
      <c r="Y720" s="79"/>
      <c r="Z720" s="79"/>
      <c r="AA720" s="79"/>
      <c r="AB720" s="79"/>
    </row>
    <row r="721">
      <c r="A721" s="79"/>
      <c r="B721" s="84"/>
      <c r="C721" s="84"/>
      <c r="D721" s="84"/>
      <c r="E721" s="85"/>
      <c r="F721" s="85"/>
      <c r="G721" s="72"/>
      <c r="H721" s="72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6"/>
      <c r="V721" s="86"/>
      <c r="W721" s="86"/>
      <c r="X721" s="86"/>
      <c r="Y721" s="79"/>
      <c r="Z721" s="79"/>
      <c r="AA721" s="79"/>
      <c r="AB721" s="79"/>
    </row>
    <row r="722">
      <c r="A722" s="79"/>
      <c r="B722" s="84"/>
      <c r="C722" s="84"/>
      <c r="D722" s="84"/>
      <c r="E722" s="85"/>
      <c r="F722" s="85"/>
      <c r="G722" s="72"/>
      <c r="H722" s="72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6"/>
      <c r="V722" s="86"/>
      <c r="W722" s="86"/>
      <c r="X722" s="86"/>
      <c r="Y722" s="79"/>
      <c r="Z722" s="79"/>
      <c r="AA722" s="79"/>
      <c r="AB722" s="79"/>
    </row>
    <row r="723">
      <c r="A723" s="79"/>
      <c r="B723" s="84"/>
      <c r="C723" s="84"/>
      <c r="D723" s="84"/>
      <c r="E723" s="85"/>
      <c r="F723" s="85"/>
      <c r="G723" s="72"/>
      <c r="H723" s="72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6"/>
      <c r="V723" s="86"/>
      <c r="W723" s="86"/>
      <c r="X723" s="86"/>
      <c r="Y723" s="79"/>
      <c r="Z723" s="79"/>
      <c r="AA723" s="79"/>
      <c r="AB723" s="79"/>
    </row>
    <row r="724">
      <c r="A724" s="79"/>
      <c r="B724" s="84"/>
      <c r="C724" s="84"/>
      <c r="D724" s="84"/>
      <c r="E724" s="85"/>
      <c r="F724" s="85"/>
      <c r="G724" s="72"/>
      <c r="H724" s="72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6"/>
      <c r="V724" s="86"/>
      <c r="W724" s="86"/>
      <c r="X724" s="86"/>
      <c r="Y724" s="79"/>
      <c r="Z724" s="79"/>
      <c r="AA724" s="79"/>
      <c r="AB724" s="79"/>
    </row>
    <row r="725">
      <c r="A725" s="79"/>
      <c r="B725" s="84"/>
      <c r="C725" s="84"/>
      <c r="D725" s="84"/>
      <c r="E725" s="85"/>
      <c r="F725" s="85"/>
      <c r="G725" s="72"/>
      <c r="H725" s="72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6"/>
      <c r="V725" s="86"/>
      <c r="W725" s="86"/>
      <c r="X725" s="86"/>
      <c r="Y725" s="79"/>
      <c r="Z725" s="79"/>
      <c r="AA725" s="79"/>
      <c r="AB725" s="79"/>
    </row>
    <row r="726">
      <c r="A726" s="79"/>
      <c r="B726" s="84"/>
      <c r="C726" s="84"/>
      <c r="D726" s="84"/>
      <c r="E726" s="85"/>
      <c r="F726" s="85"/>
      <c r="G726" s="72"/>
      <c r="H726" s="72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6"/>
      <c r="V726" s="86"/>
      <c r="W726" s="86"/>
      <c r="X726" s="86"/>
      <c r="Y726" s="79"/>
      <c r="Z726" s="79"/>
      <c r="AA726" s="79"/>
      <c r="AB726" s="79"/>
    </row>
    <row r="727">
      <c r="A727" s="79"/>
      <c r="B727" s="84"/>
      <c r="C727" s="84"/>
      <c r="D727" s="84"/>
      <c r="E727" s="85"/>
      <c r="F727" s="85"/>
      <c r="G727" s="72"/>
      <c r="H727" s="72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6"/>
      <c r="V727" s="86"/>
      <c r="W727" s="86"/>
      <c r="X727" s="86"/>
      <c r="Y727" s="79"/>
      <c r="Z727" s="79"/>
      <c r="AA727" s="79"/>
      <c r="AB727" s="79"/>
    </row>
    <row r="728">
      <c r="A728" s="79"/>
      <c r="B728" s="84"/>
      <c r="C728" s="84"/>
      <c r="D728" s="84"/>
      <c r="E728" s="85"/>
      <c r="F728" s="85"/>
      <c r="G728" s="72"/>
      <c r="H728" s="72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6"/>
      <c r="V728" s="86"/>
      <c r="W728" s="86"/>
      <c r="X728" s="86"/>
      <c r="Y728" s="79"/>
      <c r="Z728" s="79"/>
      <c r="AA728" s="79"/>
      <c r="AB728" s="79"/>
    </row>
    <row r="729">
      <c r="A729" s="79"/>
      <c r="B729" s="84"/>
      <c r="C729" s="84"/>
      <c r="D729" s="84"/>
      <c r="E729" s="85"/>
      <c r="F729" s="85"/>
      <c r="G729" s="72"/>
      <c r="H729" s="72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6"/>
      <c r="V729" s="86"/>
      <c r="W729" s="86"/>
      <c r="X729" s="86"/>
      <c r="Y729" s="79"/>
      <c r="Z729" s="79"/>
      <c r="AA729" s="79"/>
      <c r="AB729" s="79"/>
    </row>
    <row r="730">
      <c r="A730" s="79"/>
      <c r="B730" s="84"/>
      <c r="C730" s="84"/>
      <c r="D730" s="84"/>
      <c r="E730" s="85"/>
      <c r="F730" s="85"/>
      <c r="G730" s="72"/>
      <c r="H730" s="72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6"/>
      <c r="V730" s="86"/>
      <c r="W730" s="86"/>
      <c r="X730" s="86"/>
      <c r="Y730" s="79"/>
      <c r="Z730" s="79"/>
      <c r="AA730" s="79"/>
      <c r="AB730" s="79"/>
    </row>
    <row r="731">
      <c r="A731" s="79"/>
      <c r="B731" s="84"/>
      <c r="C731" s="84"/>
      <c r="D731" s="84"/>
      <c r="E731" s="85"/>
      <c r="F731" s="85"/>
      <c r="G731" s="72"/>
      <c r="H731" s="72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6"/>
      <c r="V731" s="86"/>
      <c r="W731" s="86"/>
      <c r="X731" s="86"/>
      <c r="Y731" s="79"/>
      <c r="Z731" s="79"/>
      <c r="AA731" s="79"/>
      <c r="AB731" s="79"/>
    </row>
    <row r="732">
      <c r="A732" s="79"/>
      <c r="B732" s="84"/>
      <c r="C732" s="84"/>
      <c r="D732" s="84"/>
      <c r="E732" s="85"/>
      <c r="F732" s="85"/>
      <c r="G732" s="72"/>
      <c r="H732" s="72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6"/>
      <c r="V732" s="86"/>
      <c r="W732" s="86"/>
      <c r="X732" s="86"/>
      <c r="Y732" s="79"/>
      <c r="Z732" s="79"/>
      <c r="AA732" s="79"/>
      <c r="AB732" s="79"/>
    </row>
    <row r="733">
      <c r="A733" s="79"/>
      <c r="B733" s="84"/>
      <c r="C733" s="84"/>
      <c r="D733" s="84"/>
      <c r="E733" s="85"/>
      <c r="F733" s="85"/>
      <c r="G733" s="72"/>
      <c r="H733" s="72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6"/>
      <c r="V733" s="86"/>
      <c r="W733" s="86"/>
      <c r="X733" s="86"/>
      <c r="Y733" s="79"/>
      <c r="Z733" s="79"/>
      <c r="AA733" s="79"/>
      <c r="AB733" s="79"/>
    </row>
    <row r="734">
      <c r="A734" s="79"/>
      <c r="B734" s="84"/>
      <c r="C734" s="84"/>
      <c r="D734" s="84"/>
      <c r="E734" s="85"/>
      <c r="F734" s="85"/>
      <c r="G734" s="72"/>
      <c r="H734" s="72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6"/>
      <c r="V734" s="86"/>
      <c r="W734" s="86"/>
      <c r="X734" s="86"/>
      <c r="Y734" s="79"/>
      <c r="Z734" s="79"/>
      <c r="AA734" s="79"/>
      <c r="AB734" s="79"/>
    </row>
    <row r="735">
      <c r="A735" s="79"/>
      <c r="B735" s="84"/>
      <c r="C735" s="84"/>
      <c r="D735" s="84"/>
      <c r="E735" s="85"/>
      <c r="F735" s="85"/>
      <c r="G735" s="72"/>
      <c r="H735" s="72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6"/>
      <c r="V735" s="86"/>
      <c r="W735" s="86"/>
      <c r="X735" s="86"/>
      <c r="Y735" s="79"/>
      <c r="Z735" s="79"/>
      <c r="AA735" s="79"/>
      <c r="AB735" s="79"/>
    </row>
    <row r="736">
      <c r="A736" s="79"/>
      <c r="B736" s="84"/>
      <c r="C736" s="84"/>
      <c r="D736" s="84"/>
      <c r="E736" s="85"/>
      <c r="F736" s="85"/>
      <c r="G736" s="72"/>
      <c r="H736" s="72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6"/>
      <c r="V736" s="86"/>
      <c r="W736" s="86"/>
      <c r="X736" s="86"/>
      <c r="Y736" s="79"/>
      <c r="Z736" s="79"/>
      <c r="AA736" s="79"/>
      <c r="AB736" s="79"/>
    </row>
    <row r="737">
      <c r="A737" s="79"/>
      <c r="B737" s="84"/>
      <c r="C737" s="84"/>
      <c r="D737" s="84"/>
      <c r="E737" s="85"/>
      <c r="F737" s="85"/>
      <c r="G737" s="72"/>
      <c r="H737" s="72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6"/>
      <c r="V737" s="86"/>
      <c r="W737" s="86"/>
      <c r="X737" s="86"/>
      <c r="Y737" s="79"/>
      <c r="Z737" s="79"/>
      <c r="AA737" s="79"/>
      <c r="AB737" s="79"/>
    </row>
    <row r="738">
      <c r="A738" s="79"/>
      <c r="B738" s="84"/>
      <c r="C738" s="84"/>
      <c r="D738" s="84"/>
      <c r="E738" s="85"/>
      <c r="F738" s="85"/>
      <c r="G738" s="72"/>
      <c r="H738" s="72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6"/>
      <c r="V738" s="86"/>
      <c r="W738" s="86"/>
      <c r="X738" s="86"/>
      <c r="Y738" s="79"/>
      <c r="Z738" s="79"/>
      <c r="AA738" s="79"/>
      <c r="AB738" s="79"/>
    </row>
    <row r="739">
      <c r="A739" s="79"/>
      <c r="B739" s="84"/>
      <c r="C739" s="84"/>
      <c r="D739" s="84"/>
      <c r="E739" s="85"/>
      <c r="F739" s="85"/>
      <c r="G739" s="72"/>
      <c r="H739" s="72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6"/>
      <c r="V739" s="86"/>
      <c r="W739" s="86"/>
      <c r="X739" s="86"/>
      <c r="Y739" s="79"/>
      <c r="Z739" s="79"/>
      <c r="AA739" s="79"/>
      <c r="AB739" s="79"/>
    </row>
    <row r="740">
      <c r="A740" s="79"/>
      <c r="B740" s="84"/>
      <c r="C740" s="84"/>
      <c r="D740" s="84"/>
      <c r="E740" s="85"/>
      <c r="F740" s="85"/>
      <c r="G740" s="72"/>
      <c r="H740" s="72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6"/>
      <c r="V740" s="86"/>
      <c r="W740" s="86"/>
      <c r="X740" s="86"/>
      <c r="Y740" s="79"/>
      <c r="Z740" s="79"/>
      <c r="AA740" s="79"/>
      <c r="AB740" s="79"/>
    </row>
    <row r="741">
      <c r="A741" s="79"/>
      <c r="B741" s="84"/>
      <c r="C741" s="84"/>
      <c r="D741" s="84"/>
      <c r="E741" s="85"/>
      <c r="F741" s="85"/>
      <c r="G741" s="72"/>
      <c r="H741" s="72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6"/>
      <c r="V741" s="86"/>
      <c r="W741" s="86"/>
      <c r="X741" s="86"/>
      <c r="Y741" s="79"/>
      <c r="Z741" s="79"/>
      <c r="AA741" s="79"/>
      <c r="AB741" s="79"/>
    </row>
    <row r="742">
      <c r="A742" s="79"/>
      <c r="B742" s="84"/>
      <c r="C742" s="84"/>
      <c r="D742" s="84"/>
      <c r="E742" s="85"/>
      <c r="F742" s="85"/>
      <c r="G742" s="72"/>
      <c r="H742" s="72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6"/>
      <c r="V742" s="86"/>
      <c r="W742" s="86"/>
      <c r="X742" s="86"/>
      <c r="Y742" s="79"/>
      <c r="Z742" s="79"/>
      <c r="AA742" s="79"/>
      <c r="AB742" s="79"/>
    </row>
    <row r="743">
      <c r="A743" s="79"/>
      <c r="B743" s="84"/>
      <c r="C743" s="84"/>
      <c r="D743" s="84"/>
      <c r="E743" s="85"/>
      <c r="F743" s="85"/>
      <c r="G743" s="72"/>
      <c r="H743" s="72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6"/>
      <c r="V743" s="86"/>
      <c r="W743" s="86"/>
      <c r="X743" s="86"/>
      <c r="Y743" s="79"/>
      <c r="Z743" s="79"/>
      <c r="AA743" s="79"/>
      <c r="AB743" s="79"/>
    </row>
    <row r="744">
      <c r="A744" s="79"/>
      <c r="B744" s="84"/>
      <c r="C744" s="84"/>
      <c r="D744" s="84"/>
      <c r="E744" s="85"/>
      <c r="F744" s="85"/>
      <c r="G744" s="72"/>
      <c r="H744" s="72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6"/>
      <c r="V744" s="86"/>
      <c r="W744" s="86"/>
      <c r="X744" s="86"/>
      <c r="Y744" s="79"/>
      <c r="Z744" s="79"/>
      <c r="AA744" s="79"/>
      <c r="AB744" s="79"/>
    </row>
    <row r="745">
      <c r="A745" s="79"/>
      <c r="B745" s="84"/>
      <c r="C745" s="84"/>
      <c r="D745" s="84"/>
      <c r="E745" s="85"/>
      <c r="F745" s="85"/>
      <c r="G745" s="72"/>
      <c r="H745" s="72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6"/>
      <c r="V745" s="86"/>
      <c r="W745" s="86"/>
      <c r="X745" s="86"/>
      <c r="Y745" s="79"/>
      <c r="Z745" s="79"/>
      <c r="AA745" s="79"/>
      <c r="AB745" s="79"/>
    </row>
    <row r="746">
      <c r="A746" s="79"/>
      <c r="B746" s="84"/>
      <c r="C746" s="84"/>
      <c r="D746" s="84"/>
      <c r="E746" s="85"/>
      <c r="F746" s="85"/>
      <c r="G746" s="72"/>
      <c r="H746" s="72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6"/>
      <c r="V746" s="86"/>
      <c r="W746" s="86"/>
      <c r="X746" s="86"/>
      <c r="Y746" s="79"/>
      <c r="Z746" s="79"/>
      <c r="AA746" s="79"/>
      <c r="AB746" s="79"/>
    </row>
    <row r="747">
      <c r="A747" s="79"/>
      <c r="B747" s="84"/>
      <c r="C747" s="84"/>
      <c r="D747" s="84"/>
      <c r="E747" s="85"/>
      <c r="F747" s="85"/>
      <c r="G747" s="72"/>
      <c r="H747" s="72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6"/>
      <c r="V747" s="86"/>
      <c r="W747" s="86"/>
      <c r="X747" s="86"/>
      <c r="Y747" s="79"/>
      <c r="Z747" s="79"/>
      <c r="AA747" s="79"/>
      <c r="AB747" s="79"/>
    </row>
    <row r="748">
      <c r="A748" s="79"/>
      <c r="B748" s="84"/>
      <c r="C748" s="84"/>
      <c r="D748" s="84"/>
      <c r="E748" s="85"/>
      <c r="F748" s="85"/>
      <c r="G748" s="72"/>
      <c r="H748" s="72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6"/>
      <c r="V748" s="86"/>
      <c r="W748" s="86"/>
      <c r="X748" s="86"/>
      <c r="Y748" s="79"/>
      <c r="Z748" s="79"/>
      <c r="AA748" s="79"/>
      <c r="AB748" s="79"/>
    </row>
    <row r="749">
      <c r="A749" s="79"/>
      <c r="B749" s="84"/>
      <c r="C749" s="84"/>
      <c r="D749" s="84"/>
      <c r="E749" s="85"/>
      <c r="F749" s="85"/>
      <c r="G749" s="72"/>
      <c r="H749" s="72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6"/>
      <c r="V749" s="86"/>
      <c r="W749" s="86"/>
      <c r="X749" s="86"/>
      <c r="Y749" s="79"/>
      <c r="Z749" s="79"/>
      <c r="AA749" s="79"/>
      <c r="AB749" s="79"/>
    </row>
    <row r="750">
      <c r="A750" s="79"/>
      <c r="B750" s="84"/>
      <c r="C750" s="84"/>
      <c r="D750" s="84"/>
      <c r="E750" s="85"/>
      <c r="F750" s="85"/>
      <c r="G750" s="72"/>
      <c r="H750" s="72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6"/>
      <c r="V750" s="86"/>
      <c r="W750" s="86"/>
      <c r="X750" s="86"/>
      <c r="Y750" s="79"/>
      <c r="Z750" s="79"/>
      <c r="AA750" s="79"/>
      <c r="AB750" s="79"/>
    </row>
    <row r="751">
      <c r="A751" s="79"/>
      <c r="B751" s="84"/>
      <c r="C751" s="84"/>
      <c r="D751" s="84"/>
      <c r="E751" s="85"/>
      <c r="F751" s="85"/>
      <c r="G751" s="72"/>
      <c r="H751" s="72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6"/>
      <c r="V751" s="86"/>
      <c r="W751" s="86"/>
      <c r="X751" s="86"/>
      <c r="Y751" s="79"/>
      <c r="Z751" s="79"/>
      <c r="AA751" s="79"/>
      <c r="AB751" s="79"/>
    </row>
    <row r="752">
      <c r="A752" s="79"/>
      <c r="B752" s="84"/>
      <c r="C752" s="84"/>
      <c r="D752" s="84"/>
      <c r="E752" s="85"/>
      <c r="F752" s="85"/>
      <c r="G752" s="72"/>
      <c r="H752" s="72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6"/>
      <c r="V752" s="86"/>
      <c r="W752" s="86"/>
      <c r="X752" s="86"/>
      <c r="Y752" s="79"/>
      <c r="Z752" s="79"/>
      <c r="AA752" s="79"/>
      <c r="AB752" s="79"/>
    </row>
    <row r="753">
      <c r="A753" s="79"/>
      <c r="B753" s="84"/>
      <c r="C753" s="84"/>
      <c r="D753" s="84"/>
      <c r="E753" s="85"/>
      <c r="F753" s="85"/>
      <c r="G753" s="72"/>
      <c r="H753" s="72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6"/>
      <c r="V753" s="86"/>
      <c r="W753" s="86"/>
      <c r="X753" s="86"/>
      <c r="Y753" s="79"/>
      <c r="Z753" s="79"/>
      <c r="AA753" s="79"/>
      <c r="AB753" s="79"/>
    </row>
    <row r="754">
      <c r="A754" s="79"/>
      <c r="B754" s="84"/>
      <c r="C754" s="84"/>
      <c r="D754" s="84"/>
      <c r="E754" s="85"/>
      <c r="F754" s="85"/>
      <c r="G754" s="72"/>
      <c r="H754" s="72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6"/>
      <c r="V754" s="86"/>
      <c r="W754" s="86"/>
      <c r="X754" s="86"/>
      <c r="Y754" s="79"/>
      <c r="Z754" s="79"/>
      <c r="AA754" s="79"/>
      <c r="AB754" s="79"/>
    </row>
    <row r="755">
      <c r="A755" s="79"/>
      <c r="B755" s="84"/>
      <c r="C755" s="84"/>
      <c r="D755" s="84"/>
      <c r="E755" s="85"/>
      <c r="F755" s="85"/>
      <c r="G755" s="72"/>
      <c r="H755" s="72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6"/>
      <c r="V755" s="86"/>
      <c r="W755" s="86"/>
      <c r="X755" s="86"/>
      <c r="Y755" s="79"/>
      <c r="Z755" s="79"/>
      <c r="AA755" s="79"/>
      <c r="AB755" s="79"/>
    </row>
    <row r="756">
      <c r="A756" s="79"/>
      <c r="B756" s="84"/>
      <c r="C756" s="84"/>
      <c r="D756" s="84"/>
      <c r="E756" s="85"/>
      <c r="F756" s="85"/>
      <c r="G756" s="72"/>
      <c r="H756" s="72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6"/>
      <c r="V756" s="86"/>
      <c r="W756" s="86"/>
      <c r="X756" s="86"/>
      <c r="Y756" s="79"/>
      <c r="Z756" s="79"/>
      <c r="AA756" s="79"/>
      <c r="AB756" s="79"/>
    </row>
    <row r="757">
      <c r="A757" s="79"/>
      <c r="B757" s="84"/>
      <c r="C757" s="84"/>
      <c r="D757" s="84"/>
      <c r="E757" s="85"/>
      <c r="F757" s="85"/>
      <c r="G757" s="72"/>
      <c r="H757" s="72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6"/>
      <c r="V757" s="86"/>
      <c r="W757" s="86"/>
      <c r="X757" s="86"/>
      <c r="Y757" s="79"/>
      <c r="Z757" s="79"/>
      <c r="AA757" s="79"/>
      <c r="AB757" s="79"/>
    </row>
    <row r="758">
      <c r="A758" s="79"/>
      <c r="B758" s="84"/>
      <c r="C758" s="84"/>
      <c r="D758" s="84"/>
      <c r="E758" s="85"/>
      <c r="F758" s="85"/>
      <c r="G758" s="72"/>
      <c r="H758" s="72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6"/>
      <c r="V758" s="86"/>
      <c r="W758" s="86"/>
      <c r="X758" s="86"/>
      <c r="Y758" s="79"/>
      <c r="Z758" s="79"/>
      <c r="AA758" s="79"/>
      <c r="AB758" s="79"/>
    </row>
    <row r="759">
      <c r="A759" s="79"/>
      <c r="B759" s="84"/>
      <c r="C759" s="84"/>
      <c r="D759" s="84"/>
      <c r="E759" s="85"/>
      <c r="F759" s="85"/>
      <c r="G759" s="72"/>
      <c r="H759" s="72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6"/>
      <c r="V759" s="86"/>
      <c r="W759" s="86"/>
      <c r="X759" s="86"/>
      <c r="Y759" s="79"/>
      <c r="Z759" s="79"/>
      <c r="AA759" s="79"/>
      <c r="AB759" s="79"/>
    </row>
    <row r="760">
      <c r="A760" s="79"/>
      <c r="B760" s="84"/>
      <c r="C760" s="84"/>
      <c r="D760" s="84"/>
      <c r="E760" s="85"/>
      <c r="F760" s="85"/>
      <c r="G760" s="72"/>
      <c r="H760" s="72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6"/>
      <c r="V760" s="86"/>
      <c r="W760" s="86"/>
      <c r="X760" s="86"/>
      <c r="Y760" s="79"/>
      <c r="Z760" s="79"/>
      <c r="AA760" s="79"/>
      <c r="AB760" s="79"/>
    </row>
    <row r="761">
      <c r="A761" s="79"/>
      <c r="B761" s="84"/>
      <c r="C761" s="84"/>
      <c r="D761" s="84"/>
      <c r="E761" s="85"/>
      <c r="F761" s="85"/>
      <c r="G761" s="72"/>
      <c r="H761" s="72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6"/>
      <c r="V761" s="86"/>
      <c r="W761" s="86"/>
      <c r="X761" s="86"/>
      <c r="Y761" s="79"/>
      <c r="Z761" s="79"/>
      <c r="AA761" s="79"/>
      <c r="AB761" s="79"/>
    </row>
    <row r="762">
      <c r="A762" s="79"/>
      <c r="B762" s="84"/>
      <c r="C762" s="84"/>
      <c r="D762" s="84"/>
      <c r="E762" s="85"/>
      <c r="F762" s="85"/>
      <c r="G762" s="72"/>
      <c r="H762" s="72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6"/>
      <c r="V762" s="86"/>
      <c r="W762" s="86"/>
      <c r="X762" s="86"/>
      <c r="Y762" s="79"/>
      <c r="Z762" s="79"/>
      <c r="AA762" s="79"/>
      <c r="AB762" s="79"/>
    </row>
    <row r="763">
      <c r="A763" s="79"/>
      <c r="B763" s="84"/>
      <c r="C763" s="84"/>
      <c r="D763" s="84"/>
      <c r="E763" s="85"/>
      <c r="F763" s="85"/>
      <c r="G763" s="72"/>
      <c r="H763" s="72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6"/>
      <c r="V763" s="86"/>
      <c r="W763" s="86"/>
      <c r="X763" s="86"/>
      <c r="Y763" s="79"/>
      <c r="Z763" s="79"/>
      <c r="AA763" s="79"/>
      <c r="AB763" s="79"/>
    </row>
    <row r="764">
      <c r="A764" s="79"/>
      <c r="B764" s="84"/>
      <c r="C764" s="84"/>
      <c r="D764" s="84"/>
      <c r="E764" s="85"/>
      <c r="F764" s="85"/>
      <c r="G764" s="72"/>
      <c r="H764" s="72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6"/>
      <c r="V764" s="86"/>
      <c r="W764" s="86"/>
      <c r="X764" s="86"/>
      <c r="Y764" s="79"/>
      <c r="Z764" s="79"/>
      <c r="AA764" s="79"/>
      <c r="AB764" s="79"/>
    </row>
    <row r="765">
      <c r="A765" s="79"/>
      <c r="B765" s="84"/>
      <c r="C765" s="84"/>
      <c r="D765" s="84"/>
      <c r="E765" s="85"/>
      <c r="F765" s="85"/>
      <c r="G765" s="72"/>
      <c r="H765" s="72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6"/>
      <c r="V765" s="86"/>
      <c r="W765" s="86"/>
      <c r="X765" s="86"/>
      <c r="Y765" s="79"/>
      <c r="Z765" s="79"/>
      <c r="AA765" s="79"/>
      <c r="AB765" s="79"/>
    </row>
    <row r="766">
      <c r="A766" s="79"/>
      <c r="B766" s="84"/>
      <c r="C766" s="84"/>
      <c r="D766" s="84"/>
      <c r="E766" s="85"/>
      <c r="F766" s="85"/>
      <c r="G766" s="72"/>
      <c r="H766" s="72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6"/>
      <c r="V766" s="86"/>
      <c r="W766" s="86"/>
      <c r="X766" s="86"/>
      <c r="Y766" s="79"/>
      <c r="Z766" s="79"/>
      <c r="AA766" s="79"/>
      <c r="AB766" s="79"/>
    </row>
    <row r="767">
      <c r="A767" s="79"/>
      <c r="B767" s="84"/>
      <c r="C767" s="84"/>
      <c r="D767" s="84"/>
      <c r="E767" s="85"/>
      <c r="F767" s="85"/>
      <c r="G767" s="72"/>
      <c r="H767" s="72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6"/>
      <c r="V767" s="86"/>
      <c r="W767" s="86"/>
      <c r="X767" s="86"/>
      <c r="Y767" s="79"/>
      <c r="Z767" s="79"/>
      <c r="AA767" s="79"/>
      <c r="AB767" s="79"/>
    </row>
    <row r="768">
      <c r="A768" s="79"/>
      <c r="B768" s="84"/>
      <c r="C768" s="84"/>
      <c r="D768" s="84"/>
      <c r="E768" s="85"/>
      <c r="F768" s="85"/>
      <c r="G768" s="72"/>
      <c r="H768" s="72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6"/>
      <c r="V768" s="86"/>
      <c r="W768" s="86"/>
      <c r="X768" s="86"/>
      <c r="Y768" s="79"/>
      <c r="Z768" s="79"/>
      <c r="AA768" s="79"/>
      <c r="AB768" s="79"/>
    </row>
    <row r="769">
      <c r="A769" s="79"/>
      <c r="B769" s="84"/>
      <c r="C769" s="84"/>
      <c r="D769" s="84"/>
      <c r="E769" s="85"/>
      <c r="F769" s="85"/>
      <c r="G769" s="72"/>
      <c r="H769" s="72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6"/>
      <c r="V769" s="86"/>
      <c r="W769" s="86"/>
      <c r="X769" s="86"/>
      <c r="Y769" s="79"/>
      <c r="Z769" s="79"/>
      <c r="AA769" s="79"/>
      <c r="AB769" s="79"/>
    </row>
    <row r="770">
      <c r="A770" s="79"/>
      <c r="B770" s="84"/>
      <c r="C770" s="84"/>
      <c r="D770" s="84"/>
      <c r="E770" s="85"/>
      <c r="F770" s="85"/>
      <c r="G770" s="72"/>
      <c r="H770" s="72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6"/>
      <c r="V770" s="86"/>
      <c r="W770" s="86"/>
      <c r="X770" s="86"/>
      <c r="Y770" s="79"/>
      <c r="Z770" s="79"/>
      <c r="AA770" s="79"/>
      <c r="AB770" s="79"/>
    </row>
    <row r="771">
      <c r="A771" s="79"/>
      <c r="B771" s="84"/>
      <c r="C771" s="84"/>
      <c r="D771" s="84"/>
      <c r="E771" s="85"/>
      <c r="F771" s="85"/>
      <c r="G771" s="72"/>
      <c r="H771" s="72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6"/>
      <c r="V771" s="86"/>
      <c r="W771" s="86"/>
      <c r="X771" s="86"/>
      <c r="Y771" s="79"/>
      <c r="Z771" s="79"/>
      <c r="AA771" s="79"/>
      <c r="AB771" s="79"/>
    </row>
    <row r="772">
      <c r="A772" s="79"/>
      <c r="B772" s="84"/>
      <c r="C772" s="84"/>
      <c r="D772" s="84"/>
      <c r="E772" s="85"/>
      <c r="F772" s="85"/>
      <c r="G772" s="72"/>
      <c r="H772" s="72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6"/>
      <c r="V772" s="86"/>
      <c r="W772" s="86"/>
      <c r="X772" s="86"/>
      <c r="Y772" s="79"/>
      <c r="Z772" s="79"/>
      <c r="AA772" s="79"/>
      <c r="AB772" s="79"/>
    </row>
    <row r="773">
      <c r="A773" s="79"/>
      <c r="B773" s="84"/>
      <c r="C773" s="84"/>
      <c r="D773" s="84"/>
      <c r="E773" s="85"/>
      <c r="F773" s="85"/>
      <c r="G773" s="72"/>
      <c r="H773" s="72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6"/>
      <c r="V773" s="86"/>
      <c r="W773" s="86"/>
      <c r="X773" s="86"/>
      <c r="Y773" s="79"/>
      <c r="Z773" s="79"/>
      <c r="AA773" s="79"/>
      <c r="AB773" s="79"/>
    </row>
    <row r="774">
      <c r="A774" s="79"/>
      <c r="B774" s="84"/>
      <c r="C774" s="84"/>
      <c r="D774" s="84"/>
      <c r="E774" s="85"/>
      <c r="F774" s="85"/>
      <c r="G774" s="72"/>
      <c r="H774" s="72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6"/>
      <c r="V774" s="86"/>
      <c r="W774" s="86"/>
      <c r="X774" s="86"/>
      <c r="Y774" s="79"/>
      <c r="Z774" s="79"/>
      <c r="AA774" s="79"/>
      <c r="AB774" s="79"/>
    </row>
    <row r="775">
      <c r="A775" s="79"/>
      <c r="B775" s="84"/>
      <c r="C775" s="84"/>
      <c r="D775" s="84"/>
      <c r="E775" s="85"/>
      <c r="F775" s="85"/>
      <c r="G775" s="72"/>
      <c r="H775" s="72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6"/>
      <c r="V775" s="86"/>
      <c r="W775" s="86"/>
      <c r="X775" s="86"/>
      <c r="Y775" s="79"/>
      <c r="Z775" s="79"/>
      <c r="AA775" s="79"/>
      <c r="AB775" s="79"/>
    </row>
    <row r="776">
      <c r="A776" s="79"/>
      <c r="B776" s="84"/>
      <c r="C776" s="84"/>
      <c r="D776" s="84"/>
      <c r="E776" s="85"/>
      <c r="F776" s="85"/>
      <c r="G776" s="72"/>
      <c r="H776" s="72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6"/>
      <c r="V776" s="86"/>
      <c r="W776" s="86"/>
      <c r="X776" s="86"/>
      <c r="Y776" s="79"/>
      <c r="Z776" s="79"/>
      <c r="AA776" s="79"/>
      <c r="AB776" s="79"/>
    </row>
    <row r="777">
      <c r="A777" s="79"/>
      <c r="B777" s="84"/>
      <c r="C777" s="84"/>
      <c r="D777" s="84"/>
      <c r="E777" s="85"/>
      <c r="F777" s="85"/>
      <c r="G777" s="72"/>
      <c r="H777" s="72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6"/>
      <c r="V777" s="86"/>
      <c r="W777" s="86"/>
      <c r="X777" s="86"/>
      <c r="Y777" s="79"/>
      <c r="Z777" s="79"/>
      <c r="AA777" s="79"/>
      <c r="AB777" s="79"/>
    </row>
    <row r="778">
      <c r="A778" s="79"/>
      <c r="B778" s="84"/>
      <c r="C778" s="84"/>
      <c r="D778" s="84"/>
      <c r="E778" s="85"/>
      <c r="F778" s="85"/>
      <c r="G778" s="72"/>
      <c r="H778" s="72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6"/>
      <c r="V778" s="86"/>
      <c r="W778" s="86"/>
      <c r="X778" s="86"/>
      <c r="Y778" s="79"/>
      <c r="Z778" s="79"/>
      <c r="AA778" s="79"/>
      <c r="AB778" s="79"/>
    </row>
    <row r="779">
      <c r="A779" s="79"/>
      <c r="B779" s="84"/>
      <c r="C779" s="84"/>
      <c r="D779" s="84"/>
      <c r="E779" s="85"/>
      <c r="F779" s="85"/>
      <c r="G779" s="72"/>
      <c r="H779" s="72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6"/>
      <c r="V779" s="86"/>
      <c r="W779" s="86"/>
      <c r="X779" s="86"/>
      <c r="Y779" s="79"/>
      <c r="Z779" s="79"/>
      <c r="AA779" s="79"/>
      <c r="AB779" s="79"/>
    </row>
    <row r="780">
      <c r="A780" s="79"/>
      <c r="B780" s="84"/>
      <c r="C780" s="84"/>
      <c r="D780" s="84"/>
      <c r="E780" s="85"/>
      <c r="F780" s="85"/>
      <c r="G780" s="72"/>
      <c r="H780" s="72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6"/>
      <c r="V780" s="86"/>
      <c r="W780" s="86"/>
      <c r="X780" s="86"/>
      <c r="Y780" s="79"/>
      <c r="Z780" s="79"/>
      <c r="AA780" s="79"/>
      <c r="AB780" s="79"/>
    </row>
    <row r="781">
      <c r="A781" s="79"/>
      <c r="B781" s="84"/>
      <c r="C781" s="84"/>
      <c r="D781" s="84"/>
      <c r="E781" s="85"/>
      <c r="F781" s="85"/>
      <c r="G781" s="72"/>
      <c r="H781" s="72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6"/>
      <c r="V781" s="86"/>
      <c r="W781" s="86"/>
      <c r="X781" s="86"/>
      <c r="Y781" s="79"/>
      <c r="Z781" s="79"/>
      <c r="AA781" s="79"/>
      <c r="AB781" s="79"/>
    </row>
    <row r="782">
      <c r="A782" s="79"/>
      <c r="B782" s="84"/>
      <c r="C782" s="84"/>
      <c r="D782" s="84"/>
      <c r="E782" s="85"/>
      <c r="F782" s="85"/>
      <c r="G782" s="72"/>
      <c r="H782" s="72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6"/>
      <c r="V782" s="86"/>
      <c r="W782" s="86"/>
      <c r="X782" s="86"/>
      <c r="Y782" s="79"/>
      <c r="Z782" s="79"/>
      <c r="AA782" s="79"/>
      <c r="AB782" s="79"/>
    </row>
    <row r="783">
      <c r="A783" s="79"/>
      <c r="B783" s="84"/>
      <c r="C783" s="84"/>
      <c r="D783" s="84"/>
      <c r="E783" s="85"/>
      <c r="F783" s="85"/>
      <c r="G783" s="72"/>
      <c r="H783" s="72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6"/>
      <c r="V783" s="86"/>
      <c r="W783" s="86"/>
      <c r="X783" s="86"/>
      <c r="Y783" s="79"/>
      <c r="Z783" s="79"/>
      <c r="AA783" s="79"/>
      <c r="AB783" s="79"/>
    </row>
    <row r="784">
      <c r="A784" s="79"/>
      <c r="B784" s="84"/>
      <c r="C784" s="84"/>
      <c r="D784" s="84"/>
      <c r="E784" s="85"/>
      <c r="F784" s="85"/>
      <c r="G784" s="72"/>
      <c r="H784" s="72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6"/>
      <c r="V784" s="86"/>
      <c r="W784" s="86"/>
      <c r="X784" s="86"/>
      <c r="Y784" s="79"/>
      <c r="Z784" s="79"/>
      <c r="AA784" s="79"/>
      <c r="AB784" s="79"/>
    </row>
    <row r="785">
      <c r="A785" s="79"/>
      <c r="B785" s="84"/>
      <c r="C785" s="84"/>
      <c r="D785" s="84"/>
      <c r="E785" s="85"/>
      <c r="F785" s="85"/>
      <c r="G785" s="72"/>
      <c r="H785" s="72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6"/>
      <c r="V785" s="86"/>
      <c r="W785" s="86"/>
      <c r="X785" s="86"/>
      <c r="Y785" s="79"/>
      <c r="Z785" s="79"/>
      <c r="AA785" s="79"/>
      <c r="AB785" s="79"/>
    </row>
    <row r="786">
      <c r="A786" s="79"/>
      <c r="B786" s="84"/>
      <c r="C786" s="84"/>
      <c r="D786" s="84"/>
      <c r="E786" s="85"/>
      <c r="F786" s="85"/>
      <c r="G786" s="72"/>
      <c r="H786" s="72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6"/>
      <c r="V786" s="86"/>
      <c r="W786" s="86"/>
      <c r="X786" s="86"/>
      <c r="Y786" s="79"/>
      <c r="Z786" s="79"/>
      <c r="AA786" s="79"/>
      <c r="AB786" s="79"/>
    </row>
    <row r="787">
      <c r="A787" s="79"/>
      <c r="B787" s="84"/>
      <c r="C787" s="84"/>
      <c r="D787" s="84"/>
      <c r="E787" s="85"/>
      <c r="F787" s="85"/>
      <c r="G787" s="72"/>
      <c r="H787" s="72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6"/>
      <c r="V787" s="86"/>
      <c r="W787" s="86"/>
      <c r="X787" s="86"/>
      <c r="Y787" s="79"/>
      <c r="Z787" s="79"/>
      <c r="AA787" s="79"/>
      <c r="AB787" s="79"/>
    </row>
    <row r="788">
      <c r="A788" s="79"/>
      <c r="B788" s="84"/>
      <c r="C788" s="84"/>
      <c r="D788" s="84"/>
      <c r="E788" s="85"/>
      <c r="F788" s="85"/>
      <c r="G788" s="72"/>
      <c r="H788" s="72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6"/>
      <c r="V788" s="86"/>
      <c r="W788" s="86"/>
      <c r="X788" s="86"/>
      <c r="Y788" s="79"/>
      <c r="Z788" s="79"/>
      <c r="AA788" s="79"/>
      <c r="AB788" s="79"/>
    </row>
    <row r="789">
      <c r="A789" s="79"/>
      <c r="B789" s="84"/>
      <c r="C789" s="84"/>
      <c r="D789" s="84"/>
      <c r="E789" s="85"/>
      <c r="F789" s="85"/>
      <c r="G789" s="72"/>
      <c r="H789" s="72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6"/>
      <c r="V789" s="86"/>
      <c r="W789" s="86"/>
      <c r="X789" s="86"/>
      <c r="Y789" s="79"/>
      <c r="Z789" s="79"/>
      <c r="AA789" s="79"/>
      <c r="AB789" s="79"/>
    </row>
    <row r="790">
      <c r="A790" s="79"/>
      <c r="B790" s="84"/>
      <c r="C790" s="84"/>
      <c r="D790" s="84"/>
      <c r="E790" s="85"/>
      <c r="F790" s="85"/>
      <c r="G790" s="72"/>
      <c r="H790" s="72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6"/>
      <c r="V790" s="86"/>
      <c r="W790" s="86"/>
      <c r="X790" s="86"/>
      <c r="Y790" s="79"/>
      <c r="Z790" s="79"/>
      <c r="AA790" s="79"/>
      <c r="AB790" s="79"/>
    </row>
    <row r="791">
      <c r="A791" s="79"/>
      <c r="B791" s="84"/>
      <c r="C791" s="84"/>
      <c r="D791" s="84"/>
      <c r="E791" s="85"/>
      <c r="F791" s="85"/>
      <c r="G791" s="72"/>
      <c r="H791" s="72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6"/>
      <c r="V791" s="86"/>
      <c r="W791" s="86"/>
      <c r="X791" s="86"/>
      <c r="Y791" s="79"/>
      <c r="Z791" s="79"/>
      <c r="AA791" s="79"/>
      <c r="AB791" s="79"/>
    </row>
    <row r="792">
      <c r="A792" s="79"/>
      <c r="B792" s="84"/>
      <c r="C792" s="84"/>
      <c r="D792" s="84"/>
      <c r="E792" s="85"/>
      <c r="F792" s="85"/>
      <c r="G792" s="72"/>
      <c r="H792" s="72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6"/>
      <c r="V792" s="86"/>
      <c r="W792" s="86"/>
      <c r="X792" s="86"/>
      <c r="Y792" s="79"/>
      <c r="Z792" s="79"/>
      <c r="AA792" s="79"/>
      <c r="AB792" s="79"/>
    </row>
    <row r="793">
      <c r="A793" s="79"/>
      <c r="B793" s="84"/>
      <c r="C793" s="84"/>
      <c r="D793" s="84"/>
      <c r="E793" s="85"/>
      <c r="F793" s="85"/>
      <c r="G793" s="72"/>
      <c r="H793" s="72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6"/>
      <c r="V793" s="86"/>
      <c r="W793" s="86"/>
      <c r="X793" s="86"/>
      <c r="Y793" s="79"/>
      <c r="Z793" s="79"/>
      <c r="AA793" s="79"/>
      <c r="AB793" s="79"/>
    </row>
    <row r="794">
      <c r="A794" s="79"/>
      <c r="B794" s="84"/>
      <c r="C794" s="84"/>
      <c r="D794" s="84"/>
      <c r="E794" s="85"/>
      <c r="F794" s="85"/>
      <c r="G794" s="72"/>
      <c r="H794" s="72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6"/>
      <c r="V794" s="86"/>
      <c r="W794" s="86"/>
      <c r="X794" s="86"/>
      <c r="Y794" s="79"/>
      <c r="Z794" s="79"/>
      <c r="AA794" s="79"/>
      <c r="AB794" s="79"/>
    </row>
    <row r="795">
      <c r="A795" s="79"/>
      <c r="B795" s="84"/>
      <c r="C795" s="84"/>
      <c r="D795" s="84"/>
      <c r="E795" s="85"/>
      <c r="F795" s="85"/>
      <c r="G795" s="72"/>
      <c r="H795" s="72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6"/>
      <c r="V795" s="86"/>
      <c r="W795" s="86"/>
      <c r="X795" s="86"/>
      <c r="Y795" s="79"/>
      <c r="Z795" s="79"/>
      <c r="AA795" s="79"/>
      <c r="AB795" s="79"/>
    </row>
    <row r="796">
      <c r="A796" s="79"/>
      <c r="B796" s="84"/>
      <c r="C796" s="84"/>
      <c r="D796" s="84"/>
      <c r="E796" s="85"/>
      <c r="F796" s="85"/>
      <c r="G796" s="72"/>
      <c r="H796" s="72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6"/>
      <c r="V796" s="86"/>
      <c r="W796" s="86"/>
      <c r="X796" s="86"/>
      <c r="Y796" s="79"/>
      <c r="Z796" s="79"/>
      <c r="AA796" s="79"/>
      <c r="AB796" s="79"/>
    </row>
    <row r="797">
      <c r="A797" s="79"/>
      <c r="B797" s="84"/>
      <c r="C797" s="84"/>
      <c r="D797" s="84"/>
      <c r="E797" s="85"/>
      <c r="F797" s="85"/>
      <c r="G797" s="72"/>
      <c r="H797" s="72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6"/>
      <c r="V797" s="86"/>
      <c r="W797" s="86"/>
      <c r="X797" s="86"/>
      <c r="Y797" s="79"/>
      <c r="Z797" s="79"/>
      <c r="AA797" s="79"/>
      <c r="AB797" s="79"/>
    </row>
    <row r="798">
      <c r="A798" s="79"/>
      <c r="B798" s="84"/>
      <c r="C798" s="84"/>
      <c r="D798" s="84"/>
      <c r="E798" s="85"/>
      <c r="F798" s="85"/>
      <c r="G798" s="72"/>
      <c r="H798" s="72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6"/>
      <c r="V798" s="86"/>
      <c r="W798" s="86"/>
      <c r="X798" s="86"/>
      <c r="Y798" s="79"/>
      <c r="Z798" s="79"/>
      <c r="AA798" s="79"/>
      <c r="AB798" s="79"/>
    </row>
    <row r="799">
      <c r="A799" s="79"/>
      <c r="B799" s="84"/>
      <c r="C799" s="84"/>
      <c r="D799" s="84"/>
      <c r="E799" s="85"/>
      <c r="F799" s="85"/>
      <c r="G799" s="72"/>
      <c r="H799" s="72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6"/>
      <c r="V799" s="86"/>
      <c r="W799" s="86"/>
      <c r="X799" s="86"/>
      <c r="Y799" s="79"/>
      <c r="Z799" s="79"/>
      <c r="AA799" s="79"/>
      <c r="AB799" s="79"/>
    </row>
    <row r="800">
      <c r="A800" s="79"/>
      <c r="B800" s="84"/>
      <c r="C800" s="84"/>
      <c r="D800" s="84"/>
      <c r="E800" s="85"/>
      <c r="F800" s="85"/>
      <c r="G800" s="72"/>
      <c r="H800" s="72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6"/>
      <c r="V800" s="86"/>
      <c r="W800" s="86"/>
      <c r="X800" s="86"/>
      <c r="Y800" s="79"/>
      <c r="Z800" s="79"/>
      <c r="AA800" s="79"/>
      <c r="AB800" s="79"/>
    </row>
    <row r="801">
      <c r="A801" s="79"/>
      <c r="B801" s="84"/>
      <c r="C801" s="84"/>
      <c r="D801" s="84"/>
      <c r="E801" s="85"/>
      <c r="F801" s="85"/>
      <c r="G801" s="72"/>
      <c r="H801" s="72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6"/>
      <c r="V801" s="86"/>
      <c r="W801" s="86"/>
      <c r="X801" s="86"/>
      <c r="Y801" s="79"/>
      <c r="Z801" s="79"/>
      <c r="AA801" s="79"/>
      <c r="AB801" s="79"/>
    </row>
    <row r="802">
      <c r="A802" s="79"/>
      <c r="B802" s="84"/>
      <c r="C802" s="84"/>
      <c r="D802" s="84"/>
      <c r="E802" s="85"/>
      <c r="F802" s="85"/>
      <c r="G802" s="72"/>
      <c r="H802" s="72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6"/>
      <c r="V802" s="86"/>
      <c r="W802" s="86"/>
      <c r="X802" s="86"/>
      <c r="Y802" s="79"/>
      <c r="Z802" s="79"/>
      <c r="AA802" s="79"/>
      <c r="AB802" s="79"/>
    </row>
    <row r="803">
      <c r="A803" s="79"/>
      <c r="B803" s="84"/>
      <c r="C803" s="84"/>
      <c r="D803" s="84"/>
      <c r="E803" s="85"/>
      <c r="F803" s="85"/>
      <c r="G803" s="72"/>
      <c r="H803" s="72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6"/>
      <c r="V803" s="86"/>
      <c r="W803" s="86"/>
      <c r="X803" s="86"/>
      <c r="Y803" s="79"/>
      <c r="Z803" s="79"/>
      <c r="AA803" s="79"/>
      <c r="AB803" s="79"/>
    </row>
    <row r="804">
      <c r="A804" s="79"/>
      <c r="B804" s="84"/>
      <c r="C804" s="84"/>
      <c r="D804" s="84"/>
      <c r="E804" s="85"/>
      <c r="F804" s="85"/>
      <c r="G804" s="72"/>
      <c r="H804" s="72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6"/>
      <c r="V804" s="86"/>
      <c r="W804" s="86"/>
      <c r="X804" s="86"/>
      <c r="Y804" s="79"/>
      <c r="Z804" s="79"/>
      <c r="AA804" s="79"/>
      <c r="AB804" s="79"/>
    </row>
    <row r="805">
      <c r="A805" s="79"/>
      <c r="B805" s="84"/>
      <c r="C805" s="84"/>
      <c r="D805" s="84"/>
      <c r="E805" s="85"/>
      <c r="F805" s="85"/>
      <c r="G805" s="72"/>
      <c r="H805" s="72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6"/>
      <c r="V805" s="86"/>
      <c r="W805" s="86"/>
      <c r="X805" s="86"/>
      <c r="Y805" s="79"/>
      <c r="Z805" s="79"/>
      <c r="AA805" s="79"/>
      <c r="AB805" s="79"/>
    </row>
    <row r="806">
      <c r="A806" s="79"/>
      <c r="B806" s="84"/>
      <c r="C806" s="84"/>
      <c r="D806" s="84"/>
      <c r="E806" s="85"/>
      <c r="F806" s="85"/>
      <c r="G806" s="72"/>
      <c r="H806" s="72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6"/>
      <c r="V806" s="86"/>
      <c r="W806" s="86"/>
      <c r="X806" s="86"/>
      <c r="Y806" s="79"/>
      <c r="Z806" s="79"/>
      <c r="AA806" s="79"/>
      <c r="AB806" s="79"/>
    </row>
    <row r="807">
      <c r="A807" s="79"/>
      <c r="B807" s="84"/>
      <c r="C807" s="84"/>
      <c r="D807" s="84"/>
      <c r="E807" s="85"/>
      <c r="F807" s="85"/>
      <c r="G807" s="72"/>
      <c r="H807" s="72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6"/>
      <c r="V807" s="86"/>
      <c r="W807" s="86"/>
      <c r="X807" s="86"/>
      <c r="Y807" s="79"/>
      <c r="Z807" s="79"/>
      <c r="AA807" s="79"/>
      <c r="AB807" s="79"/>
    </row>
    <row r="808">
      <c r="A808" s="79"/>
      <c r="B808" s="84"/>
      <c r="C808" s="84"/>
      <c r="D808" s="84"/>
      <c r="E808" s="85"/>
      <c r="F808" s="85"/>
      <c r="G808" s="72"/>
      <c r="H808" s="72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6"/>
      <c r="V808" s="86"/>
      <c r="W808" s="86"/>
      <c r="X808" s="86"/>
      <c r="Y808" s="79"/>
      <c r="Z808" s="79"/>
      <c r="AA808" s="79"/>
      <c r="AB808" s="79"/>
    </row>
    <row r="809">
      <c r="A809" s="79"/>
      <c r="B809" s="84"/>
      <c r="C809" s="84"/>
      <c r="D809" s="84"/>
      <c r="E809" s="85"/>
      <c r="F809" s="85"/>
      <c r="G809" s="72"/>
      <c r="H809" s="72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6"/>
      <c r="V809" s="86"/>
      <c r="W809" s="86"/>
      <c r="X809" s="86"/>
      <c r="Y809" s="79"/>
      <c r="Z809" s="79"/>
      <c r="AA809" s="79"/>
      <c r="AB809" s="79"/>
    </row>
    <row r="810">
      <c r="A810" s="79"/>
      <c r="B810" s="84"/>
      <c r="C810" s="84"/>
      <c r="D810" s="84"/>
      <c r="E810" s="85"/>
      <c r="F810" s="85"/>
      <c r="G810" s="72"/>
      <c r="H810" s="72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6"/>
      <c r="V810" s="86"/>
      <c r="W810" s="86"/>
      <c r="X810" s="86"/>
      <c r="Y810" s="79"/>
      <c r="Z810" s="79"/>
      <c r="AA810" s="79"/>
      <c r="AB810" s="79"/>
    </row>
    <row r="811">
      <c r="A811" s="79"/>
      <c r="B811" s="84"/>
      <c r="C811" s="84"/>
      <c r="D811" s="84"/>
      <c r="E811" s="85"/>
      <c r="F811" s="85"/>
      <c r="G811" s="72"/>
      <c r="H811" s="72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6"/>
      <c r="V811" s="86"/>
      <c r="W811" s="86"/>
      <c r="X811" s="86"/>
      <c r="Y811" s="79"/>
      <c r="Z811" s="79"/>
      <c r="AA811" s="79"/>
      <c r="AB811" s="79"/>
    </row>
    <row r="812">
      <c r="A812" s="79"/>
      <c r="B812" s="84"/>
      <c r="C812" s="84"/>
      <c r="D812" s="84"/>
      <c r="E812" s="85"/>
      <c r="F812" s="85"/>
      <c r="G812" s="72"/>
      <c r="H812" s="72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6"/>
      <c r="V812" s="86"/>
      <c r="W812" s="86"/>
      <c r="X812" s="86"/>
      <c r="Y812" s="79"/>
      <c r="Z812" s="79"/>
      <c r="AA812" s="79"/>
      <c r="AB812" s="79"/>
    </row>
    <row r="813">
      <c r="A813" s="79"/>
      <c r="B813" s="84"/>
      <c r="C813" s="84"/>
      <c r="D813" s="84"/>
      <c r="E813" s="85"/>
      <c r="F813" s="85"/>
      <c r="G813" s="72"/>
      <c r="H813" s="72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6"/>
      <c r="V813" s="86"/>
      <c r="W813" s="86"/>
      <c r="X813" s="86"/>
      <c r="Y813" s="79"/>
      <c r="Z813" s="79"/>
      <c r="AA813" s="79"/>
      <c r="AB813" s="79"/>
    </row>
    <row r="814">
      <c r="A814" s="79"/>
      <c r="B814" s="84"/>
      <c r="C814" s="84"/>
      <c r="D814" s="84"/>
      <c r="E814" s="85"/>
      <c r="F814" s="85"/>
      <c r="G814" s="72"/>
      <c r="H814" s="72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6"/>
      <c r="V814" s="86"/>
      <c r="W814" s="86"/>
      <c r="X814" s="86"/>
      <c r="Y814" s="79"/>
      <c r="Z814" s="79"/>
      <c r="AA814" s="79"/>
      <c r="AB814" s="79"/>
    </row>
    <row r="815">
      <c r="A815" s="79"/>
      <c r="B815" s="84"/>
      <c r="C815" s="84"/>
      <c r="D815" s="84"/>
      <c r="E815" s="85"/>
      <c r="F815" s="85"/>
      <c r="G815" s="72"/>
      <c r="H815" s="72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6"/>
      <c r="V815" s="86"/>
      <c r="W815" s="86"/>
      <c r="X815" s="86"/>
      <c r="Y815" s="79"/>
      <c r="Z815" s="79"/>
      <c r="AA815" s="79"/>
      <c r="AB815" s="79"/>
    </row>
    <row r="816">
      <c r="A816" s="79"/>
      <c r="B816" s="84"/>
      <c r="C816" s="84"/>
      <c r="D816" s="84"/>
      <c r="E816" s="85"/>
      <c r="F816" s="85"/>
      <c r="G816" s="72"/>
      <c r="H816" s="72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6"/>
      <c r="V816" s="86"/>
      <c r="W816" s="86"/>
      <c r="X816" s="86"/>
      <c r="Y816" s="79"/>
      <c r="Z816" s="79"/>
      <c r="AA816" s="79"/>
      <c r="AB816" s="79"/>
    </row>
    <row r="817">
      <c r="A817" s="79"/>
      <c r="B817" s="84"/>
      <c r="C817" s="84"/>
      <c r="D817" s="84"/>
      <c r="E817" s="85"/>
      <c r="F817" s="85"/>
      <c r="G817" s="72"/>
      <c r="H817" s="72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6"/>
      <c r="V817" s="86"/>
      <c r="W817" s="86"/>
      <c r="X817" s="86"/>
      <c r="Y817" s="79"/>
      <c r="Z817" s="79"/>
      <c r="AA817" s="79"/>
      <c r="AB817" s="79"/>
    </row>
    <row r="818">
      <c r="A818" s="79"/>
      <c r="B818" s="84"/>
      <c r="C818" s="84"/>
      <c r="D818" s="84"/>
      <c r="E818" s="85"/>
      <c r="F818" s="85"/>
      <c r="G818" s="72"/>
      <c r="H818" s="72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6"/>
      <c r="V818" s="86"/>
      <c r="W818" s="86"/>
      <c r="X818" s="86"/>
      <c r="Y818" s="79"/>
      <c r="Z818" s="79"/>
      <c r="AA818" s="79"/>
      <c r="AB818" s="79"/>
    </row>
    <row r="819">
      <c r="A819" s="79"/>
      <c r="B819" s="84"/>
      <c r="C819" s="84"/>
      <c r="D819" s="84"/>
      <c r="E819" s="85"/>
      <c r="F819" s="85"/>
      <c r="G819" s="72"/>
      <c r="H819" s="72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6"/>
      <c r="V819" s="86"/>
      <c r="W819" s="86"/>
      <c r="X819" s="86"/>
      <c r="Y819" s="79"/>
      <c r="Z819" s="79"/>
      <c r="AA819" s="79"/>
      <c r="AB819" s="79"/>
    </row>
    <row r="820">
      <c r="A820" s="79"/>
      <c r="B820" s="84"/>
      <c r="C820" s="84"/>
      <c r="D820" s="84"/>
      <c r="E820" s="85"/>
      <c r="F820" s="85"/>
      <c r="G820" s="72"/>
      <c r="H820" s="72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6"/>
      <c r="V820" s="86"/>
      <c r="W820" s="86"/>
      <c r="X820" s="86"/>
      <c r="Y820" s="79"/>
      <c r="Z820" s="79"/>
      <c r="AA820" s="79"/>
      <c r="AB820" s="79"/>
    </row>
    <row r="821">
      <c r="A821" s="79"/>
      <c r="B821" s="84"/>
      <c r="C821" s="84"/>
      <c r="D821" s="84"/>
      <c r="E821" s="85"/>
      <c r="F821" s="85"/>
      <c r="G821" s="72"/>
      <c r="H821" s="72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6"/>
      <c r="V821" s="86"/>
      <c r="W821" s="86"/>
      <c r="X821" s="86"/>
      <c r="Y821" s="79"/>
      <c r="Z821" s="79"/>
      <c r="AA821" s="79"/>
      <c r="AB821" s="79"/>
    </row>
    <row r="822">
      <c r="A822" s="79"/>
      <c r="B822" s="84"/>
      <c r="C822" s="84"/>
      <c r="D822" s="84"/>
      <c r="E822" s="85"/>
      <c r="F822" s="85"/>
      <c r="G822" s="72"/>
      <c r="H822" s="72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6"/>
      <c r="V822" s="86"/>
      <c r="W822" s="86"/>
      <c r="X822" s="86"/>
      <c r="Y822" s="79"/>
      <c r="Z822" s="79"/>
      <c r="AA822" s="79"/>
      <c r="AB822" s="79"/>
    </row>
    <row r="823">
      <c r="A823" s="79"/>
      <c r="B823" s="84"/>
      <c r="C823" s="84"/>
      <c r="D823" s="84"/>
      <c r="E823" s="85"/>
      <c r="F823" s="85"/>
      <c r="G823" s="72"/>
      <c r="H823" s="72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6"/>
      <c r="V823" s="86"/>
      <c r="W823" s="86"/>
      <c r="X823" s="86"/>
      <c r="Y823" s="79"/>
      <c r="Z823" s="79"/>
      <c r="AA823" s="79"/>
      <c r="AB823" s="79"/>
    </row>
    <row r="824">
      <c r="A824" s="79"/>
      <c r="B824" s="84"/>
      <c r="C824" s="84"/>
      <c r="D824" s="84"/>
      <c r="E824" s="85"/>
      <c r="F824" s="85"/>
      <c r="G824" s="72"/>
      <c r="H824" s="72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6"/>
      <c r="V824" s="86"/>
      <c r="W824" s="86"/>
      <c r="X824" s="86"/>
      <c r="Y824" s="79"/>
      <c r="Z824" s="79"/>
      <c r="AA824" s="79"/>
      <c r="AB824" s="79"/>
    </row>
    <row r="825">
      <c r="A825" s="79"/>
      <c r="B825" s="84"/>
      <c r="C825" s="84"/>
      <c r="D825" s="84"/>
      <c r="E825" s="85"/>
      <c r="F825" s="85"/>
      <c r="G825" s="72"/>
      <c r="H825" s="72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6"/>
      <c r="V825" s="86"/>
      <c r="W825" s="86"/>
      <c r="X825" s="86"/>
      <c r="Y825" s="79"/>
      <c r="Z825" s="79"/>
      <c r="AA825" s="79"/>
      <c r="AB825" s="79"/>
    </row>
    <row r="826">
      <c r="A826" s="79"/>
      <c r="B826" s="84"/>
      <c r="C826" s="84"/>
      <c r="D826" s="84"/>
      <c r="E826" s="85"/>
      <c r="F826" s="85"/>
      <c r="G826" s="72"/>
      <c r="H826" s="72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6"/>
      <c r="V826" s="86"/>
      <c r="W826" s="86"/>
      <c r="X826" s="86"/>
      <c r="Y826" s="79"/>
      <c r="Z826" s="79"/>
      <c r="AA826" s="79"/>
      <c r="AB826" s="79"/>
    </row>
    <row r="827">
      <c r="A827" s="79"/>
      <c r="B827" s="84"/>
      <c r="C827" s="84"/>
      <c r="D827" s="84"/>
      <c r="E827" s="85"/>
      <c r="F827" s="85"/>
      <c r="G827" s="72"/>
      <c r="H827" s="72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6"/>
      <c r="V827" s="86"/>
      <c r="W827" s="86"/>
      <c r="X827" s="86"/>
      <c r="Y827" s="79"/>
      <c r="Z827" s="79"/>
      <c r="AA827" s="79"/>
      <c r="AB827" s="79"/>
    </row>
    <row r="828">
      <c r="A828" s="79"/>
      <c r="B828" s="84"/>
      <c r="C828" s="84"/>
      <c r="D828" s="84"/>
      <c r="E828" s="85"/>
      <c r="F828" s="85"/>
      <c r="G828" s="72"/>
      <c r="H828" s="72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6"/>
      <c r="V828" s="86"/>
      <c r="W828" s="86"/>
      <c r="X828" s="86"/>
      <c r="Y828" s="79"/>
      <c r="Z828" s="79"/>
      <c r="AA828" s="79"/>
      <c r="AB828" s="79"/>
    </row>
    <row r="829">
      <c r="A829" s="79"/>
      <c r="B829" s="84"/>
      <c r="C829" s="84"/>
      <c r="D829" s="84"/>
      <c r="E829" s="85"/>
      <c r="F829" s="85"/>
      <c r="G829" s="72"/>
      <c r="H829" s="72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6"/>
      <c r="V829" s="86"/>
      <c r="W829" s="86"/>
      <c r="X829" s="86"/>
      <c r="Y829" s="79"/>
      <c r="Z829" s="79"/>
      <c r="AA829" s="79"/>
      <c r="AB829" s="79"/>
    </row>
    <row r="830">
      <c r="A830" s="79"/>
      <c r="B830" s="84"/>
      <c r="C830" s="84"/>
      <c r="D830" s="84"/>
      <c r="E830" s="85"/>
      <c r="F830" s="85"/>
      <c r="G830" s="72"/>
      <c r="H830" s="72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6"/>
      <c r="V830" s="86"/>
      <c r="W830" s="86"/>
      <c r="X830" s="86"/>
      <c r="Y830" s="79"/>
      <c r="Z830" s="79"/>
      <c r="AA830" s="79"/>
      <c r="AB830" s="79"/>
    </row>
    <row r="831">
      <c r="A831" s="79"/>
      <c r="B831" s="84"/>
      <c r="C831" s="84"/>
      <c r="D831" s="84"/>
      <c r="E831" s="85"/>
      <c r="F831" s="85"/>
      <c r="G831" s="72"/>
      <c r="H831" s="72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6"/>
      <c r="V831" s="86"/>
      <c r="W831" s="86"/>
      <c r="X831" s="86"/>
      <c r="Y831" s="79"/>
      <c r="Z831" s="79"/>
      <c r="AA831" s="79"/>
      <c r="AB831" s="79"/>
    </row>
    <row r="832">
      <c r="A832" s="79"/>
      <c r="B832" s="84"/>
      <c r="C832" s="84"/>
      <c r="D832" s="84"/>
      <c r="E832" s="85"/>
      <c r="F832" s="85"/>
      <c r="G832" s="72"/>
      <c r="H832" s="72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6"/>
      <c r="V832" s="86"/>
      <c r="W832" s="86"/>
      <c r="X832" s="86"/>
      <c r="Y832" s="79"/>
      <c r="Z832" s="79"/>
      <c r="AA832" s="79"/>
      <c r="AB832" s="79"/>
    </row>
    <row r="833">
      <c r="A833" s="79"/>
      <c r="B833" s="84"/>
      <c r="C833" s="84"/>
      <c r="D833" s="84"/>
      <c r="E833" s="85"/>
      <c r="F833" s="85"/>
      <c r="G833" s="72"/>
      <c r="H833" s="72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6"/>
      <c r="V833" s="86"/>
      <c r="W833" s="86"/>
      <c r="X833" s="86"/>
      <c r="Y833" s="79"/>
      <c r="Z833" s="79"/>
      <c r="AA833" s="79"/>
      <c r="AB833" s="79"/>
    </row>
    <row r="834">
      <c r="A834" s="79"/>
      <c r="B834" s="84"/>
      <c r="C834" s="84"/>
      <c r="D834" s="84"/>
      <c r="E834" s="85"/>
      <c r="F834" s="85"/>
      <c r="G834" s="72"/>
      <c r="H834" s="72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6"/>
      <c r="V834" s="86"/>
      <c r="W834" s="86"/>
      <c r="X834" s="86"/>
      <c r="Y834" s="79"/>
      <c r="Z834" s="79"/>
      <c r="AA834" s="79"/>
      <c r="AB834" s="79"/>
    </row>
    <row r="835">
      <c r="A835" s="79"/>
      <c r="B835" s="84"/>
      <c r="C835" s="84"/>
      <c r="D835" s="84"/>
      <c r="E835" s="85"/>
      <c r="F835" s="85"/>
      <c r="G835" s="72"/>
      <c r="H835" s="72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6"/>
      <c r="V835" s="86"/>
      <c r="W835" s="86"/>
      <c r="X835" s="86"/>
      <c r="Y835" s="79"/>
      <c r="Z835" s="79"/>
      <c r="AA835" s="79"/>
      <c r="AB835" s="79"/>
    </row>
    <row r="836">
      <c r="A836" s="79"/>
      <c r="B836" s="84"/>
      <c r="C836" s="84"/>
      <c r="D836" s="84"/>
      <c r="E836" s="85"/>
      <c r="F836" s="85"/>
      <c r="G836" s="72"/>
      <c r="H836" s="72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6"/>
      <c r="V836" s="86"/>
      <c r="W836" s="86"/>
      <c r="X836" s="86"/>
      <c r="Y836" s="79"/>
      <c r="Z836" s="79"/>
      <c r="AA836" s="79"/>
      <c r="AB836" s="79"/>
    </row>
    <row r="837">
      <c r="A837" s="79"/>
      <c r="B837" s="84"/>
      <c r="C837" s="84"/>
      <c r="D837" s="84"/>
      <c r="E837" s="85"/>
      <c r="F837" s="85"/>
      <c r="G837" s="72"/>
      <c r="H837" s="72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6"/>
      <c r="V837" s="86"/>
      <c r="W837" s="86"/>
      <c r="X837" s="86"/>
      <c r="Y837" s="79"/>
      <c r="Z837" s="79"/>
      <c r="AA837" s="79"/>
      <c r="AB837" s="79"/>
    </row>
    <row r="838">
      <c r="A838" s="79"/>
      <c r="B838" s="84"/>
      <c r="C838" s="84"/>
      <c r="D838" s="84"/>
      <c r="E838" s="85"/>
      <c r="F838" s="85"/>
      <c r="G838" s="72"/>
      <c r="H838" s="72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6"/>
      <c r="V838" s="86"/>
      <c r="W838" s="86"/>
      <c r="X838" s="86"/>
      <c r="Y838" s="79"/>
      <c r="Z838" s="79"/>
      <c r="AA838" s="79"/>
      <c r="AB838" s="79"/>
    </row>
    <row r="839">
      <c r="A839" s="79"/>
      <c r="B839" s="84"/>
      <c r="C839" s="84"/>
      <c r="D839" s="84"/>
      <c r="E839" s="85"/>
      <c r="F839" s="85"/>
      <c r="G839" s="72"/>
      <c r="H839" s="72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6"/>
      <c r="V839" s="86"/>
      <c r="W839" s="86"/>
      <c r="X839" s="86"/>
      <c r="Y839" s="79"/>
      <c r="Z839" s="79"/>
      <c r="AA839" s="79"/>
      <c r="AB839" s="79"/>
    </row>
    <row r="840">
      <c r="A840" s="79"/>
      <c r="B840" s="84"/>
      <c r="C840" s="84"/>
      <c r="D840" s="84"/>
      <c r="E840" s="85"/>
      <c r="F840" s="85"/>
      <c r="G840" s="72"/>
      <c r="H840" s="72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6"/>
      <c r="V840" s="86"/>
      <c r="W840" s="86"/>
      <c r="X840" s="86"/>
      <c r="Y840" s="79"/>
      <c r="Z840" s="79"/>
      <c r="AA840" s="79"/>
      <c r="AB840" s="79"/>
    </row>
    <row r="841">
      <c r="A841" s="79"/>
      <c r="B841" s="84"/>
      <c r="C841" s="84"/>
      <c r="D841" s="84"/>
      <c r="E841" s="85"/>
      <c r="F841" s="85"/>
      <c r="G841" s="72"/>
      <c r="H841" s="72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6"/>
      <c r="V841" s="86"/>
      <c r="W841" s="86"/>
      <c r="X841" s="86"/>
      <c r="Y841" s="79"/>
      <c r="Z841" s="79"/>
      <c r="AA841" s="79"/>
      <c r="AB841" s="79"/>
    </row>
    <row r="842">
      <c r="A842" s="79"/>
      <c r="B842" s="84"/>
      <c r="C842" s="84"/>
      <c r="D842" s="84"/>
      <c r="E842" s="85"/>
      <c r="F842" s="85"/>
      <c r="G842" s="72"/>
      <c r="H842" s="72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6"/>
      <c r="V842" s="86"/>
      <c r="W842" s="86"/>
      <c r="X842" s="86"/>
      <c r="Y842" s="79"/>
      <c r="Z842" s="79"/>
      <c r="AA842" s="79"/>
      <c r="AB842" s="79"/>
    </row>
    <row r="843">
      <c r="A843" s="79"/>
      <c r="B843" s="84"/>
      <c r="C843" s="84"/>
      <c r="D843" s="84"/>
      <c r="E843" s="85"/>
      <c r="F843" s="85"/>
      <c r="G843" s="72"/>
      <c r="H843" s="72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6"/>
      <c r="V843" s="86"/>
      <c r="W843" s="86"/>
      <c r="X843" s="86"/>
      <c r="Y843" s="79"/>
      <c r="Z843" s="79"/>
      <c r="AA843" s="79"/>
      <c r="AB843" s="79"/>
    </row>
    <row r="844">
      <c r="A844" s="79"/>
      <c r="B844" s="84"/>
      <c r="C844" s="84"/>
      <c r="D844" s="84"/>
      <c r="E844" s="85"/>
      <c r="F844" s="85"/>
      <c r="G844" s="72"/>
      <c r="H844" s="72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6"/>
      <c r="V844" s="86"/>
      <c r="W844" s="86"/>
      <c r="X844" s="86"/>
      <c r="Y844" s="79"/>
      <c r="Z844" s="79"/>
      <c r="AA844" s="79"/>
      <c r="AB844" s="79"/>
    </row>
    <row r="845">
      <c r="A845" s="79"/>
      <c r="B845" s="84"/>
      <c r="C845" s="84"/>
      <c r="D845" s="84"/>
      <c r="E845" s="85"/>
      <c r="F845" s="85"/>
      <c r="G845" s="72"/>
      <c r="H845" s="72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6"/>
      <c r="V845" s="86"/>
      <c r="W845" s="86"/>
      <c r="X845" s="86"/>
      <c r="Y845" s="79"/>
      <c r="Z845" s="79"/>
      <c r="AA845" s="79"/>
      <c r="AB845" s="79"/>
    </row>
    <row r="846">
      <c r="A846" s="79"/>
      <c r="B846" s="84"/>
      <c r="C846" s="84"/>
      <c r="D846" s="84"/>
      <c r="E846" s="85"/>
      <c r="F846" s="85"/>
      <c r="G846" s="72"/>
      <c r="H846" s="72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6"/>
      <c r="V846" s="86"/>
      <c r="W846" s="86"/>
      <c r="X846" s="86"/>
      <c r="Y846" s="79"/>
      <c r="Z846" s="79"/>
      <c r="AA846" s="79"/>
      <c r="AB846" s="79"/>
    </row>
    <row r="847">
      <c r="A847" s="79"/>
      <c r="B847" s="84"/>
      <c r="C847" s="84"/>
      <c r="D847" s="84"/>
      <c r="E847" s="85"/>
      <c r="F847" s="85"/>
      <c r="G847" s="72"/>
      <c r="H847" s="72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6"/>
      <c r="V847" s="86"/>
      <c r="W847" s="86"/>
      <c r="X847" s="86"/>
      <c r="Y847" s="79"/>
      <c r="Z847" s="79"/>
      <c r="AA847" s="79"/>
      <c r="AB847" s="79"/>
    </row>
    <row r="848">
      <c r="A848" s="79"/>
      <c r="B848" s="84"/>
      <c r="C848" s="84"/>
      <c r="D848" s="84"/>
      <c r="E848" s="85"/>
      <c r="F848" s="85"/>
      <c r="G848" s="72"/>
      <c r="H848" s="72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6"/>
      <c r="V848" s="86"/>
      <c r="W848" s="86"/>
      <c r="X848" s="86"/>
      <c r="Y848" s="79"/>
      <c r="Z848" s="79"/>
      <c r="AA848" s="79"/>
      <c r="AB848" s="79"/>
    </row>
    <row r="849">
      <c r="A849" s="79"/>
      <c r="B849" s="84"/>
      <c r="C849" s="84"/>
      <c r="D849" s="84"/>
      <c r="E849" s="85"/>
      <c r="F849" s="85"/>
      <c r="G849" s="72"/>
      <c r="H849" s="72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6"/>
      <c r="V849" s="86"/>
      <c r="W849" s="86"/>
      <c r="X849" s="86"/>
      <c r="Y849" s="79"/>
      <c r="Z849" s="79"/>
      <c r="AA849" s="79"/>
      <c r="AB849" s="79"/>
    </row>
    <row r="850">
      <c r="A850" s="79"/>
      <c r="B850" s="84"/>
      <c r="C850" s="84"/>
      <c r="D850" s="84"/>
      <c r="E850" s="85"/>
      <c r="F850" s="85"/>
      <c r="G850" s="72"/>
      <c r="H850" s="72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6"/>
      <c r="V850" s="86"/>
      <c r="W850" s="86"/>
      <c r="X850" s="86"/>
      <c r="Y850" s="79"/>
      <c r="Z850" s="79"/>
      <c r="AA850" s="79"/>
      <c r="AB850" s="79"/>
    </row>
    <row r="851">
      <c r="A851" s="79"/>
      <c r="B851" s="84"/>
      <c r="C851" s="84"/>
      <c r="D851" s="84"/>
      <c r="E851" s="85"/>
      <c r="F851" s="85"/>
      <c r="G851" s="72"/>
      <c r="H851" s="72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6"/>
      <c r="V851" s="86"/>
      <c r="W851" s="86"/>
      <c r="X851" s="86"/>
      <c r="Y851" s="79"/>
      <c r="Z851" s="79"/>
      <c r="AA851" s="79"/>
      <c r="AB851" s="79"/>
    </row>
    <row r="852">
      <c r="A852" s="79"/>
      <c r="B852" s="84"/>
      <c r="C852" s="84"/>
      <c r="D852" s="84"/>
      <c r="E852" s="85"/>
      <c r="F852" s="85"/>
      <c r="G852" s="72"/>
      <c r="H852" s="72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6"/>
      <c r="V852" s="86"/>
      <c r="W852" s="86"/>
      <c r="X852" s="86"/>
      <c r="Y852" s="79"/>
      <c r="Z852" s="79"/>
      <c r="AA852" s="79"/>
      <c r="AB852" s="79"/>
    </row>
    <row r="853">
      <c r="A853" s="79"/>
      <c r="B853" s="84"/>
      <c r="C853" s="84"/>
      <c r="D853" s="84"/>
      <c r="E853" s="85"/>
      <c r="F853" s="85"/>
      <c r="G853" s="72"/>
      <c r="H853" s="72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6"/>
      <c r="V853" s="86"/>
      <c r="W853" s="86"/>
      <c r="X853" s="86"/>
      <c r="Y853" s="79"/>
      <c r="Z853" s="79"/>
      <c r="AA853" s="79"/>
      <c r="AB853" s="79"/>
    </row>
    <row r="854">
      <c r="A854" s="79"/>
      <c r="B854" s="84"/>
      <c r="C854" s="84"/>
      <c r="D854" s="84"/>
      <c r="E854" s="85"/>
      <c r="F854" s="85"/>
      <c r="G854" s="72"/>
      <c r="H854" s="72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6"/>
      <c r="V854" s="86"/>
      <c r="W854" s="86"/>
      <c r="X854" s="86"/>
      <c r="Y854" s="79"/>
      <c r="Z854" s="79"/>
      <c r="AA854" s="79"/>
      <c r="AB854" s="79"/>
    </row>
    <row r="855">
      <c r="A855" s="79"/>
      <c r="B855" s="84"/>
      <c r="C855" s="84"/>
      <c r="D855" s="84"/>
      <c r="E855" s="85"/>
      <c r="F855" s="85"/>
      <c r="G855" s="72"/>
      <c r="H855" s="72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6"/>
      <c r="V855" s="86"/>
      <c r="W855" s="86"/>
      <c r="X855" s="86"/>
      <c r="Y855" s="79"/>
      <c r="Z855" s="79"/>
      <c r="AA855" s="79"/>
      <c r="AB855" s="79"/>
    </row>
    <row r="856">
      <c r="A856" s="79"/>
      <c r="B856" s="84"/>
      <c r="C856" s="84"/>
      <c r="D856" s="84"/>
      <c r="E856" s="85"/>
      <c r="F856" s="85"/>
      <c r="G856" s="72"/>
      <c r="H856" s="72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6"/>
      <c r="V856" s="86"/>
      <c r="W856" s="86"/>
      <c r="X856" s="86"/>
      <c r="Y856" s="79"/>
      <c r="Z856" s="79"/>
      <c r="AA856" s="79"/>
      <c r="AB856" s="79"/>
    </row>
    <row r="857">
      <c r="A857" s="79"/>
      <c r="B857" s="84"/>
      <c r="C857" s="84"/>
      <c r="D857" s="84"/>
      <c r="E857" s="85"/>
      <c r="F857" s="85"/>
      <c r="G857" s="72"/>
      <c r="H857" s="72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6"/>
      <c r="V857" s="86"/>
      <c r="W857" s="86"/>
      <c r="X857" s="86"/>
      <c r="Y857" s="79"/>
      <c r="Z857" s="79"/>
      <c r="AA857" s="79"/>
      <c r="AB857" s="79"/>
    </row>
    <row r="858">
      <c r="A858" s="79"/>
      <c r="B858" s="84"/>
      <c r="C858" s="84"/>
      <c r="D858" s="84"/>
      <c r="E858" s="85"/>
      <c r="F858" s="85"/>
      <c r="G858" s="72"/>
      <c r="H858" s="72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6"/>
      <c r="V858" s="86"/>
      <c r="W858" s="86"/>
      <c r="X858" s="86"/>
      <c r="Y858" s="79"/>
      <c r="Z858" s="79"/>
      <c r="AA858" s="79"/>
      <c r="AB858" s="79"/>
    </row>
    <row r="859">
      <c r="A859" s="79"/>
      <c r="B859" s="84"/>
      <c r="C859" s="84"/>
      <c r="D859" s="84"/>
      <c r="E859" s="85"/>
      <c r="F859" s="85"/>
      <c r="G859" s="72"/>
      <c r="H859" s="72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6"/>
      <c r="V859" s="86"/>
      <c r="W859" s="86"/>
      <c r="X859" s="86"/>
      <c r="Y859" s="79"/>
      <c r="Z859" s="79"/>
      <c r="AA859" s="79"/>
      <c r="AB859" s="79"/>
    </row>
    <row r="860">
      <c r="A860" s="79"/>
      <c r="B860" s="84"/>
      <c r="C860" s="84"/>
      <c r="D860" s="84"/>
      <c r="E860" s="85"/>
      <c r="F860" s="85"/>
      <c r="G860" s="72"/>
      <c r="H860" s="72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6"/>
      <c r="V860" s="86"/>
      <c r="W860" s="86"/>
      <c r="X860" s="86"/>
      <c r="Y860" s="79"/>
      <c r="Z860" s="79"/>
      <c r="AA860" s="79"/>
      <c r="AB860" s="79"/>
    </row>
    <row r="861">
      <c r="A861" s="79"/>
      <c r="B861" s="84"/>
      <c r="C861" s="84"/>
      <c r="D861" s="84"/>
      <c r="E861" s="85"/>
      <c r="F861" s="85"/>
      <c r="G861" s="72"/>
      <c r="H861" s="72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6"/>
      <c r="V861" s="86"/>
      <c r="W861" s="86"/>
      <c r="X861" s="86"/>
      <c r="Y861" s="79"/>
      <c r="Z861" s="79"/>
      <c r="AA861" s="79"/>
      <c r="AB861" s="79"/>
    </row>
    <row r="862">
      <c r="A862" s="79"/>
      <c r="B862" s="84"/>
      <c r="C862" s="84"/>
      <c r="D862" s="84"/>
      <c r="E862" s="85"/>
      <c r="F862" s="85"/>
      <c r="G862" s="72"/>
      <c r="H862" s="72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6"/>
      <c r="V862" s="86"/>
      <c r="W862" s="86"/>
      <c r="X862" s="86"/>
      <c r="Y862" s="79"/>
      <c r="Z862" s="79"/>
      <c r="AA862" s="79"/>
      <c r="AB862" s="79"/>
    </row>
    <row r="863">
      <c r="A863" s="79"/>
      <c r="B863" s="84"/>
      <c r="C863" s="84"/>
      <c r="D863" s="84"/>
      <c r="E863" s="85"/>
      <c r="F863" s="85"/>
      <c r="G863" s="72"/>
      <c r="H863" s="72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6"/>
      <c r="V863" s="86"/>
      <c r="W863" s="86"/>
      <c r="X863" s="86"/>
      <c r="Y863" s="79"/>
      <c r="Z863" s="79"/>
      <c r="AA863" s="79"/>
      <c r="AB863" s="79"/>
    </row>
    <row r="864">
      <c r="A864" s="79"/>
      <c r="B864" s="84"/>
      <c r="C864" s="84"/>
      <c r="D864" s="84"/>
      <c r="E864" s="85"/>
      <c r="F864" s="85"/>
      <c r="G864" s="72"/>
      <c r="H864" s="72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6"/>
      <c r="V864" s="86"/>
      <c r="W864" s="86"/>
      <c r="X864" s="86"/>
      <c r="Y864" s="79"/>
      <c r="Z864" s="79"/>
      <c r="AA864" s="79"/>
      <c r="AB864" s="79"/>
    </row>
    <row r="865">
      <c r="A865" s="79"/>
      <c r="B865" s="84"/>
      <c r="C865" s="84"/>
      <c r="D865" s="84"/>
      <c r="E865" s="85"/>
      <c r="F865" s="85"/>
      <c r="G865" s="72"/>
      <c r="H865" s="72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6"/>
      <c r="V865" s="86"/>
      <c r="W865" s="86"/>
      <c r="X865" s="86"/>
      <c r="Y865" s="79"/>
      <c r="Z865" s="79"/>
      <c r="AA865" s="79"/>
      <c r="AB865" s="79"/>
    </row>
    <row r="866">
      <c r="A866" s="79"/>
      <c r="B866" s="84"/>
      <c r="C866" s="84"/>
      <c r="D866" s="84"/>
      <c r="E866" s="85"/>
      <c r="F866" s="85"/>
      <c r="G866" s="72"/>
      <c r="H866" s="72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6"/>
      <c r="V866" s="86"/>
      <c r="W866" s="86"/>
      <c r="X866" s="86"/>
      <c r="Y866" s="79"/>
      <c r="Z866" s="79"/>
      <c r="AA866" s="79"/>
      <c r="AB866" s="79"/>
    </row>
    <row r="867">
      <c r="A867" s="79"/>
      <c r="B867" s="84"/>
      <c r="C867" s="84"/>
      <c r="D867" s="84"/>
      <c r="E867" s="85"/>
      <c r="F867" s="85"/>
      <c r="G867" s="72"/>
      <c r="H867" s="72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6"/>
      <c r="V867" s="86"/>
      <c r="W867" s="86"/>
      <c r="X867" s="86"/>
      <c r="Y867" s="79"/>
      <c r="Z867" s="79"/>
      <c r="AA867" s="79"/>
      <c r="AB867" s="79"/>
    </row>
    <row r="868">
      <c r="A868" s="79"/>
      <c r="B868" s="84"/>
      <c r="C868" s="84"/>
      <c r="D868" s="84"/>
      <c r="E868" s="85"/>
      <c r="F868" s="85"/>
      <c r="G868" s="72"/>
      <c r="H868" s="72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6"/>
      <c r="V868" s="86"/>
      <c r="W868" s="86"/>
      <c r="X868" s="86"/>
      <c r="Y868" s="79"/>
      <c r="Z868" s="79"/>
      <c r="AA868" s="79"/>
      <c r="AB868" s="79"/>
    </row>
    <row r="869">
      <c r="A869" s="79"/>
      <c r="B869" s="84"/>
      <c r="C869" s="84"/>
      <c r="D869" s="84"/>
      <c r="E869" s="85"/>
      <c r="F869" s="85"/>
      <c r="G869" s="72"/>
      <c r="H869" s="72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6"/>
      <c r="V869" s="86"/>
      <c r="W869" s="86"/>
      <c r="X869" s="86"/>
      <c r="Y869" s="79"/>
      <c r="Z869" s="79"/>
      <c r="AA869" s="79"/>
      <c r="AB869" s="79"/>
    </row>
    <row r="870">
      <c r="A870" s="79"/>
      <c r="B870" s="84"/>
      <c r="C870" s="84"/>
      <c r="D870" s="84"/>
      <c r="E870" s="85"/>
      <c r="F870" s="85"/>
      <c r="G870" s="72"/>
      <c r="H870" s="72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6"/>
      <c r="V870" s="86"/>
      <c r="W870" s="86"/>
      <c r="X870" s="86"/>
      <c r="Y870" s="79"/>
      <c r="Z870" s="79"/>
      <c r="AA870" s="79"/>
      <c r="AB870" s="79"/>
    </row>
    <row r="871">
      <c r="A871" s="79"/>
      <c r="B871" s="84"/>
      <c r="C871" s="84"/>
      <c r="D871" s="84"/>
      <c r="E871" s="85"/>
      <c r="F871" s="85"/>
      <c r="G871" s="72"/>
      <c r="H871" s="72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6"/>
      <c r="V871" s="86"/>
      <c r="W871" s="86"/>
      <c r="X871" s="86"/>
      <c r="Y871" s="79"/>
      <c r="Z871" s="79"/>
      <c r="AA871" s="79"/>
      <c r="AB871" s="79"/>
    </row>
    <row r="872">
      <c r="A872" s="79"/>
      <c r="B872" s="84"/>
      <c r="C872" s="84"/>
      <c r="D872" s="84"/>
      <c r="E872" s="85"/>
      <c r="F872" s="85"/>
      <c r="G872" s="72"/>
      <c r="H872" s="72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6"/>
      <c r="V872" s="86"/>
      <c r="W872" s="86"/>
      <c r="X872" s="86"/>
      <c r="Y872" s="79"/>
      <c r="Z872" s="79"/>
      <c r="AA872" s="79"/>
      <c r="AB872" s="79"/>
    </row>
    <row r="873">
      <c r="A873" s="79"/>
      <c r="B873" s="84"/>
      <c r="C873" s="84"/>
      <c r="D873" s="84"/>
      <c r="E873" s="85"/>
      <c r="F873" s="85"/>
      <c r="G873" s="72"/>
      <c r="H873" s="72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6"/>
      <c r="V873" s="86"/>
      <c r="W873" s="86"/>
      <c r="X873" s="86"/>
      <c r="Y873" s="79"/>
      <c r="Z873" s="79"/>
      <c r="AA873" s="79"/>
      <c r="AB873" s="79"/>
    </row>
    <row r="874">
      <c r="A874" s="79"/>
      <c r="B874" s="84"/>
      <c r="C874" s="84"/>
      <c r="D874" s="84"/>
      <c r="E874" s="85"/>
      <c r="F874" s="85"/>
      <c r="G874" s="72"/>
      <c r="H874" s="72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6"/>
      <c r="V874" s="86"/>
      <c r="W874" s="86"/>
      <c r="X874" s="86"/>
      <c r="Y874" s="79"/>
      <c r="Z874" s="79"/>
      <c r="AA874" s="79"/>
      <c r="AB874" s="79"/>
    </row>
    <row r="875">
      <c r="A875" s="79"/>
      <c r="B875" s="84"/>
      <c r="C875" s="84"/>
      <c r="D875" s="84"/>
      <c r="E875" s="85"/>
      <c r="F875" s="85"/>
      <c r="G875" s="72"/>
      <c r="H875" s="72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6"/>
      <c r="V875" s="86"/>
      <c r="W875" s="86"/>
      <c r="X875" s="86"/>
      <c r="Y875" s="79"/>
      <c r="Z875" s="79"/>
      <c r="AA875" s="79"/>
      <c r="AB875" s="79"/>
    </row>
    <row r="876">
      <c r="A876" s="79"/>
      <c r="B876" s="84"/>
      <c r="C876" s="84"/>
      <c r="D876" s="84"/>
      <c r="E876" s="85"/>
      <c r="F876" s="85"/>
      <c r="G876" s="72"/>
      <c r="H876" s="72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6"/>
      <c r="V876" s="86"/>
      <c r="W876" s="86"/>
      <c r="X876" s="86"/>
      <c r="Y876" s="79"/>
      <c r="Z876" s="79"/>
      <c r="AA876" s="79"/>
      <c r="AB876" s="79"/>
    </row>
    <row r="877">
      <c r="A877" s="79"/>
      <c r="B877" s="84"/>
      <c r="C877" s="84"/>
      <c r="D877" s="84"/>
      <c r="E877" s="85"/>
      <c r="F877" s="85"/>
      <c r="G877" s="72"/>
      <c r="H877" s="72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6"/>
      <c r="V877" s="86"/>
      <c r="W877" s="86"/>
      <c r="X877" s="86"/>
      <c r="Y877" s="79"/>
      <c r="Z877" s="79"/>
      <c r="AA877" s="79"/>
      <c r="AB877" s="79"/>
    </row>
    <row r="878">
      <c r="A878" s="79"/>
      <c r="B878" s="84"/>
      <c r="C878" s="84"/>
      <c r="D878" s="84"/>
      <c r="E878" s="85"/>
      <c r="F878" s="85"/>
      <c r="G878" s="72"/>
      <c r="H878" s="72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6"/>
      <c r="V878" s="86"/>
      <c r="W878" s="86"/>
      <c r="X878" s="86"/>
      <c r="Y878" s="79"/>
      <c r="Z878" s="79"/>
      <c r="AA878" s="79"/>
      <c r="AB878" s="79"/>
    </row>
    <row r="879">
      <c r="A879" s="79"/>
      <c r="B879" s="84"/>
      <c r="C879" s="84"/>
      <c r="D879" s="84"/>
      <c r="E879" s="85"/>
      <c r="F879" s="85"/>
      <c r="G879" s="72"/>
      <c r="H879" s="72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6"/>
      <c r="V879" s="86"/>
      <c r="W879" s="86"/>
      <c r="X879" s="86"/>
      <c r="Y879" s="79"/>
      <c r="Z879" s="79"/>
      <c r="AA879" s="79"/>
      <c r="AB879" s="79"/>
    </row>
    <row r="880">
      <c r="A880" s="79"/>
      <c r="B880" s="84"/>
      <c r="C880" s="84"/>
      <c r="D880" s="84"/>
      <c r="E880" s="85"/>
      <c r="F880" s="85"/>
      <c r="G880" s="72"/>
      <c r="H880" s="72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6"/>
      <c r="V880" s="86"/>
      <c r="W880" s="86"/>
      <c r="X880" s="86"/>
      <c r="Y880" s="79"/>
      <c r="Z880" s="79"/>
      <c r="AA880" s="79"/>
      <c r="AB880" s="79"/>
    </row>
    <row r="881">
      <c r="A881" s="79"/>
      <c r="B881" s="84"/>
      <c r="C881" s="84"/>
      <c r="D881" s="84"/>
      <c r="E881" s="85"/>
      <c r="F881" s="85"/>
      <c r="G881" s="72"/>
      <c r="H881" s="72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6"/>
      <c r="V881" s="86"/>
      <c r="W881" s="86"/>
      <c r="X881" s="86"/>
      <c r="Y881" s="79"/>
      <c r="Z881" s="79"/>
      <c r="AA881" s="79"/>
      <c r="AB881" s="79"/>
    </row>
    <row r="882">
      <c r="A882" s="79"/>
      <c r="B882" s="84"/>
      <c r="C882" s="84"/>
      <c r="D882" s="84"/>
      <c r="E882" s="85"/>
      <c r="F882" s="85"/>
      <c r="G882" s="72"/>
      <c r="H882" s="72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6"/>
      <c r="V882" s="86"/>
      <c r="W882" s="86"/>
      <c r="X882" s="86"/>
      <c r="Y882" s="79"/>
      <c r="Z882" s="79"/>
      <c r="AA882" s="79"/>
      <c r="AB882" s="79"/>
    </row>
    <row r="883">
      <c r="A883" s="79"/>
      <c r="B883" s="84"/>
      <c r="C883" s="84"/>
      <c r="D883" s="84"/>
      <c r="E883" s="85"/>
      <c r="F883" s="85"/>
      <c r="G883" s="72"/>
      <c r="H883" s="72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6"/>
      <c r="V883" s="86"/>
      <c r="W883" s="86"/>
      <c r="X883" s="86"/>
      <c r="Y883" s="79"/>
      <c r="Z883" s="79"/>
      <c r="AA883" s="79"/>
      <c r="AB883" s="79"/>
    </row>
    <row r="884">
      <c r="A884" s="79"/>
      <c r="B884" s="84"/>
      <c r="C884" s="84"/>
      <c r="D884" s="84"/>
      <c r="E884" s="85"/>
      <c r="F884" s="85"/>
      <c r="G884" s="72"/>
      <c r="H884" s="72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6"/>
      <c r="V884" s="86"/>
      <c r="W884" s="86"/>
      <c r="X884" s="86"/>
      <c r="Y884" s="79"/>
      <c r="Z884" s="79"/>
      <c r="AA884" s="79"/>
      <c r="AB884" s="79"/>
    </row>
    <row r="885">
      <c r="A885" s="79"/>
      <c r="B885" s="84"/>
      <c r="C885" s="84"/>
      <c r="D885" s="84"/>
      <c r="E885" s="85"/>
      <c r="F885" s="85"/>
      <c r="G885" s="72"/>
      <c r="H885" s="72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6"/>
      <c r="V885" s="86"/>
      <c r="W885" s="86"/>
      <c r="X885" s="86"/>
      <c r="Y885" s="79"/>
      <c r="Z885" s="79"/>
      <c r="AA885" s="79"/>
      <c r="AB885" s="79"/>
    </row>
    <row r="886">
      <c r="A886" s="79"/>
      <c r="B886" s="84"/>
      <c r="C886" s="84"/>
      <c r="D886" s="84"/>
      <c r="E886" s="85"/>
      <c r="F886" s="85"/>
      <c r="G886" s="72"/>
      <c r="H886" s="72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6"/>
      <c r="V886" s="86"/>
      <c r="W886" s="86"/>
      <c r="X886" s="86"/>
      <c r="Y886" s="79"/>
      <c r="Z886" s="79"/>
      <c r="AA886" s="79"/>
      <c r="AB886" s="79"/>
    </row>
    <row r="887">
      <c r="A887" s="79"/>
      <c r="B887" s="84"/>
      <c r="C887" s="84"/>
      <c r="D887" s="84"/>
      <c r="E887" s="85"/>
      <c r="F887" s="85"/>
      <c r="G887" s="72"/>
      <c r="H887" s="72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6"/>
      <c r="V887" s="86"/>
      <c r="W887" s="86"/>
      <c r="X887" s="86"/>
      <c r="Y887" s="79"/>
      <c r="Z887" s="79"/>
      <c r="AA887" s="79"/>
      <c r="AB887" s="79"/>
    </row>
    <row r="888">
      <c r="A888" s="79"/>
      <c r="B888" s="84"/>
      <c r="C888" s="84"/>
      <c r="D888" s="84"/>
      <c r="E888" s="85"/>
      <c r="F888" s="85"/>
      <c r="G888" s="72"/>
      <c r="H888" s="72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6"/>
      <c r="V888" s="86"/>
      <c r="W888" s="86"/>
      <c r="X888" s="86"/>
      <c r="Y888" s="79"/>
      <c r="Z888" s="79"/>
      <c r="AA888" s="79"/>
      <c r="AB888" s="79"/>
    </row>
    <row r="889">
      <c r="A889" s="79"/>
      <c r="B889" s="84"/>
      <c r="C889" s="84"/>
      <c r="D889" s="84"/>
      <c r="E889" s="85"/>
      <c r="F889" s="85"/>
      <c r="G889" s="72"/>
      <c r="H889" s="72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6"/>
      <c r="V889" s="86"/>
      <c r="W889" s="86"/>
      <c r="X889" s="86"/>
      <c r="Y889" s="79"/>
      <c r="Z889" s="79"/>
      <c r="AA889" s="79"/>
      <c r="AB889" s="79"/>
    </row>
    <row r="890">
      <c r="A890" s="79"/>
      <c r="B890" s="84"/>
      <c r="C890" s="84"/>
      <c r="D890" s="84"/>
      <c r="E890" s="85"/>
      <c r="F890" s="85"/>
      <c r="G890" s="72"/>
      <c r="H890" s="72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6"/>
      <c r="V890" s="86"/>
      <c r="W890" s="86"/>
      <c r="X890" s="86"/>
      <c r="Y890" s="79"/>
      <c r="Z890" s="79"/>
      <c r="AA890" s="79"/>
      <c r="AB890" s="79"/>
    </row>
    <row r="891">
      <c r="A891" s="79"/>
      <c r="B891" s="84"/>
      <c r="C891" s="84"/>
      <c r="D891" s="84"/>
      <c r="E891" s="85"/>
      <c r="F891" s="85"/>
      <c r="G891" s="72"/>
      <c r="H891" s="72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6"/>
      <c r="V891" s="86"/>
      <c r="W891" s="86"/>
      <c r="X891" s="86"/>
      <c r="Y891" s="79"/>
      <c r="Z891" s="79"/>
      <c r="AA891" s="79"/>
      <c r="AB891" s="79"/>
    </row>
    <row r="892">
      <c r="A892" s="79"/>
      <c r="B892" s="84"/>
      <c r="C892" s="84"/>
      <c r="D892" s="84"/>
      <c r="E892" s="85"/>
      <c r="F892" s="85"/>
      <c r="G892" s="72"/>
      <c r="H892" s="72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6"/>
      <c r="V892" s="86"/>
      <c r="W892" s="86"/>
      <c r="X892" s="86"/>
      <c r="Y892" s="79"/>
      <c r="Z892" s="79"/>
      <c r="AA892" s="79"/>
      <c r="AB892" s="79"/>
    </row>
    <row r="893">
      <c r="A893" s="79"/>
      <c r="B893" s="84"/>
      <c r="C893" s="84"/>
      <c r="D893" s="84"/>
      <c r="E893" s="85"/>
      <c r="F893" s="85"/>
      <c r="G893" s="72"/>
      <c r="H893" s="72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6"/>
      <c r="V893" s="86"/>
      <c r="W893" s="86"/>
      <c r="X893" s="86"/>
      <c r="Y893" s="79"/>
      <c r="Z893" s="79"/>
      <c r="AA893" s="79"/>
      <c r="AB893" s="79"/>
    </row>
    <row r="894">
      <c r="A894" s="79"/>
      <c r="B894" s="84"/>
      <c r="C894" s="84"/>
      <c r="D894" s="84"/>
      <c r="E894" s="85"/>
      <c r="F894" s="85"/>
      <c r="G894" s="72"/>
      <c r="H894" s="72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6"/>
      <c r="V894" s="86"/>
      <c r="W894" s="86"/>
      <c r="X894" s="86"/>
      <c r="Y894" s="79"/>
      <c r="Z894" s="79"/>
      <c r="AA894" s="79"/>
      <c r="AB894" s="79"/>
    </row>
    <row r="895">
      <c r="A895" s="79"/>
      <c r="B895" s="84"/>
      <c r="C895" s="84"/>
      <c r="D895" s="84"/>
      <c r="E895" s="85"/>
      <c r="F895" s="85"/>
      <c r="G895" s="72"/>
      <c r="H895" s="72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6"/>
      <c r="V895" s="86"/>
      <c r="W895" s="86"/>
      <c r="X895" s="86"/>
      <c r="Y895" s="79"/>
      <c r="Z895" s="79"/>
      <c r="AA895" s="79"/>
      <c r="AB895" s="79"/>
    </row>
    <row r="896">
      <c r="A896" s="79"/>
      <c r="B896" s="84"/>
      <c r="C896" s="84"/>
      <c r="D896" s="84"/>
      <c r="E896" s="85"/>
      <c r="F896" s="85"/>
      <c r="G896" s="72"/>
      <c r="H896" s="72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6"/>
      <c r="V896" s="86"/>
      <c r="W896" s="86"/>
      <c r="X896" s="86"/>
      <c r="Y896" s="79"/>
      <c r="Z896" s="79"/>
      <c r="AA896" s="79"/>
      <c r="AB896" s="79"/>
    </row>
    <row r="897">
      <c r="A897" s="79"/>
      <c r="B897" s="84"/>
      <c r="C897" s="84"/>
      <c r="D897" s="84"/>
      <c r="E897" s="85"/>
      <c r="F897" s="85"/>
      <c r="G897" s="72"/>
      <c r="H897" s="72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6"/>
      <c r="V897" s="86"/>
      <c r="W897" s="86"/>
      <c r="X897" s="86"/>
      <c r="Y897" s="79"/>
      <c r="Z897" s="79"/>
      <c r="AA897" s="79"/>
      <c r="AB897" s="79"/>
    </row>
    <row r="898">
      <c r="A898" s="79"/>
      <c r="B898" s="84"/>
      <c r="C898" s="84"/>
      <c r="D898" s="84"/>
      <c r="E898" s="85"/>
      <c r="F898" s="85"/>
      <c r="G898" s="72"/>
      <c r="H898" s="72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6"/>
      <c r="V898" s="86"/>
      <c r="W898" s="86"/>
      <c r="X898" s="86"/>
      <c r="Y898" s="79"/>
      <c r="Z898" s="79"/>
      <c r="AA898" s="79"/>
      <c r="AB898" s="79"/>
    </row>
    <row r="899">
      <c r="A899" s="79"/>
      <c r="B899" s="84"/>
      <c r="C899" s="84"/>
      <c r="D899" s="84"/>
      <c r="E899" s="85"/>
      <c r="F899" s="85"/>
      <c r="G899" s="72"/>
      <c r="H899" s="72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6"/>
      <c r="V899" s="86"/>
      <c r="W899" s="86"/>
      <c r="X899" s="86"/>
      <c r="Y899" s="79"/>
      <c r="Z899" s="79"/>
      <c r="AA899" s="79"/>
      <c r="AB899" s="79"/>
    </row>
    <row r="900">
      <c r="A900" s="79"/>
      <c r="B900" s="84"/>
      <c r="C900" s="84"/>
      <c r="D900" s="84"/>
      <c r="E900" s="85"/>
      <c r="F900" s="85"/>
      <c r="G900" s="72"/>
      <c r="H900" s="72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6"/>
      <c r="V900" s="86"/>
      <c r="W900" s="86"/>
      <c r="X900" s="86"/>
      <c r="Y900" s="79"/>
      <c r="Z900" s="79"/>
      <c r="AA900" s="79"/>
      <c r="AB900" s="79"/>
    </row>
    <row r="901">
      <c r="A901" s="79"/>
      <c r="B901" s="84"/>
      <c r="C901" s="84"/>
      <c r="D901" s="84"/>
      <c r="E901" s="85"/>
      <c r="F901" s="85"/>
      <c r="G901" s="72"/>
      <c r="H901" s="72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6"/>
      <c r="V901" s="86"/>
      <c r="W901" s="86"/>
      <c r="X901" s="86"/>
      <c r="Y901" s="79"/>
      <c r="Z901" s="79"/>
      <c r="AA901" s="79"/>
      <c r="AB901" s="79"/>
    </row>
    <row r="902">
      <c r="A902" s="79"/>
      <c r="B902" s="84"/>
      <c r="C902" s="84"/>
      <c r="D902" s="84"/>
      <c r="E902" s="85"/>
      <c r="F902" s="85"/>
      <c r="G902" s="72"/>
      <c r="H902" s="72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6"/>
      <c r="V902" s="86"/>
      <c r="W902" s="86"/>
      <c r="X902" s="86"/>
      <c r="Y902" s="79"/>
      <c r="Z902" s="79"/>
      <c r="AA902" s="79"/>
      <c r="AB902" s="79"/>
    </row>
    <row r="903">
      <c r="A903" s="79"/>
      <c r="B903" s="84"/>
      <c r="C903" s="84"/>
      <c r="D903" s="84"/>
      <c r="E903" s="85"/>
      <c r="F903" s="85"/>
      <c r="G903" s="72"/>
      <c r="H903" s="72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6"/>
      <c r="V903" s="86"/>
      <c r="W903" s="86"/>
      <c r="X903" s="86"/>
      <c r="Y903" s="79"/>
      <c r="Z903" s="79"/>
      <c r="AA903" s="79"/>
      <c r="AB903" s="79"/>
    </row>
    <row r="904">
      <c r="A904" s="79"/>
      <c r="B904" s="84"/>
      <c r="C904" s="84"/>
      <c r="D904" s="84"/>
      <c r="E904" s="85"/>
      <c r="F904" s="85"/>
      <c r="G904" s="72"/>
      <c r="H904" s="72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6"/>
      <c r="V904" s="86"/>
      <c r="W904" s="86"/>
      <c r="X904" s="86"/>
      <c r="Y904" s="79"/>
      <c r="Z904" s="79"/>
      <c r="AA904" s="79"/>
      <c r="AB904" s="79"/>
    </row>
    <row r="905">
      <c r="A905" s="79"/>
      <c r="B905" s="84"/>
      <c r="C905" s="84"/>
      <c r="D905" s="84"/>
      <c r="E905" s="85"/>
      <c r="F905" s="85"/>
      <c r="G905" s="72"/>
      <c r="H905" s="72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6"/>
      <c r="V905" s="86"/>
      <c r="W905" s="86"/>
      <c r="X905" s="86"/>
      <c r="Y905" s="79"/>
      <c r="Z905" s="79"/>
      <c r="AA905" s="79"/>
      <c r="AB905" s="79"/>
    </row>
    <row r="906">
      <c r="A906" s="79"/>
      <c r="B906" s="84"/>
      <c r="C906" s="84"/>
      <c r="D906" s="84"/>
      <c r="E906" s="85"/>
      <c r="F906" s="85"/>
      <c r="G906" s="72"/>
      <c r="H906" s="72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6"/>
      <c r="V906" s="86"/>
      <c r="W906" s="86"/>
      <c r="X906" s="86"/>
      <c r="Y906" s="79"/>
      <c r="Z906" s="79"/>
      <c r="AA906" s="79"/>
      <c r="AB906" s="79"/>
    </row>
    <row r="907">
      <c r="A907" s="79"/>
      <c r="B907" s="84"/>
      <c r="C907" s="84"/>
      <c r="D907" s="84"/>
      <c r="E907" s="85"/>
      <c r="F907" s="85"/>
      <c r="G907" s="72"/>
      <c r="H907" s="72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6"/>
      <c r="V907" s="86"/>
      <c r="W907" s="86"/>
      <c r="X907" s="86"/>
      <c r="Y907" s="79"/>
      <c r="Z907" s="79"/>
      <c r="AA907" s="79"/>
      <c r="AB907" s="79"/>
    </row>
    <row r="908">
      <c r="A908" s="79"/>
      <c r="B908" s="84"/>
      <c r="C908" s="84"/>
      <c r="D908" s="84"/>
      <c r="E908" s="85"/>
      <c r="F908" s="85"/>
      <c r="G908" s="72"/>
      <c r="H908" s="72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6"/>
      <c r="V908" s="86"/>
      <c r="W908" s="86"/>
      <c r="X908" s="86"/>
      <c r="Y908" s="79"/>
      <c r="Z908" s="79"/>
      <c r="AA908" s="79"/>
      <c r="AB908" s="79"/>
    </row>
    <row r="909">
      <c r="A909" s="79"/>
      <c r="B909" s="84"/>
      <c r="C909" s="84"/>
      <c r="D909" s="84"/>
      <c r="E909" s="85"/>
      <c r="F909" s="85"/>
      <c r="G909" s="72"/>
      <c r="H909" s="72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6"/>
      <c r="V909" s="86"/>
      <c r="W909" s="86"/>
      <c r="X909" s="86"/>
      <c r="Y909" s="79"/>
      <c r="Z909" s="79"/>
      <c r="AA909" s="79"/>
      <c r="AB909" s="79"/>
    </row>
    <row r="910">
      <c r="A910" s="79"/>
      <c r="B910" s="84"/>
      <c r="C910" s="84"/>
      <c r="D910" s="84"/>
      <c r="E910" s="85"/>
      <c r="F910" s="85"/>
      <c r="G910" s="72"/>
      <c r="H910" s="72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6"/>
      <c r="V910" s="86"/>
      <c r="W910" s="86"/>
      <c r="X910" s="86"/>
      <c r="Y910" s="79"/>
      <c r="Z910" s="79"/>
      <c r="AA910" s="79"/>
      <c r="AB910" s="79"/>
    </row>
    <row r="911">
      <c r="A911" s="79"/>
      <c r="B911" s="84"/>
      <c r="C911" s="84"/>
      <c r="D911" s="84"/>
      <c r="E911" s="85"/>
      <c r="F911" s="85"/>
      <c r="G911" s="72"/>
      <c r="H911" s="72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6"/>
      <c r="V911" s="86"/>
      <c r="W911" s="86"/>
      <c r="X911" s="86"/>
      <c r="Y911" s="79"/>
      <c r="Z911" s="79"/>
      <c r="AA911" s="79"/>
      <c r="AB911" s="79"/>
    </row>
    <row r="912">
      <c r="A912" s="79"/>
      <c r="B912" s="84"/>
      <c r="C912" s="84"/>
      <c r="D912" s="84"/>
      <c r="E912" s="85"/>
      <c r="F912" s="85"/>
      <c r="G912" s="72"/>
      <c r="H912" s="72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6"/>
      <c r="V912" s="86"/>
      <c r="W912" s="86"/>
      <c r="X912" s="86"/>
      <c r="Y912" s="79"/>
      <c r="Z912" s="79"/>
      <c r="AA912" s="79"/>
      <c r="AB912" s="79"/>
    </row>
    <row r="913">
      <c r="A913" s="79"/>
      <c r="B913" s="84"/>
      <c r="C913" s="84"/>
      <c r="D913" s="84"/>
      <c r="E913" s="85"/>
      <c r="F913" s="85"/>
      <c r="G913" s="72"/>
      <c r="H913" s="72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6"/>
      <c r="V913" s="86"/>
      <c r="W913" s="86"/>
      <c r="X913" s="86"/>
      <c r="Y913" s="79"/>
      <c r="Z913" s="79"/>
      <c r="AA913" s="79"/>
      <c r="AB913" s="79"/>
    </row>
    <row r="914">
      <c r="A914" s="79"/>
      <c r="B914" s="84"/>
      <c r="C914" s="84"/>
      <c r="D914" s="84"/>
      <c r="E914" s="85"/>
      <c r="F914" s="85"/>
      <c r="G914" s="72"/>
      <c r="H914" s="72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6"/>
      <c r="V914" s="86"/>
      <c r="W914" s="86"/>
      <c r="X914" s="86"/>
      <c r="Y914" s="79"/>
      <c r="Z914" s="79"/>
      <c r="AA914" s="79"/>
      <c r="AB914" s="79"/>
    </row>
    <row r="915">
      <c r="A915" s="79"/>
      <c r="B915" s="84"/>
      <c r="C915" s="84"/>
      <c r="D915" s="84"/>
      <c r="E915" s="85"/>
      <c r="F915" s="85"/>
      <c r="G915" s="72"/>
      <c r="H915" s="72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6"/>
      <c r="V915" s="86"/>
      <c r="W915" s="86"/>
      <c r="X915" s="86"/>
      <c r="Y915" s="79"/>
      <c r="Z915" s="79"/>
      <c r="AA915" s="79"/>
      <c r="AB915" s="79"/>
    </row>
    <row r="916">
      <c r="A916" s="79"/>
      <c r="B916" s="84"/>
      <c r="C916" s="84"/>
      <c r="D916" s="84"/>
      <c r="E916" s="85"/>
      <c r="F916" s="85"/>
      <c r="G916" s="72"/>
      <c r="H916" s="72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6"/>
      <c r="V916" s="86"/>
      <c r="W916" s="86"/>
      <c r="X916" s="86"/>
      <c r="Y916" s="79"/>
      <c r="Z916" s="79"/>
      <c r="AA916" s="79"/>
      <c r="AB916" s="79"/>
    </row>
    <row r="917">
      <c r="A917" s="79"/>
      <c r="B917" s="84"/>
      <c r="C917" s="84"/>
      <c r="D917" s="84"/>
      <c r="E917" s="85"/>
      <c r="F917" s="85"/>
      <c r="G917" s="72"/>
      <c r="H917" s="72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6"/>
      <c r="V917" s="86"/>
      <c r="W917" s="86"/>
      <c r="X917" s="86"/>
      <c r="Y917" s="79"/>
      <c r="Z917" s="79"/>
      <c r="AA917" s="79"/>
      <c r="AB917" s="79"/>
    </row>
    <row r="918">
      <c r="A918" s="79"/>
      <c r="B918" s="84"/>
      <c r="C918" s="84"/>
      <c r="D918" s="84"/>
      <c r="E918" s="85"/>
      <c r="F918" s="85"/>
      <c r="G918" s="72"/>
      <c r="H918" s="72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6"/>
      <c r="V918" s="86"/>
      <c r="W918" s="86"/>
      <c r="X918" s="86"/>
      <c r="Y918" s="79"/>
      <c r="Z918" s="79"/>
      <c r="AA918" s="79"/>
      <c r="AB918" s="79"/>
    </row>
    <row r="919">
      <c r="A919" s="79"/>
      <c r="B919" s="84"/>
      <c r="C919" s="84"/>
      <c r="D919" s="84"/>
      <c r="E919" s="85"/>
      <c r="F919" s="85"/>
      <c r="G919" s="72"/>
      <c r="H919" s="72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6"/>
      <c r="V919" s="86"/>
      <c r="W919" s="86"/>
      <c r="X919" s="86"/>
      <c r="Y919" s="79"/>
      <c r="Z919" s="79"/>
      <c r="AA919" s="79"/>
      <c r="AB919" s="79"/>
    </row>
    <row r="920">
      <c r="A920" s="79"/>
      <c r="B920" s="84"/>
      <c r="C920" s="84"/>
      <c r="D920" s="84"/>
      <c r="E920" s="85"/>
      <c r="F920" s="85"/>
      <c r="G920" s="72"/>
      <c r="H920" s="72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6"/>
      <c r="V920" s="86"/>
      <c r="W920" s="86"/>
      <c r="X920" s="86"/>
      <c r="Y920" s="79"/>
      <c r="Z920" s="79"/>
      <c r="AA920" s="79"/>
      <c r="AB920" s="79"/>
    </row>
    <row r="921">
      <c r="A921" s="79"/>
      <c r="B921" s="84"/>
      <c r="C921" s="84"/>
      <c r="D921" s="84"/>
      <c r="E921" s="85"/>
      <c r="F921" s="85"/>
      <c r="G921" s="72"/>
      <c r="H921" s="72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6"/>
      <c r="V921" s="86"/>
      <c r="W921" s="86"/>
      <c r="X921" s="86"/>
      <c r="Y921" s="79"/>
      <c r="Z921" s="79"/>
      <c r="AA921" s="79"/>
      <c r="AB921" s="79"/>
    </row>
    <row r="922">
      <c r="A922" s="79"/>
      <c r="B922" s="84"/>
      <c r="C922" s="84"/>
      <c r="D922" s="84"/>
      <c r="E922" s="85"/>
      <c r="F922" s="85"/>
      <c r="G922" s="72"/>
      <c r="H922" s="72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6"/>
      <c r="V922" s="86"/>
      <c r="W922" s="86"/>
      <c r="X922" s="86"/>
      <c r="Y922" s="79"/>
      <c r="Z922" s="79"/>
      <c r="AA922" s="79"/>
      <c r="AB922" s="79"/>
    </row>
    <row r="923">
      <c r="A923" s="79"/>
      <c r="B923" s="84"/>
      <c r="C923" s="84"/>
      <c r="D923" s="84"/>
      <c r="E923" s="85"/>
      <c r="F923" s="85"/>
      <c r="G923" s="72"/>
      <c r="H923" s="72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6"/>
      <c r="V923" s="86"/>
      <c r="W923" s="86"/>
      <c r="X923" s="86"/>
      <c r="Y923" s="79"/>
      <c r="Z923" s="79"/>
      <c r="AA923" s="79"/>
      <c r="AB923" s="79"/>
    </row>
    <row r="924">
      <c r="A924" s="79"/>
      <c r="B924" s="84"/>
      <c r="C924" s="84"/>
      <c r="D924" s="84"/>
      <c r="E924" s="85"/>
      <c r="F924" s="85"/>
      <c r="G924" s="72"/>
      <c r="H924" s="72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6"/>
      <c r="V924" s="86"/>
      <c r="W924" s="86"/>
      <c r="X924" s="86"/>
      <c r="Y924" s="79"/>
      <c r="Z924" s="79"/>
      <c r="AA924" s="79"/>
      <c r="AB924" s="79"/>
    </row>
    <row r="925">
      <c r="A925" s="79"/>
      <c r="B925" s="84"/>
      <c r="C925" s="84"/>
      <c r="D925" s="84"/>
      <c r="E925" s="85"/>
      <c r="F925" s="85"/>
      <c r="G925" s="72"/>
      <c r="H925" s="72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6"/>
      <c r="V925" s="86"/>
      <c r="W925" s="86"/>
      <c r="X925" s="86"/>
      <c r="Y925" s="79"/>
      <c r="Z925" s="79"/>
      <c r="AA925" s="79"/>
      <c r="AB925" s="79"/>
    </row>
    <row r="926">
      <c r="A926" s="79"/>
      <c r="B926" s="84"/>
      <c r="C926" s="84"/>
      <c r="D926" s="84"/>
      <c r="E926" s="85"/>
      <c r="F926" s="85"/>
      <c r="G926" s="72"/>
      <c r="H926" s="72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6"/>
      <c r="V926" s="86"/>
      <c r="W926" s="86"/>
      <c r="X926" s="86"/>
      <c r="Y926" s="79"/>
      <c r="Z926" s="79"/>
      <c r="AA926" s="79"/>
      <c r="AB926" s="79"/>
    </row>
    <row r="927">
      <c r="A927" s="79"/>
      <c r="B927" s="84"/>
      <c r="C927" s="84"/>
      <c r="D927" s="84"/>
      <c r="E927" s="85"/>
      <c r="F927" s="85"/>
      <c r="G927" s="72"/>
      <c r="H927" s="72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6"/>
      <c r="V927" s="86"/>
      <c r="W927" s="86"/>
      <c r="X927" s="86"/>
      <c r="Y927" s="79"/>
      <c r="Z927" s="79"/>
      <c r="AA927" s="79"/>
      <c r="AB927" s="79"/>
    </row>
    <row r="928">
      <c r="A928" s="79"/>
      <c r="B928" s="84"/>
      <c r="C928" s="84"/>
      <c r="D928" s="84"/>
      <c r="E928" s="85"/>
      <c r="F928" s="85"/>
      <c r="G928" s="72"/>
      <c r="H928" s="72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6"/>
      <c r="V928" s="86"/>
      <c r="W928" s="86"/>
      <c r="X928" s="86"/>
      <c r="Y928" s="79"/>
      <c r="Z928" s="79"/>
      <c r="AA928" s="79"/>
      <c r="AB928" s="79"/>
    </row>
    <row r="929">
      <c r="A929" s="79"/>
      <c r="B929" s="84"/>
      <c r="C929" s="84"/>
      <c r="D929" s="84"/>
      <c r="E929" s="85"/>
      <c r="F929" s="85"/>
      <c r="G929" s="72"/>
      <c r="H929" s="72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6"/>
      <c r="V929" s="86"/>
      <c r="W929" s="86"/>
      <c r="X929" s="86"/>
      <c r="Y929" s="79"/>
      <c r="Z929" s="79"/>
      <c r="AA929" s="79"/>
      <c r="AB929" s="79"/>
    </row>
    <row r="930">
      <c r="A930" s="79"/>
      <c r="B930" s="84"/>
      <c r="C930" s="84"/>
      <c r="D930" s="84"/>
      <c r="E930" s="85"/>
      <c r="F930" s="85"/>
      <c r="G930" s="72"/>
      <c r="H930" s="72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6"/>
      <c r="V930" s="86"/>
      <c r="W930" s="86"/>
      <c r="X930" s="86"/>
      <c r="Y930" s="79"/>
      <c r="Z930" s="79"/>
      <c r="AA930" s="79"/>
      <c r="AB930" s="79"/>
    </row>
    <row r="931">
      <c r="A931" s="79"/>
      <c r="B931" s="84"/>
      <c r="C931" s="84"/>
      <c r="D931" s="84"/>
      <c r="E931" s="85"/>
      <c r="F931" s="85"/>
      <c r="G931" s="72"/>
      <c r="H931" s="72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6"/>
      <c r="V931" s="86"/>
      <c r="W931" s="86"/>
      <c r="X931" s="86"/>
      <c r="Y931" s="79"/>
      <c r="Z931" s="79"/>
      <c r="AA931" s="79"/>
      <c r="AB931" s="79"/>
    </row>
    <row r="932">
      <c r="A932" s="79"/>
      <c r="B932" s="84"/>
      <c r="C932" s="84"/>
      <c r="D932" s="84"/>
      <c r="E932" s="85"/>
      <c r="F932" s="85"/>
      <c r="G932" s="72"/>
      <c r="H932" s="72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6"/>
      <c r="V932" s="86"/>
      <c r="W932" s="86"/>
      <c r="X932" s="86"/>
      <c r="Y932" s="79"/>
      <c r="Z932" s="79"/>
      <c r="AA932" s="79"/>
      <c r="AB932" s="79"/>
    </row>
    <row r="933">
      <c r="A933" s="79"/>
      <c r="B933" s="84"/>
      <c r="C933" s="84"/>
      <c r="D933" s="84"/>
      <c r="E933" s="85"/>
      <c r="F933" s="85"/>
      <c r="G933" s="72"/>
      <c r="H933" s="72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6"/>
      <c r="V933" s="86"/>
      <c r="W933" s="86"/>
      <c r="X933" s="86"/>
      <c r="Y933" s="79"/>
      <c r="Z933" s="79"/>
      <c r="AA933" s="79"/>
      <c r="AB933" s="79"/>
    </row>
    <row r="934">
      <c r="A934" s="79"/>
      <c r="B934" s="84"/>
      <c r="C934" s="84"/>
      <c r="D934" s="84"/>
      <c r="E934" s="85"/>
      <c r="F934" s="85"/>
      <c r="G934" s="72"/>
      <c r="H934" s="72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6"/>
      <c r="V934" s="86"/>
      <c r="W934" s="86"/>
      <c r="X934" s="86"/>
      <c r="Y934" s="79"/>
      <c r="Z934" s="79"/>
      <c r="AA934" s="79"/>
      <c r="AB934" s="79"/>
    </row>
    <row r="935">
      <c r="A935" s="79"/>
      <c r="B935" s="84"/>
      <c r="C935" s="84"/>
      <c r="D935" s="84"/>
      <c r="E935" s="85"/>
      <c r="F935" s="85"/>
      <c r="G935" s="72"/>
      <c r="H935" s="72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6"/>
      <c r="V935" s="86"/>
      <c r="W935" s="86"/>
      <c r="X935" s="86"/>
      <c r="Y935" s="79"/>
      <c r="Z935" s="79"/>
      <c r="AA935" s="79"/>
      <c r="AB935" s="79"/>
    </row>
    <row r="936">
      <c r="A936" s="79"/>
      <c r="B936" s="84"/>
      <c r="C936" s="84"/>
      <c r="D936" s="84"/>
      <c r="E936" s="85"/>
      <c r="F936" s="85"/>
      <c r="G936" s="72"/>
      <c r="H936" s="72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6"/>
      <c r="V936" s="86"/>
      <c r="W936" s="86"/>
      <c r="X936" s="86"/>
      <c r="Y936" s="79"/>
      <c r="Z936" s="79"/>
      <c r="AA936" s="79"/>
      <c r="AB936" s="79"/>
    </row>
    <row r="937">
      <c r="A937" s="79"/>
      <c r="B937" s="84"/>
      <c r="C937" s="84"/>
      <c r="D937" s="84"/>
      <c r="E937" s="85"/>
      <c r="F937" s="85"/>
      <c r="G937" s="72"/>
      <c r="H937" s="72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6"/>
      <c r="V937" s="86"/>
      <c r="W937" s="86"/>
      <c r="X937" s="86"/>
      <c r="Y937" s="79"/>
      <c r="Z937" s="79"/>
      <c r="AA937" s="79"/>
      <c r="AB937" s="79"/>
    </row>
    <row r="938">
      <c r="A938" s="79"/>
      <c r="B938" s="84"/>
      <c r="C938" s="84"/>
      <c r="D938" s="84"/>
      <c r="E938" s="85"/>
      <c r="F938" s="85"/>
      <c r="G938" s="72"/>
      <c r="H938" s="72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6"/>
      <c r="V938" s="86"/>
      <c r="W938" s="86"/>
      <c r="X938" s="86"/>
      <c r="Y938" s="79"/>
      <c r="Z938" s="79"/>
      <c r="AA938" s="79"/>
      <c r="AB938" s="79"/>
    </row>
    <row r="939">
      <c r="A939" s="79"/>
      <c r="B939" s="84"/>
      <c r="C939" s="84"/>
      <c r="D939" s="84"/>
      <c r="E939" s="85"/>
      <c r="F939" s="85"/>
      <c r="G939" s="72"/>
      <c r="H939" s="72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6"/>
      <c r="V939" s="86"/>
      <c r="W939" s="86"/>
      <c r="X939" s="86"/>
      <c r="Y939" s="79"/>
      <c r="Z939" s="79"/>
      <c r="AA939" s="79"/>
      <c r="AB939" s="79"/>
    </row>
    <row r="940">
      <c r="A940" s="79"/>
      <c r="B940" s="84"/>
      <c r="C940" s="84"/>
      <c r="D940" s="84"/>
      <c r="E940" s="85"/>
      <c r="F940" s="85"/>
      <c r="G940" s="72"/>
      <c r="H940" s="72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6"/>
      <c r="V940" s="86"/>
      <c r="W940" s="86"/>
      <c r="X940" s="86"/>
      <c r="Y940" s="79"/>
      <c r="Z940" s="79"/>
      <c r="AA940" s="79"/>
      <c r="AB940" s="79"/>
    </row>
    <row r="941">
      <c r="A941" s="79"/>
      <c r="B941" s="84"/>
      <c r="C941" s="84"/>
      <c r="D941" s="84"/>
      <c r="E941" s="85"/>
      <c r="F941" s="85"/>
      <c r="G941" s="72"/>
      <c r="H941" s="72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6"/>
      <c r="V941" s="86"/>
      <c r="W941" s="86"/>
      <c r="X941" s="86"/>
      <c r="Y941" s="79"/>
      <c r="Z941" s="79"/>
      <c r="AA941" s="79"/>
      <c r="AB941" s="79"/>
    </row>
    <row r="942">
      <c r="A942" s="79"/>
      <c r="B942" s="84"/>
      <c r="C942" s="84"/>
      <c r="D942" s="84"/>
      <c r="E942" s="85"/>
      <c r="F942" s="85"/>
      <c r="G942" s="72"/>
      <c r="H942" s="72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6"/>
      <c r="V942" s="86"/>
      <c r="W942" s="86"/>
      <c r="X942" s="86"/>
      <c r="Y942" s="79"/>
      <c r="Z942" s="79"/>
      <c r="AA942" s="79"/>
      <c r="AB942" s="79"/>
    </row>
    <row r="943">
      <c r="A943" s="79"/>
      <c r="B943" s="84"/>
      <c r="C943" s="84"/>
      <c r="D943" s="84"/>
      <c r="E943" s="85"/>
      <c r="F943" s="85"/>
      <c r="G943" s="72"/>
      <c r="H943" s="72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6"/>
      <c r="V943" s="86"/>
      <c r="W943" s="86"/>
      <c r="X943" s="86"/>
      <c r="Y943" s="79"/>
      <c r="Z943" s="79"/>
      <c r="AA943" s="79"/>
      <c r="AB943" s="79"/>
    </row>
    <row r="944">
      <c r="A944" s="79"/>
      <c r="B944" s="84"/>
      <c r="C944" s="84"/>
      <c r="D944" s="84"/>
      <c r="E944" s="85"/>
      <c r="F944" s="85"/>
      <c r="G944" s="72"/>
      <c r="H944" s="72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6"/>
      <c r="V944" s="86"/>
      <c r="W944" s="86"/>
      <c r="X944" s="86"/>
      <c r="Y944" s="79"/>
      <c r="Z944" s="79"/>
      <c r="AA944" s="79"/>
      <c r="AB944" s="79"/>
    </row>
    <row r="945">
      <c r="A945" s="79"/>
      <c r="B945" s="84"/>
      <c r="C945" s="84"/>
      <c r="D945" s="84"/>
      <c r="E945" s="85"/>
      <c r="F945" s="85"/>
      <c r="G945" s="72"/>
      <c r="H945" s="72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6"/>
      <c r="V945" s="86"/>
      <c r="W945" s="86"/>
      <c r="X945" s="86"/>
      <c r="Y945" s="79"/>
      <c r="Z945" s="79"/>
      <c r="AA945" s="79"/>
      <c r="AB945" s="79"/>
    </row>
    <row r="946">
      <c r="A946" s="79"/>
      <c r="B946" s="84"/>
      <c r="C946" s="84"/>
      <c r="D946" s="84"/>
      <c r="E946" s="85"/>
      <c r="F946" s="85"/>
      <c r="G946" s="72"/>
      <c r="H946" s="72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6"/>
      <c r="V946" s="86"/>
      <c r="W946" s="86"/>
      <c r="X946" s="86"/>
      <c r="Y946" s="79"/>
      <c r="Z946" s="79"/>
      <c r="AA946" s="79"/>
      <c r="AB946" s="79"/>
    </row>
    <row r="947">
      <c r="A947" s="79"/>
      <c r="B947" s="84"/>
      <c r="C947" s="84"/>
      <c r="D947" s="84"/>
      <c r="E947" s="85"/>
      <c r="F947" s="85"/>
      <c r="G947" s="72"/>
      <c r="H947" s="72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6"/>
      <c r="V947" s="86"/>
      <c r="W947" s="86"/>
      <c r="X947" s="86"/>
      <c r="Y947" s="79"/>
      <c r="Z947" s="79"/>
      <c r="AA947" s="79"/>
      <c r="AB947" s="79"/>
    </row>
    <row r="948">
      <c r="A948" s="79"/>
      <c r="B948" s="84"/>
      <c r="C948" s="84"/>
      <c r="D948" s="84"/>
      <c r="E948" s="85"/>
      <c r="F948" s="85"/>
      <c r="G948" s="72"/>
      <c r="H948" s="72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6"/>
      <c r="V948" s="86"/>
      <c r="W948" s="86"/>
      <c r="X948" s="86"/>
      <c r="Y948" s="79"/>
      <c r="Z948" s="79"/>
      <c r="AA948" s="79"/>
      <c r="AB948" s="79"/>
    </row>
    <row r="949">
      <c r="A949" s="79"/>
      <c r="B949" s="84"/>
      <c r="C949" s="84"/>
      <c r="D949" s="84"/>
      <c r="E949" s="85"/>
      <c r="F949" s="85"/>
      <c r="G949" s="72"/>
      <c r="H949" s="72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6"/>
      <c r="V949" s="86"/>
      <c r="W949" s="86"/>
      <c r="X949" s="86"/>
      <c r="Y949" s="79"/>
      <c r="Z949" s="79"/>
      <c r="AA949" s="79"/>
      <c r="AB949" s="79"/>
    </row>
    <row r="950">
      <c r="A950" s="79"/>
      <c r="B950" s="84"/>
      <c r="C950" s="84"/>
      <c r="D950" s="84"/>
      <c r="E950" s="85"/>
      <c r="F950" s="85"/>
      <c r="G950" s="72"/>
      <c r="H950" s="72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6"/>
      <c r="V950" s="86"/>
      <c r="W950" s="86"/>
      <c r="X950" s="86"/>
      <c r="Y950" s="79"/>
      <c r="Z950" s="79"/>
      <c r="AA950" s="79"/>
      <c r="AB950" s="79"/>
    </row>
    <row r="951">
      <c r="A951" s="79"/>
      <c r="B951" s="84"/>
      <c r="C951" s="84"/>
      <c r="D951" s="84"/>
      <c r="E951" s="85"/>
      <c r="F951" s="85"/>
      <c r="G951" s="72"/>
      <c r="H951" s="72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6"/>
      <c r="V951" s="86"/>
      <c r="W951" s="86"/>
      <c r="X951" s="86"/>
      <c r="Y951" s="79"/>
      <c r="Z951" s="79"/>
      <c r="AA951" s="79"/>
      <c r="AB951" s="79"/>
    </row>
    <row r="952">
      <c r="A952" s="79"/>
      <c r="B952" s="84"/>
      <c r="C952" s="84"/>
      <c r="D952" s="84"/>
      <c r="E952" s="85"/>
      <c r="F952" s="85"/>
      <c r="G952" s="72"/>
      <c r="H952" s="72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6"/>
      <c r="V952" s="86"/>
      <c r="W952" s="86"/>
      <c r="X952" s="86"/>
      <c r="Y952" s="79"/>
      <c r="Z952" s="79"/>
      <c r="AA952" s="79"/>
      <c r="AB952" s="79"/>
    </row>
    <row r="953">
      <c r="A953" s="79"/>
      <c r="B953" s="84"/>
      <c r="C953" s="84"/>
      <c r="D953" s="84"/>
      <c r="E953" s="85"/>
      <c r="F953" s="85"/>
      <c r="G953" s="72"/>
      <c r="H953" s="72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6"/>
      <c r="V953" s="86"/>
      <c r="W953" s="86"/>
      <c r="X953" s="86"/>
      <c r="Y953" s="79"/>
      <c r="Z953" s="79"/>
      <c r="AA953" s="79"/>
      <c r="AB953" s="79"/>
    </row>
    <row r="954">
      <c r="A954" s="79"/>
      <c r="B954" s="84"/>
      <c r="C954" s="84"/>
      <c r="D954" s="84"/>
      <c r="E954" s="85"/>
      <c r="F954" s="85"/>
      <c r="G954" s="72"/>
      <c r="H954" s="72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6"/>
      <c r="V954" s="86"/>
      <c r="W954" s="86"/>
      <c r="X954" s="86"/>
      <c r="Y954" s="79"/>
      <c r="Z954" s="79"/>
      <c r="AA954" s="79"/>
      <c r="AB954" s="79"/>
    </row>
    <row r="955">
      <c r="A955" s="79"/>
      <c r="B955" s="84"/>
      <c r="C955" s="84"/>
      <c r="D955" s="84"/>
      <c r="E955" s="85"/>
      <c r="F955" s="85"/>
      <c r="G955" s="72"/>
      <c r="H955" s="72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6"/>
      <c r="V955" s="86"/>
      <c r="W955" s="86"/>
      <c r="X955" s="86"/>
      <c r="Y955" s="79"/>
      <c r="Z955" s="79"/>
      <c r="AA955" s="79"/>
      <c r="AB955" s="79"/>
    </row>
    <row r="956">
      <c r="A956" s="79"/>
      <c r="B956" s="84"/>
      <c r="C956" s="84"/>
      <c r="D956" s="84"/>
      <c r="E956" s="85"/>
      <c r="F956" s="85"/>
      <c r="G956" s="72"/>
      <c r="H956" s="72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6"/>
      <c r="V956" s="86"/>
      <c r="W956" s="86"/>
      <c r="X956" s="86"/>
      <c r="Y956" s="79"/>
      <c r="Z956" s="79"/>
      <c r="AA956" s="79"/>
      <c r="AB956" s="79"/>
    </row>
    <row r="957">
      <c r="A957" s="79"/>
      <c r="B957" s="84"/>
      <c r="C957" s="84"/>
      <c r="D957" s="84"/>
      <c r="E957" s="85"/>
      <c r="F957" s="85"/>
      <c r="G957" s="72"/>
      <c r="H957" s="72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6"/>
      <c r="V957" s="86"/>
      <c r="W957" s="86"/>
      <c r="X957" s="86"/>
      <c r="Y957" s="79"/>
      <c r="Z957" s="79"/>
      <c r="AA957" s="79"/>
      <c r="AB957" s="79"/>
    </row>
    <row r="958">
      <c r="A958" s="79"/>
      <c r="B958" s="84"/>
      <c r="C958" s="84"/>
      <c r="D958" s="84"/>
      <c r="E958" s="85"/>
      <c r="F958" s="85"/>
      <c r="G958" s="72"/>
      <c r="H958" s="72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6"/>
      <c r="V958" s="86"/>
      <c r="W958" s="86"/>
      <c r="X958" s="86"/>
      <c r="Y958" s="79"/>
      <c r="Z958" s="79"/>
      <c r="AA958" s="79"/>
      <c r="AB958" s="79"/>
    </row>
    <row r="959">
      <c r="A959" s="79"/>
      <c r="B959" s="84"/>
      <c r="C959" s="84"/>
      <c r="D959" s="84"/>
      <c r="E959" s="85"/>
      <c r="F959" s="85"/>
      <c r="G959" s="72"/>
      <c r="H959" s="72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6"/>
      <c r="V959" s="86"/>
      <c r="W959" s="86"/>
      <c r="X959" s="86"/>
      <c r="Y959" s="79"/>
      <c r="Z959" s="79"/>
      <c r="AA959" s="79"/>
      <c r="AB959" s="79"/>
    </row>
    <row r="960">
      <c r="A960" s="79"/>
      <c r="B960" s="84"/>
      <c r="C960" s="84"/>
      <c r="D960" s="84"/>
      <c r="E960" s="85"/>
      <c r="F960" s="85"/>
      <c r="G960" s="72"/>
      <c r="H960" s="72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6"/>
      <c r="V960" s="86"/>
      <c r="W960" s="86"/>
      <c r="X960" s="86"/>
      <c r="Y960" s="79"/>
      <c r="Z960" s="79"/>
      <c r="AA960" s="79"/>
      <c r="AB960" s="79"/>
    </row>
    <row r="961">
      <c r="A961" s="79"/>
      <c r="B961" s="84"/>
      <c r="C961" s="84"/>
      <c r="D961" s="84"/>
      <c r="E961" s="85"/>
      <c r="F961" s="85"/>
      <c r="G961" s="72"/>
      <c r="H961" s="72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6"/>
      <c r="V961" s="86"/>
      <c r="W961" s="86"/>
      <c r="X961" s="86"/>
      <c r="Y961" s="79"/>
      <c r="Z961" s="79"/>
      <c r="AA961" s="79"/>
      <c r="AB961" s="79"/>
    </row>
    <row r="962">
      <c r="A962" s="79"/>
      <c r="B962" s="84"/>
      <c r="C962" s="84"/>
      <c r="D962" s="84"/>
      <c r="E962" s="85"/>
      <c r="F962" s="85"/>
      <c r="G962" s="72"/>
      <c r="H962" s="72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6"/>
      <c r="V962" s="86"/>
      <c r="W962" s="86"/>
      <c r="X962" s="86"/>
      <c r="Y962" s="79"/>
      <c r="Z962" s="79"/>
      <c r="AA962" s="79"/>
      <c r="AB962" s="79"/>
    </row>
    <row r="963">
      <c r="A963" s="79"/>
      <c r="B963" s="84"/>
      <c r="C963" s="84"/>
      <c r="D963" s="84"/>
      <c r="E963" s="85"/>
      <c r="F963" s="85"/>
      <c r="G963" s="72"/>
      <c r="H963" s="72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6"/>
      <c r="V963" s="86"/>
      <c r="W963" s="86"/>
      <c r="X963" s="86"/>
      <c r="Y963" s="79"/>
      <c r="Z963" s="79"/>
      <c r="AA963" s="79"/>
      <c r="AB963" s="79"/>
    </row>
    <row r="964">
      <c r="A964" s="79"/>
      <c r="B964" s="84"/>
      <c r="C964" s="84"/>
      <c r="D964" s="84"/>
      <c r="E964" s="85"/>
      <c r="F964" s="85"/>
      <c r="G964" s="72"/>
      <c r="H964" s="72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6"/>
      <c r="V964" s="86"/>
      <c r="W964" s="86"/>
      <c r="X964" s="86"/>
      <c r="Y964" s="79"/>
      <c r="Z964" s="79"/>
      <c r="AA964" s="79"/>
      <c r="AB964" s="79"/>
    </row>
    <row r="965">
      <c r="A965" s="79"/>
      <c r="B965" s="84"/>
      <c r="C965" s="84"/>
      <c r="D965" s="84"/>
      <c r="E965" s="85"/>
      <c r="F965" s="85"/>
      <c r="G965" s="72"/>
      <c r="H965" s="72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6"/>
      <c r="V965" s="86"/>
      <c r="W965" s="86"/>
      <c r="X965" s="86"/>
      <c r="Y965" s="79"/>
      <c r="Z965" s="79"/>
      <c r="AA965" s="79"/>
      <c r="AB965" s="79"/>
    </row>
    <row r="966">
      <c r="A966" s="79"/>
      <c r="B966" s="84"/>
      <c r="C966" s="84"/>
      <c r="D966" s="84"/>
      <c r="E966" s="85"/>
      <c r="F966" s="85"/>
      <c r="G966" s="72"/>
      <c r="H966" s="72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6"/>
      <c r="V966" s="86"/>
      <c r="W966" s="86"/>
      <c r="X966" s="86"/>
      <c r="Y966" s="79"/>
      <c r="Z966" s="79"/>
      <c r="AA966" s="79"/>
      <c r="AB966" s="79"/>
    </row>
    <row r="967">
      <c r="A967" s="79"/>
      <c r="B967" s="84"/>
      <c r="C967" s="84"/>
      <c r="D967" s="84"/>
      <c r="E967" s="85"/>
      <c r="F967" s="85"/>
      <c r="G967" s="72"/>
      <c r="H967" s="72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6"/>
      <c r="V967" s="86"/>
      <c r="W967" s="86"/>
      <c r="X967" s="86"/>
      <c r="Y967" s="79"/>
      <c r="Z967" s="79"/>
      <c r="AA967" s="79"/>
      <c r="AB967" s="79"/>
    </row>
    <row r="968">
      <c r="A968" s="79"/>
      <c r="B968" s="84"/>
      <c r="C968" s="84"/>
      <c r="D968" s="84"/>
      <c r="E968" s="85"/>
      <c r="F968" s="85"/>
      <c r="G968" s="72"/>
      <c r="H968" s="72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6"/>
      <c r="V968" s="86"/>
      <c r="W968" s="86"/>
      <c r="X968" s="86"/>
      <c r="Y968" s="79"/>
      <c r="Z968" s="79"/>
      <c r="AA968" s="79"/>
      <c r="AB968" s="79"/>
    </row>
    <row r="969">
      <c r="A969" s="79"/>
      <c r="B969" s="84"/>
      <c r="C969" s="84"/>
      <c r="D969" s="84"/>
      <c r="E969" s="85"/>
      <c r="F969" s="85"/>
      <c r="G969" s="72"/>
      <c r="H969" s="72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6"/>
      <c r="V969" s="86"/>
      <c r="W969" s="86"/>
      <c r="X969" s="86"/>
      <c r="Y969" s="79"/>
      <c r="Z969" s="79"/>
      <c r="AA969" s="79"/>
      <c r="AB969" s="79"/>
    </row>
    <row r="970">
      <c r="A970" s="79"/>
      <c r="B970" s="84"/>
      <c r="C970" s="84"/>
      <c r="D970" s="84"/>
      <c r="E970" s="85"/>
      <c r="F970" s="85"/>
      <c r="G970" s="72"/>
      <c r="H970" s="72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6"/>
      <c r="V970" s="86"/>
      <c r="W970" s="86"/>
      <c r="X970" s="86"/>
      <c r="Y970" s="79"/>
      <c r="Z970" s="79"/>
      <c r="AA970" s="79"/>
      <c r="AB970" s="79"/>
    </row>
    <row r="971">
      <c r="A971" s="79"/>
      <c r="B971" s="84"/>
      <c r="C971" s="84"/>
      <c r="D971" s="84"/>
      <c r="E971" s="85"/>
      <c r="F971" s="85"/>
      <c r="G971" s="72"/>
      <c r="H971" s="72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6"/>
      <c r="V971" s="86"/>
      <c r="W971" s="86"/>
      <c r="X971" s="86"/>
      <c r="Y971" s="79"/>
      <c r="Z971" s="79"/>
      <c r="AA971" s="79"/>
      <c r="AB971" s="79"/>
    </row>
    <row r="972">
      <c r="A972" s="79"/>
      <c r="B972" s="84"/>
      <c r="C972" s="84"/>
      <c r="D972" s="84"/>
      <c r="E972" s="85"/>
      <c r="F972" s="85"/>
      <c r="G972" s="72"/>
      <c r="H972" s="72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6"/>
      <c r="V972" s="86"/>
      <c r="W972" s="86"/>
      <c r="X972" s="86"/>
      <c r="Y972" s="79"/>
      <c r="Z972" s="79"/>
      <c r="AA972" s="79"/>
      <c r="AB972" s="79"/>
    </row>
    <row r="973">
      <c r="A973" s="79"/>
      <c r="B973" s="84"/>
      <c r="C973" s="84"/>
      <c r="D973" s="84"/>
      <c r="E973" s="85"/>
      <c r="F973" s="85"/>
      <c r="G973" s="72"/>
      <c r="H973" s="72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6"/>
      <c r="V973" s="86"/>
      <c r="W973" s="86"/>
      <c r="X973" s="86"/>
      <c r="Y973" s="79"/>
      <c r="Z973" s="79"/>
      <c r="AA973" s="79"/>
      <c r="AB973" s="79"/>
    </row>
    <row r="974">
      <c r="A974" s="79"/>
      <c r="B974" s="84"/>
      <c r="C974" s="84"/>
      <c r="D974" s="84"/>
      <c r="E974" s="85"/>
      <c r="F974" s="85"/>
      <c r="G974" s="72"/>
      <c r="H974" s="72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6"/>
      <c r="V974" s="86"/>
      <c r="W974" s="86"/>
      <c r="X974" s="86"/>
      <c r="Y974" s="79"/>
      <c r="Z974" s="79"/>
      <c r="AA974" s="79"/>
      <c r="AB974" s="79"/>
    </row>
    <row r="975">
      <c r="A975" s="79"/>
      <c r="B975" s="84"/>
      <c r="C975" s="84"/>
      <c r="D975" s="84"/>
      <c r="E975" s="85"/>
      <c r="F975" s="85"/>
      <c r="G975" s="72"/>
      <c r="H975" s="72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6"/>
      <c r="V975" s="86"/>
      <c r="W975" s="86"/>
      <c r="X975" s="86"/>
      <c r="Y975" s="79"/>
      <c r="Z975" s="79"/>
      <c r="AA975" s="79"/>
      <c r="AB975" s="79"/>
    </row>
    <row r="976">
      <c r="A976" s="79"/>
      <c r="B976" s="84"/>
      <c r="C976" s="84"/>
      <c r="D976" s="84"/>
      <c r="E976" s="85"/>
      <c r="F976" s="85"/>
      <c r="G976" s="72"/>
      <c r="H976" s="72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6"/>
      <c r="V976" s="86"/>
      <c r="W976" s="86"/>
      <c r="X976" s="86"/>
      <c r="Y976" s="79"/>
      <c r="Z976" s="79"/>
      <c r="AA976" s="79"/>
      <c r="AB976" s="79"/>
    </row>
    <row r="977">
      <c r="A977" s="79"/>
      <c r="B977" s="84"/>
      <c r="C977" s="84"/>
      <c r="D977" s="84"/>
      <c r="E977" s="85"/>
      <c r="F977" s="85"/>
      <c r="G977" s="72"/>
      <c r="H977" s="72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6"/>
      <c r="V977" s="86"/>
      <c r="W977" s="86"/>
      <c r="X977" s="86"/>
      <c r="Y977" s="79"/>
      <c r="Z977" s="79"/>
      <c r="AA977" s="79"/>
      <c r="AB977" s="79"/>
    </row>
    <row r="978">
      <c r="A978" s="79"/>
      <c r="B978" s="84"/>
      <c r="C978" s="84"/>
      <c r="D978" s="84"/>
      <c r="E978" s="85"/>
      <c r="F978" s="85"/>
      <c r="G978" s="72"/>
      <c r="H978" s="72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6"/>
      <c r="V978" s="86"/>
      <c r="W978" s="86"/>
      <c r="X978" s="86"/>
      <c r="Y978" s="79"/>
      <c r="Z978" s="79"/>
      <c r="AA978" s="79"/>
      <c r="AB978" s="79"/>
    </row>
    <row r="979">
      <c r="A979" s="79"/>
      <c r="B979" s="84"/>
      <c r="C979" s="84"/>
      <c r="D979" s="84"/>
      <c r="E979" s="85"/>
      <c r="F979" s="85"/>
      <c r="G979" s="72"/>
      <c r="H979" s="72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6"/>
      <c r="V979" s="86"/>
      <c r="W979" s="86"/>
      <c r="X979" s="86"/>
      <c r="Y979" s="79"/>
      <c r="Z979" s="79"/>
      <c r="AA979" s="79"/>
      <c r="AB979" s="79"/>
    </row>
    <row r="980">
      <c r="A980" s="79"/>
      <c r="B980" s="84"/>
      <c r="C980" s="84"/>
      <c r="D980" s="84"/>
      <c r="E980" s="85"/>
      <c r="F980" s="85"/>
      <c r="G980" s="72"/>
      <c r="H980" s="72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6"/>
      <c r="V980" s="86"/>
      <c r="W980" s="86"/>
      <c r="X980" s="86"/>
      <c r="Y980" s="79"/>
      <c r="Z980" s="79"/>
      <c r="AA980" s="79"/>
      <c r="AB980" s="79"/>
    </row>
    <row r="981">
      <c r="A981" s="79"/>
      <c r="B981" s="84"/>
      <c r="C981" s="84"/>
      <c r="D981" s="84"/>
      <c r="E981" s="85"/>
      <c r="F981" s="85"/>
      <c r="G981" s="72"/>
      <c r="H981" s="72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6"/>
      <c r="V981" s="86"/>
      <c r="W981" s="86"/>
      <c r="X981" s="86"/>
      <c r="Y981" s="79"/>
      <c r="Z981" s="79"/>
      <c r="AA981" s="79"/>
      <c r="AB981" s="79"/>
    </row>
    <row r="982">
      <c r="A982" s="79"/>
      <c r="B982" s="84"/>
      <c r="C982" s="84"/>
      <c r="D982" s="84"/>
      <c r="E982" s="85"/>
      <c r="F982" s="85"/>
      <c r="G982" s="72"/>
      <c r="H982" s="72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6"/>
      <c r="V982" s="86"/>
      <c r="W982" s="86"/>
      <c r="X982" s="86"/>
      <c r="Y982" s="79"/>
      <c r="Z982" s="79"/>
      <c r="AA982" s="79"/>
      <c r="AB982" s="79"/>
    </row>
    <row r="983">
      <c r="A983" s="79"/>
      <c r="B983" s="84"/>
      <c r="C983" s="84"/>
      <c r="D983" s="84"/>
      <c r="E983" s="85"/>
      <c r="F983" s="85"/>
      <c r="G983" s="72"/>
      <c r="H983" s="72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6"/>
      <c r="V983" s="86"/>
      <c r="W983" s="86"/>
      <c r="X983" s="86"/>
      <c r="Y983" s="79"/>
      <c r="Z983" s="79"/>
      <c r="AA983" s="79"/>
      <c r="AB983" s="79"/>
    </row>
    <row r="984">
      <c r="A984" s="79"/>
      <c r="B984" s="84"/>
      <c r="C984" s="84"/>
      <c r="D984" s="84"/>
      <c r="E984" s="85"/>
      <c r="F984" s="85"/>
      <c r="G984" s="72"/>
      <c r="H984" s="72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6"/>
      <c r="V984" s="86"/>
      <c r="W984" s="86"/>
      <c r="X984" s="86"/>
      <c r="Y984" s="79"/>
      <c r="Z984" s="79"/>
      <c r="AA984" s="79"/>
      <c r="AB984" s="79"/>
    </row>
    <row r="985">
      <c r="A985" s="79"/>
      <c r="B985" s="84"/>
      <c r="C985" s="84"/>
      <c r="D985" s="84"/>
      <c r="E985" s="85"/>
      <c r="F985" s="85"/>
      <c r="G985" s="72"/>
      <c r="H985" s="72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6"/>
      <c r="V985" s="86"/>
      <c r="W985" s="86"/>
      <c r="X985" s="86"/>
      <c r="Y985" s="79"/>
      <c r="Z985" s="79"/>
      <c r="AA985" s="79"/>
      <c r="AB985" s="79"/>
    </row>
    <row r="986">
      <c r="A986" s="79"/>
      <c r="B986" s="84"/>
      <c r="C986" s="84"/>
      <c r="D986" s="84"/>
      <c r="E986" s="85"/>
      <c r="F986" s="85"/>
      <c r="G986" s="72"/>
      <c r="H986" s="72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6"/>
      <c r="V986" s="86"/>
      <c r="W986" s="86"/>
      <c r="X986" s="86"/>
      <c r="Y986" s="79"/>
      <c r="Z986" s="79"/>
      <c r="AA986" s="79"/>
      <c r="AB986" s="79"/>
    </row>
    <row r="987">
      <c r="A987" s="79"/>
      <c r="B987" s="84"/>
      <c r="C987" s="84"/>
      <c r="D987" s="84"/>
      <c r="E987" s="85"/>
      <c r="F987" s="85"/>
      <c r="G987" s="72"/>
      <c r="H987" s="72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6"/>
      <c r="V987" s="86"/>
      <c r="W987" s="86"/>
      <c r="X987" s="86"/>
      <c r="Y987" s="79"/>
      <c r="Z987" s="79"/>
      <c r="AA987" s="79"/>
      <c r="AB987" s="79"/>
    </row>
    <row r="988">
      <c r="A988" s="79"/>
      <c r="B988" s="84"/>
      <c r="C988" s="84"/>
      <c r="D988" s="84"/>
      <c r="E988" s="85"/>
      <c r="F988" s="85"/>
      <c r="G988" s="72"/>
      <c r="H988" s="72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6"/>
      <c r="V988" s="86"/>
      <c r="W988" s="86"/>
      <c r="X988" s="86"/>
      <c r="Y988" s="79"/>
      <c r="Z988" s="79"/>
      <c r="AA988" s="79"/>
      <c r="AB988" s="79"/>
    </row>
    <row r="989">
      <c r="A989" s="79"/>
      <c r="B989" s="84"/>
      <c r="C989" s="84"/>
      <c r="D989" s="84"/>
      <c r="E989" s="85"/>
      <c r="F989" s="85"/>
      <c r="G989" s="72"/>
      <c r="H989" s="72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6"/>
      <c r="V989" s="86"/>
      <c r="W989" s="86"/>
      <c r="X989" s="86"/>
      <c r="Y989" s="79"/>
      <c r="Z989" s="79"/>
      <c r="AA989" s="79"/>
      <c r="AB989" s="79"/>
    </row>
    <row r="990">
      <c r="A990" s="79"/>
      <c r="B990" s="84"/>
      <c r="C990" s="84"/>
      <c r="D990" s="84"/>
      <c r="E990" s="85"/>
      <c r="F990" s="85"/>
      <c r="G990" s="72"/>
      <c r="H990" s="72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6"/>
      <c r="V990" s="86"/>
      <c r="W990" s="86"/>
      <c r="X990" s="86"/>
      <c r="Y990" s="79"/>
      <c r="Z990" s="79"/>
      <c r="AA990" s="79"/>
      <c r="AB990" s="79"/>
    </row>
    <row r="991">
      <c r="A991" s="79"/>
      <c r="B991" s="84"/>
      <c r="C991" s="84"/>
      <c r="D991" s="84"/>
      <c r="E991" s="85"/>
      <c r="F991" s="85"/>
      <c r="G991" s="72"/>
      <c r="H991" s="72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6"/>
      <c r="V991" s="86"/>
      <c r="W991" s="86"/>
      <c r="X991" s="86"/>
      <c r="Y991" s="79"/>
      <c r="Z991" s="79"/>
      <c r="AA991" s="79"/>
      <c r="AB991" s="79"/>
    </row>
    <row r="992">
      <c r="A992" s="79"/>
      <c r="B992" s="84"/>
      <c r="C992" s="84"/>
      <c r="D992" s="84"/>
      <c r="E992" s="85"/>
      <c r="F992" s="85"/>
      <c r="G992" s="72"/>
      <c r="H992" s="72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6"/>
      <c r="V992" s="86"/>
      <c r="W992" s="86"/>
      <c r="X992" s="86"/>
      <c r="Y992" s="79"/>
      <c r="Z992" s="79"/>
      <c r="AA992" s="79"/>
      <c r="AB992" s="79"/>
    </row>
    <row r="993">
      <c r="A993" s="79"/>
      <c r="B993" s="84"/>
      <c r="C993" s="84"/>
      <c r="D993" s="84"/>
      <c r="E993" s="85"/>
      <c r="F993" s="85"/>
      <c r="G993" s="72"/>
      <c r="H993" s="72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6"/>
      <c r="V993" s="86"/>
      <c r="W993" s="86"/>
      <c r="X993" s="86"/>
      <c r="Y993" s="79"/>
      <c r="Z993" s="79"/>
      <c r="AA993" s="79"/>
      <c r="AB993" s="79"/>
    </row>
    <row r="994">
      <c r="A994" s="79"/>
      <c r="B994" s="84"/>
      <c r="C994" s="84"/>
      <c r="D994" s="84"/>
      <c r="E994" s="85"/>
      <c r="F994" s="85"/>
      <c r="G994" s="72"/>
      <c r="H994" s="72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6"/>
      <c r="V994" s="86"/>
      <c r="W994" s="86"/>
      <c r="X994" s="86"/>
      <c r="Y994" s="79"/>
      <c r="Z994" s="79"/>
      <c r="AA994" s="79"/>
      <c r="AB994" s="79"/>
    </row>
    <row r="995">
      <c r="A995" s="79"/>
      <c r="B995" s="84"/>
      <c r="C995" s="84"/>
      <c r="D995" s="84"/>
      <c r="E995" s="85"/>
      <c r="F995" s="85"/>
      <c r="G995" s="72"/>
      <c r="H995" s="72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6"/>
      <c r="V995" s="86"/>
      <c r="W995" s="86"/>
      <c r="X995" s="86"/>
      <c r="Y995" s="79"/>
      <c r="Z995" s="79"/>
      <c r="AA995" s="79"/>
      <c r="AB995" s="79"/>
    </row>
    <row r="996">
      <c r="A996" s="79"/>
      <c r="B996" s="84"/>
      <c r="C996" s="84"/>
      <c r="D996" s="84"/>
      <c r="E996" s="85"/>
      <c r="F996" s="85"/>
      <c r="G996" s="72"/>
      <c r="H996" s="72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6"/>
      <c r="V996" s="86"/>
      <c r="W996" s="86"/>
      <c r="X996" s="86"/>
      <c r="Y996" s="79"/>
      <c r="Z996" s="79"/>
      <c r="AA996" s="79"/>
      <c r="AB996" s="79"/>
    </row>
    <row r="997">
      <c r="A997" s="79"/>
      <c r="B997" s="84"/>
      <c r="C997" s="84"/>
      <c r="D997" s="84"/>
      <c r="E997" s="85"/>
      <c r="F997" s="85"/>
      <c r="G997" s="72"/>
      <c r="H997" s="72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6"/>
      <c r="V997" s="86"/>
      <c r="W997" s="86"/>
      <c r="X997" s="86"/>
      <c r="Y997" s="79"/>
      <c r="Z997" s="79"/>
      <c r="AA997" s="79"/>
      <c r="AB997" s="79"/>
    </row>
    <row r="998">
      <c r="A998" s="79"/>
      <c r="B998" s="84"/>
      <c r="C998" s="84"/>
      <c r="D998" s="84"/>
      <c r="E998" s="85"/>
      <c r="F998" s="85"/>
      <c r="G998" s="72"/>
      <c r="H998" s="72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6"/>
      <c r="V998" s="86"/>
      <c r="W998" s="86"/>
      <c r="X998" s="86"/>
      <c r="Y998" s="79"/>
      <c r="Z998" s="79"/>
      <c r="AA998" s="79"/>
      <c r="AB998" s="79"/>
    </row>
    <row r="999">
      <c r="A999" s="79"/>
      <c r="B999" s="84"/>
      <c r="C999" s="84"/>
      <c r="D999" s="84"/>
      <c r="E999" s="85"/>
      <c r="F999" s="85"/>
      <c r="G999" s="72"/>
      <c r="H999" s="72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6"/>
      <c r="V999" s="86"/>
      <c r="W999" s="86"/>
      <c r="X999" s="86"/>
      <c r="Y999" s="79"/>
      <c r="Z999" s="79"/>
      <c r="AA999" s="79"/>
      <c r="AB999" s="79"/>
    </row>
    <row r="1000">
      <c r="A1000" s="79"/>
      <c r="B1000" s="84"/>
      <c r="C1000" s="84"/>
      <c r="D1000" s="84"/>
      <c r="E1000" s="85"/>
      <c r="F1000" s="85"/>
      <c r="G1000" s="72"/>
      <c r="H1000" s="72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6"/>
      <c r="V1000" s="86"/>
      <c r="W1000" s="86"/>
      <c r="X1000" s="86"/>
      <c r="Y1000" s="79"/>
      <c r="Z1000" s="79"/>
      <c r="AA1000" s="79"/>
      <c r="AB1000" s="79"/>
    </row>
    <row r="1001">
      <c r="A1001" s="79"/>
      <c r="B1001" s="84"/>
      <c r="C1001" s="84"/>
      <c r="D1001" s="84"/>
      <c r="E1001" s="85"/>
      <c r="F1001" s="85"/>
      <c r="G1001" s="72"/>
      <c r="H1001" s="72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6"/>
      <c r="V1001" s="86"/>
      <c r="W1001" s="86"/>
      <c r="X1001" s="86"/>
      <c r="Y1001" s="79"/>
      <c r="Z1001" s="79"/>
      <c r="AA1001" s="79"/>
      <c r="AB1001" s="79"/>
    </row>
    <row r="1002">
      <c r="A1002" s="79"/>
      <c r="B1002" s="84"/>
      <c r="C1002" s="84"/>
      <c r="D1002" s="84"/>
      <c r="E1002" s="85"/>
      <c r="F1002" s="85"/>
      <c r="G1002" s="72"/>
      <c r="H1002" s="72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6"/>
      <c r="V1002" s="86"/>
      <c r="W1002" s="86"/>
      <c r="X1002" s="86"/>
      <c r="Y1002" s="79"/>
      <c r="Z1002" s="79"/>
      <c r="AA1002" s="79"/>
      <c r="AB1002" s="79"/>
    </row>
    <row r="1003">
      <c r="A1003" s="79"/>
      <c r="B1003" s="84"/>
      <c r="C1003" s="84"/>
      <c r="D1003" s="84"/>
      <c r="E1003" s="85"/>
      <c r="F1003" s="85"/>
      <c r="G1003" s="72"/>
      <c r="H1003" s="72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6"/>
      <c r="V1003" s="86"/>
      <c r="W1003" s="86"/>
      <c r="X1003" s="86"/>
      <c r="Y1003" s="79"/>
      <c r="Z1003" s="79"/>
      <c r="AA1003" s="79"/>
      <c r="AB1003" s="79"/>
    </row>
    <row r="1004">
      <c r="A1004" s="79"/>
      <c r="B1004" s="84"/>
      <c r="C1004" s="84"/>
      <c r="D1004" s="84"/>
      <c r="E1004" s="85"/>
      <c r="F1004" s="85"/>
      <c r="G1004" s="72"/>
      <c r="H1004" s="72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6"/>
      <c r="V1004" s="86"/>
      <c r="W1004" s="86"/>
      <c r="X1004" s="86"/>
      <c r="Y1004" s="79"/>
      <c r="Z1004" s="79"/>
      <c r="AA1004" s="79"/>
      <c r="AB1004" s="79"/>
    </row>
    <row r="1005">
      <c r="A1005" s="79"/>
      <c r="B1005" s="84"/>
      <c r="C1005" s="84"/>
      <c r="D1005" s="84"/>
      <c r="E1005" s="85"/>
      <c r="F1005" s="85"/>
      <c r="G1005" s="72"/>
      <c r="H1005" s="72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6"/>
      <c r="V1005" s="86"/>
      <c r="W1005" s="86"/>
      <c r="X1005" s="86"/>
      <c r="Y1005" s="79"/>
      <c r="Z1005" s="79"/>
      <c r="AA1005" s="79"/>
      <c r="AB1005" s="79"/>
    </row>
    <row r="1006">
      <c r="A1006" s="79"/>
      <c r="B1006" s="84"/>
      <c r="C1006" s="84"/>
      <c r="D1006" s="84"/>
      <c r="E1006" s="85"/>
      <c r="F1006" s="85"/>
      <c r="G1006" s="72"/>
      <c r="H1006" s="72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6"/>
      <c r="V1006" s="86"/>
      <c r="W1006" s="86"/>
      <c r="X1006" s="86"/>
      <c r="Y1006" s="79"/>
      <c r="Z1006" s="79"/>
      <c r="AA1006" s="79"/>
      <c r="AB1006" s="79"/>
    </row>
    <row r="1007">
      <c r="A1007" s="79"/>
      <c r="B1007" s="84"/>
      <c r="C1007" s="84"/>
      <c r="D1007" s="84"/>
      <c r="E1007" s="85"/>
      <c r="F1007" s="85"/>
      <c r="G1007" s="72"/>
      <c r="H1007" s="72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6"/>
      <c r="V1007" s="86"/>
      <c r="W1007" s="86"/>
      <c r="X1007" s="86"/>
      <c r="Y1007" s="79"/>
      <c r="Z1007" s="79"/>
      <c r="AA1007" s="79"/>
      <c r="AB1007" s="79"/>
    </row>
    <row r="1008">
      <c r="A1008" s="79"/>
      <c r="B1008" s="84"/>
      <c r="C1008" s="84"/>
      <c r="D1008" s="84"/>
      <c r="E1008" s="85"/>
      <c r="F1008" s="85"/>
      <c r="G1008" s="72"/>
      <c r="H1008" s="72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6"/>
      <c r="V1008" s="86"/>
      <c r="W1008" s="86"/>
      <c r="X1008" s="86"/>
      <c r="Y1008" s="79"/>
      <c r="Z1008" s="79"/>
      <c r="AA1008" s="79"/>
      <c r="AB1008" s="79"/>
    </row>
    <row r="1009">
      <c r="A1009" s="79"/>
      <c r="B1009" s="84"/>
      <c r="C1009" s="84"/>
      <c r="D1009" s="84"/>
      <c r="E1009" s="85"/>
      <c r="F1009" s="85"/>
      <c r="G1009" s="72"/>
      <c r="H1009" s="72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6"/>
      <c r="V1009" s="86"/>
      <c r="W1009" s="86"/>
      <c r="X1009" s="86"/>
      <c r="Y1009" s="79"/>
      <c r="Z1009" s="79"/>
      <c r="AA1009" s="79"/>
      <c r="AB1009" s="79"/>
    </row>
    <row r="1010">
      <c r="A1010" s="79"/>
      <c r="B1010" s="84"/>
      <c r="C1010" s="84"/>
      <c r="D1010" s="84"/>
      <c r="E1010" s="85"/>
      <c r="F1010" s="85"/>
      <c r="G1010" s="72"/>
      <c r="H1010" s="72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6"/>
      <c r="V1010" s="86"/>
      <c r="W1010" s="86"/>
      <c r="X1010" s="86"/>
      <c r="Y1010" s="79"/>
      <c r="Z1010" s="79"/>
      <c r="AA1010" s="79"/>
      <c r="AB1010" s="79"/>
    </row>
    <row r="1011">
      <c r="A1011" s="79"/>
      <c r="B1011" s="84"/>
      <c r="C1011" s="84"/>
      <c r="D1011" s="84"/>
      <c r="E1011" s="85"/>
      <c r="F1011" s="85"/>
      <c r="G1011" s="72"/>
      <c r="H1011" s="72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6"/>
      <c r="V1011" s="86"/>
      <c r="W1011" s="86"/>
      <c r="X1011" s="86"/>
      <c r="Y1011" s="79"/>
      <c r="Z1011" s="79"/>
      <c r="AA1011" s="79"/>
      <c r="AB1011" s="79"/>
    </row>
    <row r="1012">
      <c r="A1012" s="79"/>
      <c r="B1012" s="84"/>
      <c r="C1012" s="84"/>
      <c r="D1012" s="84"/>
      <c r="E1012" s="85"/>
      <c r="F1012" s="85"/>
      <c r="G1012" s="72"/>
      <c r="H1012" s="72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6"/>
      <c r="V1012" s="86"/>
      <c r="W1012" s="86"/>
      <c r="X1012" s="86"/>
      <c r="Y1012" s="79"/>
      <c r="Z1012" s="79"/>
      <c r="AA1012" s="79"/>
      <c r="AB1012" s="79"/>
    </row>
    <row r="1013">
      <c r="A1013" s="79"/>
      <c r="B1013" s="84"/>
      <c r="C1013" s="84"/>
      <c r="D1013" s="84"/>
      <c r="E1013" s="85"/>
      <c r="F1013" s="85"/>
      <c r="G1013" s="72"/>
      <c r="H1013" s="72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6"/>
      <c r="V1013" s="86"/>
      <c r="W1013" s="86"/>
      <c r="X1013" s="86"/>
      <c r="Y1013" s="79"/>
      <c r="Z1013" s="79"/>
      <c r="AA1013" s="79"/>
      <c r="AB1013" s="79"/>
    </row>
    <row r="1014">
      <c r="A1014" s="79"/>
      <c r="B1014" s="84"/>
      <c r="C1014" s="84"/>
      <c r="D1014" s="84"/>
      <c r="E1014" s="85"/>
      <c r="F1014" s="85"/>
      <c r="G1014" s="72"/>
      <c r="H1014" s="72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6"/>
      <c r="V1014" s="86"/>
      <c r="W1014" s="86"/>
      <c r="X1014" s="86"/>
      <c r="Y1014" s="79"/>
      <c r="Z1014" s="79"/>
      <c r="AA1014" s="79"/>
      <c r="AB1014" s="79"/>
    </row>
    <row r="1015">
      <c r="A1015" s="79"/>
      <c r="B1015" s="84"/>
      <c r="C1015" s="84"/>
      <c r="D1015" s="84"/>
      <c r="E1015" s="85"/>
      <c r="F1015" s="85"/>
      <c r="G1015" s="72"/>
      <c r="H1015" s="72"/>
      <c r="I1015" s="85"/>
      <c r="J1015" s="85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6"/>
      <c r="V1015" s="86"/>
      <c r="W1015" s="86"/>
      <c r="X1015" s="86"/>
      <c r="Y1015" s="79"/>
      <c r="Z1015" s="79"/>
      <c r="AA1015" s="79"/>
      <c r="AB1015" s="79"/>
    </row>
    <row r="1016">
      <c r="A1016" s="79"/>
      <c r="B1016" s="84"/>
      <c r="C1016" s="84"/>
      <c r="D1016" s="84"/>
      <c r="E1016" s="85"/>
      <c r="F1016" s="85"/>
      <c r="G1016" s="72"/>
      <c r="H1016" s="72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6"/>
      <c r="V1016" s="86"/>
      <c r="W1016" s="86"/>
      <c r="X1016" s="86"/>
      <c r="Y1016" s="79"/>
      <c r="Z1016" s="79"/>
      <c r="AA1016" s="79"/>
      <c r="AB1016" s="79"/>
    </row>
    <row r="1017">
      <c r="A1017" s="79"/>
      <c r="B1017" s="84"/>
      <c r="C1017" s="84"/>
      <c r="D1017" s="84"/>
      <c r="E1017" s="85"/>
      <c r="F1017" s="85"/>
      <c r="G1017" s="72"/>
      <c r="H1017" s="72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6"/>
      <c r="V1017" s="86"/>
      <c r="W1017" s="86"/>
      <c r="X1017" s="86"/>
      <c r="Y1017" s="79"/>
      <c r="Z1017" s="79"/>
      <c r="AA1017" s="79"/>
      <c r="AB1017" s="79"/>
    </row>
    <row r="1018">
      <c r="A1018" s="79"/>
      <c r="B1018" s="84"/>
      <c r="C1018" s="84"/>
      <c r="D1018" s="84"/>
      <c r="E1018" s="85"/>
      <c r="F1018" s="85"/>
      <c r="G1018" s="72"/>
      <c r="H1018" s="72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6"/>
      <c r="V1018" s="86"/>
      <c r="W1018" s="86"/>
      <c r="X1018" s="86"/>
      <c r="Y1018" s="79"/>
      <c r="Z1018" s="79"/>
      <c r="AA1018" s="79"/>
      <c r="AB1018" s="79"/>
    </row>
    <row r="1019">
      <c r="A1019" s="79"/>
      <c r="B1019" s="84"/>
      <c r="C1019" s="84"/>
      <c r="D1019" s="84"/>
      <c r="E1019" s="85"/>
      <c r="F1019" s="85"/>
      <c r="G1019" s="72"/>
      <c r="H1019" s="72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6"/>
      <c r="V1019" s="86"/>
      <c r="W1019" s="86"/>
      <c r="X1019" s="86"/>
      <c r="Y1019" s="79"/>
      <c r="Z1019" s="79"/>
      <c r="AA1019" s="79"/>
      <c r="AB1019" s="79"/>
    </row>
    <row r="1020">
      <c r="A1020" s="79"/>
      <c r="B1020" s="84"/>
      <c r="C1020" s="84"/>
      <c r="D1020" s="84"/>
      <c r="E1020" s="85"/>
      <c r="F1020" s="85"/>
      <c r="G1020" s="72"/>
      <c r="H1020" s="72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6"/>
      <c r="V1020" s="86"/>
      <c r="W1020" s="86"/>
      <c r="X1020" s="86"/>
      <c r="Y1020" s="79"/>
      <c r="Z1020" s="79"/>
      <c r="AA1020" s="79"/>
      <c r="AB1020" s="79"/>
    </row>
    <row r="1021">
      <c r="A1021" s="79"/>
      <c r="B1021" s="84"/>
      <c r="C1021" s="84"/>
      <c r="D1021" s="84"/>
      <c r="E1021" s="85"/>
      <c r="F1021" s="85"/>
      <c r="G1021" s="72"/>
      <c r="H1021" s="72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6"/>
      <c r="V1021" s="86"/>
      <c r="W1021" s="86"/>
      <c r="X1021" s="86"/>
      <c r="Y1021" s="79"/>
      <c r="Z1021" s="79"/>
      <c r="AA1021" s="79"/>
      <c r="AB1021" s="79"/>
    </row>
    <row r="1022">
      <c r="A1022" s="79"/>
      <c r="B1022" s="84"/>
      <c r="C1022" s="84"/>
      <c r="D1022" s="84"/>
      <c r="E1022" s="85"/>
      <c r="F1022" s="85"/>
      <c r="G1022" s="72"/>
      <c r="H1022" s="72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6"/>
      <c r="V1022" s="86"/>
      <c r="W1022" s="86"/>
      <c r="X1022" s="86"/>
      <c r="Y1022" s="79"/>
      <c r="Z1022" s="79"/>
      <c r="AA1022" s="79"/>
      <c r="AB1022" s="79"/>
    </row>
    <row r="1023">
      <c r="A1023" s="79"/>
      <c r="B1023" s="84"/>
      <c r="C1023" s="84"/>
      <c r="D1023" s="84"/>
      <c r="E1023" s="85"/>
      <c r="F1023" s="85"/>
      <c r="G1023" s="72"/>
      <c r="H1023" s="72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6"/>
      <c r="V1023" s="86"/>
      <c r="W1023" s="86"/>
      <c r="X1023" s="86"/>
      <c r="Y1023" s="79"/>
      <c r="Z1023" s="79"/>
      <c r="AA1023" s="79"/>
      <c r="AB1023" s="79"/>
    </row>
    <row r="1024">
      <c r="A1024" s="79"/>
      <c r="B1024" s="84"/>
      <c r="C1024" s="84"/>
      <c r="D1024" s="84"/>
      <c r="E1024" s="85"/>
      <c r="F1024" s="85"/>
      <c r="G1024" s="72"/>
      <c r="H1024" s="72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6"/>
      <c r="V1024" s="86"/>
      <c r="W1024" s="86"/>
      <c r="X1024" s="86"/>
      <c r="Y1024" s="79"/>
      <c r="Z1024" s="79"/>
      <c r="AA1024" s="79"/>
      <c r="AB1024" s="79"/>
    </row>
    <row r="1025">
      <c r="A1025" s="79"/>
      <c r="B1025" s="84"/>
      <c r="C1025" s="84"/>
      <c r="D1025" s="84"/>
      <c r="E1025" s="85"/>
      <c r="F1025" s="85"/>
      <c r="G1025" s="72"/>
      <c r="H1025" s="72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6"/>
      <c r="V1025" s="86"/>
      <c r="W1025" s="86"/>
      <c r="X1025" s="86"/>
      <c r="Y1025" s="79"/>
      <c r="Z1025" s="79"/>
      <c r="AA1025" s="79"/>
      <c r="AB1025" s="79"/>
    </row>
  </sheetData>
  <mergeCells count="2222">
    <mergeCell ref="O3:P3"/>
    <mergeCell ref="Q3:R3"/>
    <mergeCell ref="S3:T3"/>
    <mergeCell ref="U3:X3"/>
    <mergeCell ref="B2:X2"/>
    <mergeCell ref="C3:D3"/>
    <mergeCell ref="E3:F3"/>
    <mergeCell ref="G3:H3"/>
    <mergeCell ref="I3:J3"/>
    <mergeCell ref="K3:L3"/>
    <mergeCell ref="M3:N3"/>
    <mergeCell ref="Q4:R4"/>
    <mergeCell ref="S4:T4"/>
    <mergeCell ref="U4:X4"/>
    <mergeCell ref="C4:D4"/>
    <mergeCell ref="E4:F4"/>
    <mergeCell ref="G4:H4"/>
    <mergeCell ref="I4:J4"/>
    <mergeCell ref="K4:L4"/>
    <mergeCell ref="M4:N4"/>
    <mergeCell ref="O4:P4"/>
    <mergeCell ref="Q5:R5"/>
    <mergeCell ref="S5:T5"/>
    <mergeCell ref="U5:X5"/>
    <mergeCell ref="C5:D5"/>
    <mergeCell ref="E5:F5"/>
    <mergeCell ref="G5:H5"/>
    <mergeCell ref="I5:J5"/>
    <mergeCell ref="K5:L5"/>
    <mergeCell ref="M5:N5"/>
    <mergeCell ref="O5:P5"/>
    <mergeCell ref="Q9:R9"/>
    <mergeCell ref="S9:T9"/>
    <mergeCell ref="U9:X9"/>
    <mergeCell ref="C9:D9"/>
    <mergeCell ref="E9:F9"/>
    <mergeCell ref="G9:H9"/>
    <mergeCell ref="I9:J9"/>
    <mergeCell ref="K9:L9"/>
    <mergeCell ref="M9:N9"/>
    <mergeCell ref="O9:P9"/>
    <mergeCell ref="Q10:R10"/>
    <mergeCell ref="S10:T10"/>
    <mergeCell ref="U10:X10"/>
    <mergeCell ref="C10:D10"/>
    <mergeCell ref="E10:F10"/>
    <mergeCell ref="G10:H10"/>
    <mergeCell ref="I10:J10"/>
    <mergeCell ref="K10:L10"/>
    <mergeCell ref="M10:N10"/>
    <mergeCell ref="O10:P10"/>
    <mergeCell ref="Q11:R11"/>
    <mergeCell ref="S11:T11"/>
    <mergeCell ref="U11:X11"/>
    <mergeCell ref="C11:D11"/>
    <mergeCell ref="E11:F11"/>
    <mergeCell ref="G11:H11"/>
    <mergeCell ref="I11:J11"/>
    <mergeCell ref="K11:L11"/>
    <mergeCell ref="M11:N11"/>
    <mergeCell ref="O11:P11"/>
    <mergeCell ref="Q12:R12"/>
    <mergeCell ref="S12:T12"/>
    <mergeCell ref="U12:X12"/>
    <mergeCell ref="E12:F12"/>
    <mergeCell ref="G12:H12"/>
    <mergeCell ref="I12:J12"/>
    <mergeCell ref="K12:L12"/>
    <mergeCell ref="M12:N12"/>
    <mergeCell ref="O12:P12"/>
    <mergeCell ref="B14:X14"/>
    <mergeCell ref="Q6:R6"/>
    <mergeCell ref="S6:T6"/>
    <mergeCell ref="U6:X6"/>
    <mergeCell ref="C6:D6"/>
    <mergeCell ref="E6:F6"/>
    <mergeCell ref="G6:H6"/>
    <mergeCell ref="I6:J6"/>
    <mergeCell ref="K6:L6"/>
    <mergeCell ref="M6:N6"/>
    <mergeCell ref="O6:P6"/>
    <mergeCell ref="Q7:R7"/>
    <mergeCell ref="S7:T7"/>
    <mergeCell ref="U7:X7"/>
    <mergeCell ref="C7:D7"/>
    <mergeCell ref="E7:F7"/>
    <mergeCell ref="G7:H7"/>
    <mergeCell ref="I7:J7"/>
    <mergeCell ref="K7:L7"/>
    <mergeCell ref="M7:N7"/>
    <mergeCell ref="O7:P7"/>
    <mergeCell ref="Q8:R8"/>
    <mergeCell ref="S8:T8"/>
    <mergeCell ref="U8:X8"/>
    <mergeCell ref="C8:D8"/>
    <mergeCell ref="E8:F8"/>
    <mergeCell ref="G8:H8"/>
    <mergeCell ref="I8:J8"/>
    <mergeCell ref="K8:L8"/>
    <mergeCell ref="M8:N8"/>
    <mergeCell ref="O8:P8"/>
    <mergeCell ref="O15:P15"/>
    <mergeCell ref="Q15:R15"/>
    <mergeCell ref="S15:T15"/>
    <mergeCell ref="U15:X15"/>
    <mergeCell ref="C12:D12"/>
    <mergeCell ref="C15:D15"/>
    <mergeCell ref="E15:F15"/>
    <mergeCell ref="G15:H15"/>
    <mergeCell ref="I15:J15"/>
    <mergeCell ref="K15:L15"/>
    <mergeCell ref="M15:N15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22:R22"/>
    <mergeCell ref="S22:T22"/>
    <mergeCell ref="U22:X22"/>
    <mergeCell ref="C22:D22"/>
    <mergeCell ref="E22:F22"/>
    <mergeCell ref="G22:H22"/>
    <mergeCell ref="I22:J22"/>
    <mergeCell ref="K22:L22"/>
    <mergeCell ref="M22:N22"/>
    <mergeCell ref="O22:P22"/>
    <mergeCell ref="Q23:R23"/>
    <mergeCell ref="S23:T23"/>
    <mergeCell ref="U23:X23"/>
    <mergeCell ref="C23:D23"/>
    <mergeCell ref="E23:F23"/>
    <mergeCell ref="G23:H23"/>
    <mergeCell ref="I23:J23"/>
    <mergeCell ref="K23:L23"/>
    <mergeCell ref="M23:N23"/>
    <mergeCell ref="O23:P23"/>
    <mergeCell ref="Q24:R24"/>
    <mergeCell ref="S24:T24"/>
    <mergeCell ref="U24:X24"/>
    <mergeCell ref="E24:F24"/>
    <mergeCell ref="G24:H24"/>
    <mergeCell ref="I24:J24"/>
    <mergeCell ref="K24:L24"/>
    <mergeCell ref="M24:N24"/>
    <mergeCell ref="O24:P24"/>
    <mergeCell ref="B26:X26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O27:P27"/>
    <mergeCell ref="Q27:R27"/>
    <mergeCell ref="S27:T27"/>
    <mergeCell ref="U27:X27"/>
    <mergeCell ref="C24:D24"/>
    <mergeCell ref="C27:D27"/>
    <mergeCell ref="E27:F27"/>
    <mergeCell ref="G27:H27"/>
    <mergeCell ref="I27:J27"/>
    <mergeCell ref="K27:L27"/>
    <mergeCell ref="M27:N27"/>
    <mergeCell ref="Q28:R28"/>
    <mergeCell ref="S28:T28"/>
    <mergeCell ref="U28:X28"/>
    <mergeCell ref="C28:D28"/>
    <mergeCell ref="E28:F28"/>
    <mergeCell ref="G28:H28"/>
    <mergeCell ref="I28:J28"/>
    <mergeCell ref="K28:L28"/>
    <mergeCell ref="M28:N28"/>
    <mergeCell ref="O28:P28"/>
    <mergeCell ref="Q29:R29"/>
    <mergeCell ref="S29:T29"/>
    <mergeCell ref="U29:X29"/>
    <mergeCell ref="C29:D29"/>
    <mergeCell ref="E29:F29"/>
    <mergeCell ref="G29:H29"/>
    <mergeCell ref="I29:J29"/>
    <mergeCell ref="K29:L29"/>
    <mergeCell ref="M29:N29"/>
    <mergeCell ref="O29:P29"/>
    <mergeCell ref="Q30:R30"/>
    <mergeCell ref="S30:T30"/>
    <mergeCell ref="U30:X30"/>
    <mergeCell ref="C30:D30"/>
    <mergeCell ref="E30:F30"/>
    <mergeCell ref="G30:H30"/>
    <mergeCell ref="I30:J30"/>
    <mergeCell ref="K30:L30"/>
    <mergeCell ref="M30:N30"/>
    <mergeCell ref="O30:P30"/>
    <mergeCell ref="Q34:R34"/>
    <mergeCell ref="S34:T34"/>
    <mergeCell ref="U34:X34"/>
    <mergeCell ref="C34:D34"/>
    <mergeCell ref="E34:F34"/>
    <mergeCell ref="G34:H34"/>
    <mergeCell ref="I34:J34"/>
    <mergeCell ref="K34:L34"/>
    <mergeCell ref="M34:N34"/>
    <mergeCell ref="O34:P34"/>
    <mergeCell ref="Q35:R35"/>
    <mergeCell ref="S35:T35"/>
    <mergeCell ref="U35:X35"/>
    <mergeCell ref="C35:D35"/>
    <mergeCell ref="E35:F35"/>
    <mergeCell ref="G35:H35"/>
    <mergeCell ref="I35:J35"/>
    <mergeCell ref="K35:L35"/>
    <mergeCell ref="M35:N35"/>
    <mergeCell ref="O35:P35"/>
    <mergeCell ref="Q43:R43"/>
    <mergeCell ref="S43:T43"/>
    <mergeCell ref="U43:X43"/>
    <mergeCell ref="C43:D43"/>
    <mergeCell ref="E43:F43"/>
    <mergeCell ref="G43:H43"/>
    <mergeCell ref="I43:J43"/>
    <mergeCell ref="K43:L43"/>
    <mergeCell ref="M43:N43"/>
    <mergeCell ref="O43:P43"/>
    <mergeCell ref="Q44:R44"/>
    <mergeCell ref="S44:T44"/>
    <mergeCell ref="U44:X44"/>
    <mergeCell ref="C44:D44"/>
    <mergeCell ref="E44:F44"/>
    <mergeCell ref="G44:H44"/>
    <mergeCell ref="I44:J44"/>
    <mergeCell ref="K44:L44"/>
    <mergeCell ref="M44:N44"/>
    <mergeCell ref="O44:P44"/>
    <mergeCell ref="Q45:R45"/>
    <mergeCell ref="S45:T45"/>
    <mergeCell ref="U45:X45"/>
    <mergeCell ref="C45:D45"/>
    <mergeCell ref="E45:F45"/>
    <mergeCell ref="G45:H45"/>
    <mergeCell ref="I45:J45"/>
    <mergeCell ref="K45:L45"/>
    <mergeCell ref="M45:N45"/>
    <mergeCell ref="O45:P45"/>
    <mergeCell ref="O51:P51"/>
    <mergeCell ref="Q51:R51"/>
    <mergeCell ref="S51:T51"/>
    <mergeCell ref="U51:X51"/>
    <mergeCell ref="C48:D48"/>
    <mergeCell ref="C51:D51"/>
    <mergeCell ref="E51:F51"/>
    <mergeCell ref="G51:H51"/>
    <mergeCell ref="I51:J51"/>
    <mergeCell ref="K51:L51"/>
    <mergeCell ref="M51:N51"/>
    <mergeCell ref="Q52:R52"/>
    <mergeCell ref="S52:T52"/>
    <mergeCell ref="U52:X52"/>
    <mergeCell ref="C52:D52"/>
    <mergeCell ref="E52:F52"/>
    <mergeCell ref="G52:H52"/>
    <mergeCell ref="I52:J52"/>
    <mergeCell ref="K52:L52"/>
    <mergeCell ref="M52:N52"/>
    <mergeCell ref="O52:P52"/>
    <mergeCell ref="Q53:R53"/>
    <mergeCell ref="S53:T53"/>
    <mergeCell ref="U53:X53"/>
    <mergeCell ref="C53:D53"/>
    <mergeCell ref="E53:F53"/>
    <mergeCell ref="G53:H53"/>
    <mergeCell ref="I53:J53"/>
    <mergeCell ref="K53:L53"/>
    <mergeCell ref="M53:N53"/>
    <mergeCell ref="O53:P53"/>
    <mergeCell ref="Q54:R54"/>
    <mergeCell ref="S54:T54"/>
    <mergeCell ref="U54:X54"/>
    <mergeCell ref="C54:D54"/>
    <mergeCell ref="E54:F54"/>
    <mergeCell ref="G54:H54"/>
    <mergeCell ref="I54:J54"/>
    <mergeCell ref="K54:L54"/>
    <mergeCell ref="M54:N54"/>
    <mergeCell ref="O54:P54"/>
    <mergeCell ref="Q36:R36"/>
    <mergeCell ref="S36:T36"/>
    <mergeCell ref="U36:X36"/>
    <mergeCell ref="E36:F36"/>
    <mergeCell ref="G36:H36"/>
    <mergeCell ref="I36:J36"/>
    <mergeCell ref="K36:L36"/>
    <mergeCell ref="M36:N36"/>
    <mergeCell ref="O36:P36"/>
    <mergeCell ref="B38:X38"/>
    <mergeCell ref="Q31:R31"/>
    <mergeCell ref="S31:T31"/>
    <mergeCell ref="U31:X31"/>
    <mergeCell ref="C31:D31"/>
    <mergeCell ref="E31:F31"/>
    <mergeCell ref="G31:H31"/>
    <mergeCell ref="I31:J31"/>
    <mergeCell ref="K31:L31"/>
    <mergeCell ref="M31:N31"/>
    <mergeCell ref="O31:P31"/>
    <mergeCell ref="Q32:R32"/>
    <mergeCell ref="S32:T32"/>
    <mergeCell ref="U32:X32"/>
    <mergeCell ref="C32:D32"/>
    <mergeCell ref="E32:F32"/>
    <mergeCell ref="G32:H32"/>
    <mergeCell ref="I32:J32"/>
    <mergeCell ref="K32:L32"/>
    <mergeCell ref="M32:N32"/>
    <mergeCell ref="O32:P32"/>
    <mergeCell ref="Q33:R33"/>
    <mergeCell ref="S33:T33"/>
    <mergeCell ref="U33:X33"/>
    <mergeCell ref="C33:D33"/>
    <mergeCell ref="E33:F33"/>
    <mergeCell ref="G33:H33"/>
    <mergeCell ref="I33:J33"/>
    <mergeCell ref="K33:L33"/>
    <mergeCell ref="M33:N33"/>
    <mergeCell ref="O33:P33"/>
    <mergeCell ref="O39:P39"/>
    <mergeCell ref="Q39:R39"/>
    <mergeCell ref="S39:T39"/>
    <mergeCell ref="U39:X39"/>
    <mergeCell ref="C36:D36"/>
    <mergeCell ref="C39:D39"/>
    <mergeCell ref="E39:F39"/>
    <mergeCell ref="G39:H39"/>
    <mergeCell ref="I39:J39"/>
    <mergeCell ref="K39:L39"/>
    <mergeCell ref="M39:N39"/>
    <mergeCell ref="Q40:R40"/>
    <mergeCell ref="S40:T40"/>
    <mergeCell ref="U40:X40"/>
    <mergeCell ref="C40:D40"/>
    <mergeCell ref="E40:F40"/>
    <mergeCell ref="G40:H40"/>
    <mergeCell ref="I40:J40"/>
    <mergeCell ref="K40:L40"/>
    <mergeCell ref="M40:N40"/>
    <mergeCell ref="O40:P40"/>
    <mergeCell ref="Q41:R41"/>
    <mergeCell ref="S41:T41"/>
    <mergeCell ref="U41:X41"/>
    <mergeCell ref="C41:D41"/>
    <mergeCell ref="E41:F41"/>
    <mergeCell ref="G41:H41"/>
    <mergeCell ref="I41:J41"/>
    <mergeCell ref="K41:L41"/>
    <mergeCell ref="M41:N41"/>
    <mergeCell ref="O41:P41"/>
    <mergeCell ref="Q42:R42"/>
    <mergeCell ref="S42:T42"/>
    <mergeCell ref="U42:X42"/>
    <mergeCell ref="C42:D42"/>
    <mergeCell ref="E42:F42"/>
    <mergeCell ref="G42:H42"/>
    <mergeCell ref="I42:J42"/>
    <mergeCell ref="K42:L42"/>
    <mergeCell ref="M42:N42"/>
    <mergeCell ref="O42:P42"/>
    <mergeCell ref="Q46:R46"/>
    <mergeCell ref="S46:T46"/>
    <mergeCell ref="U46:X46"/>
    <mergeCell ref="C46:D46"/>
    <mergeCell ref="E46:F46"/>
    <mergeCell ref="G46:H46"/>
    <mergeCell ref="I46:J46"/>
    <mergeCell ref="K46:L46"/>
    <mergeCell ref="M46:N46"/>
    <mergeCell ref="O46:P46"/>
    <mergeCell ref="Q47:R47"/>
    <mergeCell ref="S47:T47"/>
    <mergeCell ref="U47:X47"/>
    <mergeCell ref="C47:D47"/>
    <mergeCell ref="E47:F47"/>
    <mergeCell ref="G47:H47"/>
    <mergeCell ref="I47:J47"/>
    <mergeCell ref="K47:L47"/>
    <mergeCell ref="M47:N47"/>
    <mergeCell ref="O47:P47"/>
    <mergeCell ref="Q48:R48"/>
    <mergeCell ref="S48:T48"/>
    <mergeCell ref="U48:X48"/>
    <mergeCell ref="E48:F48"/>
    <mergeCell ref="G48:H48"/>
    <mergeCell ref="I48:J48"/>
    <mergeCell ref="K48:L48"/>
    <mergeCell ref="M48:N48"/>
    <mergeCell ref="O48:P48"/>
    <mergeCell ref="B50:X50"/>
    <mergeCell ref="Q58:R58"/>
    <mergeCell ref="S58:T58"/>
    <mergeCell ref="U58:X58"/>
    <mergeCell ref="C58:D58"/>
    <mergeCell ref="E58:F58"/>
    <mergeCell ref="G58:H58"/>
    <mergeCell ref="I58:J58"/>
    <mergeCell ref="K58:L58"/>
    <mergeCell ref="M58:N58"/>
    <mergeCell ref="O58:P58"/>
    <mergeCell ref="Q72:R72"/>
    <mergeCell ref="S72:T72"/>
    <mergeCell ref="U72:X72"/>
    <mergeCell ref="E72:F72"/>
    <mergeCell ref="G72:H72"/>
    <mergeCell ref="I72:J72"/>
    <mergeCell ref="K72:L72"/>
    <mergeCell ref="M72:N72"/>
    <mergeCell ref="O72:P72"/>
    <mergeCell ref="B74:X74"/>
    <mergeCell ref="Q67:R67"/>
    <mergeCell ref="S67:T67"/>
    <mergeCell ref="U67:X67"/>
    <mergeCell ref="C67:D67"/>
    <mergeCell ref="E67:F67"/>
    <mergeCell ref="G67:H67"/>
    <mergeCell ref="I67:J67"/>
    <mergeCell ref="K67:L67"/>
    <mergeCell ref="M67:N67"/>
    <mergeCell ref="O67:P67"/>
    <mergeCell ref="Q68:R68"/>
    <mergeCell ref="S68:T68"/>
    <mergeCell ref="U68:X68"/>
    <mergeCell ref="C68:D68"/>
    <mergeCell ref="E68:F68"/>
    <mergeCell ref="G68:H68"/>
    <mergeCell ref="I68:J68"/>
    <mergeCell ref="K68:L68"/>
    <mergeCell ref="M68:N68"/>
    <mergeCell ref="O68:P68"/>
    <mergeCell ref="Q69:R69"/>
    <mergeCell ref="S69:T69"/>
    <mergeCell ref="U69:X69"/>
    <mergeCell ref="C69:D69"/>
    <mergeCell ref="E69:F69"/>
    <mergeCell ref="G69:H69"/>
    <mergeCell ref="I69:J69"/>
    <mergeCell ref="K69:L69"/>
    <mergeCell ref="M69:N69"/>
    <mergeCell ref="O69:P69"/>
    <mergeCell ref="O75:P75"/>
    <mergeCell ref="Q75:R75"/>
    <mergeCell ref="S75:T75"/>
    <mergeCell ref="U75:X75"/>
    <mergeCell ref="Q59:R59"/>
    <mergeCell ref="S59:T59"/>
    <mergeCell ref="U59:X59"/>
    <mergeCell ref="C59:D59"/>
    <mergeCell ref="E59:F59"/>
    <mergeCell ref="G59:H59"/>
    <mergeCell ref="I59:J59"/>
    <mergeCell ref="K59:L59"/>
    <mergeCell ref="M59:N59"/>
    <mergeCell ref="O59:P59"/>
    <mergeCell ref="Q60:R60"/>
    <mergeCell ref="S60:T60"/>
    <mergeCell ref="U60:X60"/>
    <mergeCell ref="E60:F60"/>
    <mergeCell ref="G60:H60"/>
    <mergeCell ref="I60:J60"/>
    <mergeCell ref="K60:L60"/>
    <mergeCell ref="M60:N60"/>
    <mergeCell ref="O60:P60"/>
    <mergeCell ref="B62:X62"/>
    <mergeCell ref="Q55:R55"/>
    <mergeCell ref="S55:T55"/>
    <mergeCell ref="U55:X55"/>
    <mergeCell ref="C55:D55"/>
    <mergeCell ref="E55:F55"/>
    <mergeCell ref="G55:H55"/>
    <mergeCell ref="I55:J55"/>
    <mergeCell ref="K55:L55"/>
    <mergeCell ref="M55:N55"/>
    <mergeCell ref="O55:P55"/>
    <mergeCell ref="Q56:R56"/>
    <mergeCell ref="S56:T56"/>
    <mergeCell ref="U56:X56"/>
    <mergeCell ref="C56:D56"/>
    <mergeCell ref="E56:F56"/>
    <mergeCell ref="G56:H56"/>
    <mergeCell ref="I56:J56"/>
    <mergeCell ref="K56:L56"/>
    <mergeCell ref="M56:N56"/>
    <mergeCell ref="O56:P56"/>
    <mergeCell ref="Q57:R57"/>
    <mergeCell ref="S57:T57"/>
    <mergeCell ref="U57:X57"/>
    <mergeCell ref="C57:D57"/>
    <mergeCell ref="E57:F57"/>
    <mergeCell ref="G57:H57"/>
    <mergeCell ref="I57:J57"/>
    <mergeCell ref="K57:L57"/>
    <mergeCell ref="M57:N57"/>
    <mergeCell ref="O57:P57"/>
    <mergeCell ref="O63:P63"/>
    <mergeCell ref="Q63:R63"/>
    <mergeCell ref="S63:T63"/>
    <mergeCell ref="U63:X63"/>
    <mergeCell ref="C60:D60"/>
    <mergeCell ref="C63:D63"/>
    <mergeCell ref="E63:F63"/>
    <mergeCell ref="G63:H63"/>
    <mergeCell ref="I63:J63"/>
    <mergeCell ref="K63:L63"/>
    <mergeCell ref="M63:N63"/>
    <mergeCell ref="Q64:R64"/>
    <mergeCell ref="S64:T64"/>
    <mergeCell ref="U64:X64"/>
    <mergeCell ref="C64:D64"/>
    <mergeCell ref="E64:F64"/>
    <mergeCell ref="G64:H64"/>
    <mergeCell ref="I64:J64"/>
    <mergeCell ref="K64:L64"/>
    <mergeCell ref="M64:N64"/>
    <mergeCell ref="O64:P64"/>
    <mergeCell ref="Q65:R65"/>
    <mergeCell ref="S65:T65"/>
    <mergeCell ref="U65:X65"/>
    <mergeCell ref="C65:D65"/>
    <mergeCell ref="E65:F65"/>
    <mergeCell ref="G65:H65"/>
    <mergeCell ref="I65:J65"/>
    <mergeCell ref="K65:L65"/>
    <mergeCell ref="M65:N65"/>
    <mergeCell ref="O65:P65"/>
    <mergeCell ref="Q66:R66"/>
    <mergeCell ref="S66:T66"/>
    <mergeCell ref="U66:X66"/>
    <mergeCell ref="C66:D66"/>
    <mergeCell ref="E66:F66"/>
    <mergeCell ref="G66:H66"/>
    <mergeCell ref="I66:J66"/>
    <mergeCell ref="K66:L66"/>
    <mergeCell ref="M66:N66"/>
    <mergeCell ref="O66:P66"/>
    <mergeCell ref="Q70:R70"/>
    <mergeCell ref="S70:T70"/>
    <mergeCell ref="U70:X70"/>
    <mergeCell ref="C70:D70"/>
    <mergeCell ref="E70:F70"/>
    <mergeCell ref="G70:H70"/>
    <mergeCell ref="I70:J70"/>
    <mergeCell ref="K70:L70"/>
    <mergeCell ref="M70:N70"/>
    <mergeCell ref="O70:P70"/>
    <mergeCell ref="Q71:R71"/>
    <mergeCell ref="S71:T71"/>
    <mergeCell ref="U71:X71"/>
    <mergeCell ref="C71:D71"/>
    <mergeCell ref="E71:F71"/>
    <mergeCell ref="G71:H71"/>
    <mergeCell ref="I71:J71"/>
    <mergeCell ref="K71:L71"/>
    <mergeCell ref="M71:N71"/>
    <mergeCell ref="O71:P71"/>
    <mergeCell ref="C72:D72"/>
    <mergeCell ref="C75:D75"/>
    <mergeCell ref="E75:F75"/>
    <mergeCell ref="G75:H75"/>
    <mergeCell ref="I75:J75"/>
    <mergeCell ref="K75:L75"/>
    <mergeCell ref="M75:N75"/>
    <mergeCell ref="Q76:R76"/>
    <mergeCell ref="S76:T76"/>
    <mergeCell ref="U76:X76"/>
    <mergeCell ref="C76:D76"/>
    <mergeCell ref="E76:F76"/>
    <mergeCell ref="G76:H76"/>
    <mergeCell ref="I76:J76"/>
    <mergeCell ref="K76:L76"/>
    <mergeCell ref="M76:N76"/>
    <mergeCell ref="O76:P76"/>
    <mergeCell ref="Q77:R77"/>
    <mergeCell ref="S77:T77"/>
    <mergeCell ref="U77:X77"/>
    <mergeCell ref="C77:D77"/>
    <mergeCell ref="E77:F77"/>
    <mergeCell ref="G77:H77"/>
    <mergeCell ref="I77:J77"/>
    <mergeCell ref="K77:L77"/>
    <mergeCell ref="M77:N77"/>
    <mergeCell ref="O77:P77"/>
    <mergeCell ref="Q78:R78"/>
    <mergeCell ref="S78:T78"/>
    <mergeCell ref="U78:X78"/>
    <mergeCell ref="C78:D78"/>
    <mergeCell ref="E78:F78"/>
    <mergeCell ref="G78:H78"/>
    <mergeCell ref="I78:J78"/>
    <mergeCell ref="K78:L78"/>
    <mergeCell ref="M78:N78"/>
    <mergeCell ref="O78:P78"/>
    <mergeCell ref="Q82:R82"/>
    <mergeCell ref="S82:T82"/>
    <mergeCell ref="U82:X82"/>
    <mergeCell ref="C82:D82"/>
    <mergeCell ref="E82:F82"/>
    <mergeCell ref="G82:H82"/>
    <mergeCell ref="I82:J82"/>
    <mergeCell ref="K82:L82"/>
    <mergeCell ref="M82:N82"/>
    <mergeCell ref="O82:P82"/>
    <mergeCell ref="Q83:R83"/>
    <mergeCell ref="S83:T83"/>
    <mergeCell ref="U83:X83"/>
    <mergeCell ref="C83:D83"/>
    <mergeCell ref="E83:F83"/>
    <mergeCell ref="G83:H83"/>
    <mergeCell ref="I83:J83"/>
    <mergeCell ref="K83:L83"/>
    <mergeCell ref="M83:N83"/>
    <mergeCell ref="O83:P83"/>
    <mergeCell ref="Q84:R84"/>
    <mergeCell ref="S84:T84"/>
    <mergeCell ref="U84:X84"/>
    <mergeCell ref="E84:F84"/>
    <mergeCell ref="G84:H84"/>
    <mergeCell ref="I84:J84"/>
    <mergeCell ref="K84:L84"/>
    <mergeCell ref="M84:N84"/>
    <mergeCell ref="O84:P84"/>
    <mergeCell ref="B86:X86"/>
    <mergeCell ref="Q79:R79"/>
    <mergeCell ref="S79:T79"/>
    <mergeCell ref="U79:X79"/>
    <mergeCell ref="C79:D79"/>
    <mergeCell ref="E79:F79"/>
    <mergeCell ref="G79:H79"/>
    <mergeCell ref="I79:J79"/>
    <mergeCell ref="K79:L79"/>
    <mergeCell ref="M79:N79"/>
    <mergeCell ref="O79:P79"/>
    <mergeCell ref="Q80:R80"/>
    <mergeCell ref="S80:T80"/>
    <mergeCell ref="U80:X80"/>
    <mergeCell ref="C80:D80"/>
    <mergeCell ref="E80:F80"/>
    <mergeCell ref="G80:H80"/>
    <mergeCell ref="I80:J80"/>
    <mergeCell ref="K80:L80"/>
    <mergeCell ref="M80:N80"/>
    <mergeCell ref="O80:P80"/>
    <mergeCell ref="Q81:R81"/>
    <mergeCell ref="S81:T81"/>
    <mergeCell ref="U81:X81"/>
    <mergeCell ref="C81:D81"/>
    <mergeCell ref="E81:F81"/>
    <mergeCell ref="G81:H81"/>
    <mergeCell ref="I81:J81"/>
    <mergeCell ref="K81:L81"/>
    <mergeCell ref="M81:N81"/>
    <mergeCell ref="O81:P81"/>
    <mergeCell ref="O87:P87"/>
    <mergeCell ref="Q87:R87"/>
    <mergeCell ref="S87:T87"/>
    <mergeCell ref="U87:X87"/>
    <mergeCell ref="C84:D84"/>
    <mergeCell ref="C87:D87"/>
    <mergeCell ref="E87:F87"/>
    <mergeCell ref="G87:H87"/>
    <mergeCell ref="I87:J87"/>
    <mergeCell ref="K87:L87"/>
    <mergeCell ref="M87:N87"/>
    <mergeCell ref="Q88:R88"/>
    <mergeCell ref="S88:T88"/>
    <mergeCell ref="U88:X88"/>
    <mergeCell ref="C88:D88"/>
    <mergeCell ref="E88:F88"/>
    <mergeCell ref="G88:H88"/>
    <mergeCell ref="I88:J88"/>
    <mergeCell ref="K88:L88"/>
    <mergeCell ref="M88:N88"/>
    <mergeCell ref="O88:P88"/>
    <mergeCell ref="Q89:R89"/>
    <mergeCell ref="S89:T89"/>
    <mergeCell ref="U89:X89"/>
    <mergeCell ref="C89:D89"/>
    <mergeCell ref="E89:F89"/>
    <mergeCell ref="G89:H89"/>
    <mergeCell ref="I89:J89"/>
    <mergeCell ref="K89:L89"/>
    <mergeCell ref="M89:N89"/>
    <mergeCell ref="O89:P89"/>
    <mergeCell ref="Q90:R90"/>
    <mergeCell ref="S90:T90"/>
    <mergeCell ref="U90:X90"/>
    <mergeCell ref="C90:D90"/>
    <mergeCell ref="E90:F90"/>
    <mergeCell ref="G90:H90"/>
    <mergeCell ref="I90:J90"/>
    <mergeCell ref="K90:L90"/>
    <mergeCell ref="M90:N90"/>
    <mergeCell ref="O90:P90"/>
    <mergeCell ref="Q94:R94"/>
    <mergeCell ref="S94:T94"/>
    <mergeCell ref="U94:X94"/>
    <mergeCell ref="C94:D94"/>
    <mergeCell ref="E94:F94"/>
    <mergeCell ref="G94:H94"/>
    <mergeCell ref="I94:J94"/>
    <mergeCell ref="K94:L94"/>
    <mergeCell ref="M94:N94"/>
    <mergeCell ref="O94:P94"/>
    <mergeCell ref="Q95:R95"/>
    <mergeCell ref="S95:T95"/>
    <mergeCell ref="U95:X95"/>
    <mergeCell ref="C95:D95"/>
    <mergeCell ref="E95:F95"/>
    <mergeCell ref="G95:H95"/>
    <mergeCell ref="I95:J95"/>
    <mergeCell ref="K95:L95"/>
    <mergeCell ref="M95:N95"/>
    <mergeCell ref="O95:P95"/>
    <mergeCell ref="Q192:R192"/>
    <mergeCell ref="S192:T192"/>
    <mergeCell ref="U192:X192"/>
    <mergeCell ref="E192:F192"/>
    <mergeCell ref="G192:H192"/>
    <mergeCell ref="I192:J192"/>
    <mergeCell ref="K192:L192"/>
    <mergeCell ref="M192:N192"/>
    <mergeCell ref="O192:P192"/>
    <mergeCell ref="B194:X194"/>
    <mergeCell ref="Q187:R187"/>
    <mergeCell ref="S187:T187"/>
    <mergeCell ref="U187:X187"/>
    <mergeCell ref="C187:D187"/>
    <mergeCell ref="E187:F187"/>
    <mergeCell ref="G187:H187"/>
    <mergeCell ref="I187:J187"/>
    <mergeCell ref="K187:L187"/>
    <mergeCell ref="M187:N187"/>
    <mergeCell ref="O187:P187"/>
    <mergeCell ref="Q188:R188"/>
    <mergeCell ref="S188:T188"/>
    <mergeCell ref="U188:X188"/>
    <mergeCell ref="C188:D188"/>
    <mergeCell ref="E188:F188"/>
    <mergeCell ref="G188:H188"/>
    <mergeCell ref="I188:J188"/>
    <mergeCell ref="K188:L188"/>
    <mergeCell ref="M188:N188"/>
    <mergeCell ref="O188:P188"/>
    <mergeCell ref="Q189:R189"/>
    <mergeCell ref="S189:T189"/>
    <mergeCell ref="U189:X189"/>
    <mergeCell ref="C189:D189"/>
    <mergeCell ref="E189:F189"/>
    <mergeCell ref="G189:H189"/>
    <mergeCell ref="I189:J189"/>
    <mergeCell ref="K189:L189"/>
    <mergeCell ref="M189:N189"/>
    <mergeCell ref="O189:P189"/>
    <mergeCell ref="O195:P195"/>
    <mergeCell ref="Q195:R195"/>
    <mergeCell ref="S195:T195"/>
    <mergeCell ref="U195:X195"/>
    <mergeCell ref="Q179:R179"/>
    <mergeCell ref="S179:T179"/>
    <mergeCell ref="U179:X179"/>
    <mergeCell ref="C179:D179"/>
    <mergeCell ref="E179:F179"/>
    <mergeCell ref="G179:H179"/>
    <mergeCell ref="I179:J179"/>
    <mergeCell ref="K179:L179"/>
    <mergeCell ref="M179:N179"/>
    <mergeCell ref="O179:P179"/>
    <mergeCell ref="Q180:R180"/>
    <mergeCell ref="S180:T180"/>
    <mergeCell ref="U180:X180"/>
    <mergeCell ref="E180:F180"/>
    <mergeCell ref="G180:H180"/>
    <mergeCell ref="I180:J180"/>
    <mergeCell ref="K180:L180"/>
    <mergeCell ref="M180:N180"/>
    <mergeCell ref="O180:P180"/>
    <mergeCell ref="B182:X182"/>
    <mergeCell ref="Q175:R175"/>
    <mergeCell ref="S175:T175"/>
    <mergeCell ref="U175:X175"/>
    <mergeCell ref="C175:D175"/>
    <mergeCell ref="E175:F175"/>
    <mergeCell ref="G175:H175"/>
    <mergeCell ref="I175:J175"/>
    <mergeCell ref="K175:L175"/>
    <mergeCell ref="M175:N175"/>
    <mergeCell ref="O175:P175"/>
    <mergeCell ref="Q176:R176"/>
    <mergeCell ref="S176:T176"/>
    <mergeCell ref="U176:X176"/>
    <mergeCell ref="C176:D176"/>
    <mergeCell ref="E176:F176"/>
    <mergeCell ref="G176:H176"/>
    <mergeCell ref="I176:J176"/>
    <mergeCell ref="K176:L176"/>
    <mergeCell ref="M176:N176"/>
    <mergeCell ref="O176:P176"/>
    <mergeCell ref="Q177:R177"/>
    <mergeCell ref="S177:T177"/>
    <mergeCell ref="U177:X177"/>
    <mergeCell ref="C177:D177"/>
    <mergeCell ref="E177:F177"/>
    <mergeCell ref="G177:H177"/>
    <mergeCell ref="I177:J177"/>
    <mergeCell ref="K177:L177"/>
    <mergeCell ref="M177:N177"/>
    <mergeCell ref="O177:P177"/>
    <mergeCell ref="O183:P183"/>
    <mergeCell ref="Q183:R183"/>
    <mergeCell ref="S183:T183"/>
    <mergeCell ref="U183:X183"/>
    <mergeCell ref="C180:D180"/>
    <mergeCell ref="C183:D183"/>
    <mergeCell ref="E183:F183"/>
    <mergeCell ref="G183:H183"/>
    <mergeCell ref="I183:J183"/>
    <mergeCell ref="K183:L183"/>
    <mergeCell ref="M183:N183"/>
    <mergeCell ref="Q184:R184"/>
    <mergeCell ref="S184:T184"/>
    <mergeCell ref="U184:X184"/>
    <mergeCell ref="C184:D184"/>
    <mergeCell ref="E184:F184"/>
    <mergeCell ref="G184:H184"/>
    <mergeCell ref="I184:J184"/>
    <mergeCell ref="K184:L184"/>
    <mergeCell ref="M184:N184"/>
    <mergeCell ref="O184:P184"/>
    <mergeCell ref="Q185:R185"/>
    <mergeCell ref="S185:T185"/>
    <mergeCell ref="U185:X185"/>
    <mergeCell ref="C185:D185"/>
    <mergeCell ref="E185:F185"/>
    <mergeCell ref="G185:H185"/>
    <mergeCell ref="I185:J185"/>
    <mergeCell ref="K185:L185"/>
    <mergeCell ref="M185:N185"/>
    <mergeCell ref="O185:P185"/>
    <mergeCell ref="Q186:R186"/>
    <mergeCell ref="S186:T186"/>
    <mergeCell ref="U186:X186"/>
    <mergeCell ref="C186:D186"/>
    <mergeCell ref="E186:F186"/>
    <mergeCell ref="G186:H186"/>
    <mergeCell ref="I186:J186"/>
    <mergeCell ref="K186:L186"/>
    <mergeCell ref="M186:N186"/>
    <mergeCell ref="O186:P186"/>
    <mergeCell ref="Q190:R190"/>
    <mergeCell ref="S190:T190"/>
    <mergeCell ref="U190:X190"/>
    <mergeCell ref="C190:D190"/>
    <mergeCell ref="E190:F190"/>
    <mergeCell ref="G190:H190"/>
    <mergeCell ref="I190:J190"/>
    <mergeCell ref="K190:L190"/>
    <mergeCell ref="M190:N190"/>
    <mergeCell ref="O190:P190"/>
    <mergeCell ref="Q191:R191"/>
    <mergeCell ref="S191:T191"/>
    <mergeCell ref="U191:X191"/>
    <mergeCell ref="C191:D191"/>
    <mergeCell ref="E191:F191"/>
    <mergeCell ref="G191:H191"/>
    <mergeCell ref="I191:J191"/>
    <mergeCell ref="K191:L191"/>
    <mergeCell ref="M191:N191"/>
    <mergeCell ref="O191:P191"/>
    <mergeCell ref="C192:D192"/>
    <mergeCell ref="C195:D195"/>
    <mergeCell ref="E195:F195"/>
    <mergeCell ref="G195:H195"/>
    <mergeCell ref="I195:J195"/>
    <mergeCell ref="K195:L195"/>
    <mergeCell ref="M195:N195"/>
    <mergeCell ref="Q196:R196"/>
    <mergeCell ref="S196:T196"/>
    <mergeCell ref="U196:X196"/>
    <mergeCell ref="C196:D196"/>
    <mergeCell ref="E196:F196"/>
    <mergeCell ref="G196:H196"/>
    <mergeCell ref="I196:J196"/>
    <mergeCell ref="K196:L196"/>
    <mergeCell ref="M196:N196"/>
    <mergeCell ref="O196:P196"/>
    <mergeCell ref="Q197:R197"/>
    <mergeCell ref="S197:T197"/>
    <mergeCell ref="U197:X197"/>
    <mergeCell ref="C197:D197"/>
    <mergeCell ref="E197:F197"/>
    <mergeCell ref="G197:H197"/>
    <mergeCell ref="I197:J197"/>
    <mergeCell ref="K197:L197"/>
    <mergeCell ref="M197:N197"/>
    <mergeCell ref="O197:P197"/>
    <mergeCell ref="Q198:R198"/>
    <mergeCell ref="S198:T198"/>
    <mergeCell ref="U198:X198"/>
    <mergeCell ref="C198:D198"/>
    <mergeCell ref="E198:F198"/>
    <mergeCell ref="G198:H198"/>
    <mergeCell ref="I198:J198"/>
    <mergeCell ref="K198:L198"/>
    <mergeCell ref="M198:N198"/>
    <mergeCell ref="O198:P198"/>
    <mergeCell ref="Q202:R202"/>
    <mergeCell ref="S202:T202"/>
    <mergeCell ref="U202:X202"/>
    <mergeCell ref="C202:D202"/>
    <mergeCell ref="E202:F202"/>
    <mergeCell ref="G202:H202"/>
    <mergeCell ref="I202:J202"/>
    <mergeCell ref="K202:L202"/>
    <mergeCell ref="M202:N202"/>
    <mergeCell ref="O202:P202"/>
    <mergeCell ref="Q203:R203"/>
    <mergeCell ref="S203:T203"/>
    <mergeCell ref="U203:X203"/>
    <mergeCell ref="C203:D203"/>
    <mergeCell ref="E203:F203"/>
    <mergeCell ref="G203:H203"/>
    <mergeCell ref="I203:J203"/>
    <mergeCell ref="K203:L203"/>
    <mergeCell ref="M203:N203"/>
    <mergeCell ref="O203:P203"/>
    <mergeCell ref="Q204:R204"/>
    <mergeCell ref="S204:T204"/>
    <mergeCell ref="U204:X204"/>
    <mergeCell ref="E204:F204"/>
    <mergeCell ref="G204:H204"/>
    <mergeCell ref="I204:J204"/>
    <mergeCell ref="K204:L204"/>
    <mergeCell ref="M204:N204"/>
    <mergeCell ref="O204:P204"/>
    <mergeCell ref="B206:X206"/>
    <mergeCell ref="Q199:R199"/>
    <mergeCell ref="S199:T199"/>
    <mergeCell ref="U199:X199"/>
    <mergeCell ref="C199:D199"/>
    <mergeCell ref="E199:F199"/>
    <mergeCell ref="G199:H199"/>
    <mergeCell ref="I199:J199"/>
    <mergeCell ref="K199:L199"/>
    <mergeCell ref="M199:N199"/>
    <mergeCell ref="O199:P199"/>
    <mergeCell ref="Q200:R200"/>
    <mergeCell ref="S200:T200"/>
    <mergeCell ref="U200:X200"/>
    <mergeCell ref="C200:D200"/>
    <mergeCell ref="E200:F200"/>
    <mergeCell ref="G200:H200"/>
    <mergeCell ref="I200:J200"/>
    <mergeCell ref="K200:L200"/>
    <mergeCell ref="M200:N200"/>
    <mergeCell ref="O200:P200"/>
    <mergeCell ref="Q201:R201"/>
    <mergeCell ref="S201:T201"/>
    <mergeCell ref="U201:X201"/>
    <mergeCell ref="C201:D201"/>
    <mergeCell ref="E201:F201"/>
    <mergeCell ref="G201:H201"/>
    <mergeCell ref="I201:J201"/>
    <mergeCell ref="K201:L201"/>
    <mergeCell ref="M201:N201"/>
    <mergeCell ref="O201:P201"/>
    <mergeCell ref="O207:P207"/>
    <mergeCell ref="Q207:R207"/>
    <mergeCell ref="S207:T207"/>
    <mergeCell ref="U207:X207"/>
    <mergeCell ref="C204:D204"/>
    <mergeCell ref="C207:D207"/>
    <mergeCell ref="E207:F207"/>
    <mergeCell ref="G207:H207"/>
    <mergeCell ref="I207:J207"/>
    <mergeCell ref="K207:L207"/>
    <mergeCell ref="M207:N207"/>
    <mergeCell ref="Q208:R208"/>
    <mergeCell ref="S208:T208"/>
    <mergeCell ref="U208:X208"/>
    <mergeCell ref="C208:D208"/>
    <mergeCell ref="E208:F208"/>
    <mergeCell ref="G208:H208"/>
    <mergeCell ref="I208:J208"/>
    <mergeCell ref="K208:L208"/>
    <mergeCell ref="M208:N208"/>
    <mergeCell ref="O208:P208"/>
    <mergeCell ref="Q209:R209"/>
    <mergeCell ref="S209:T209"/>
    <mergeCell ref="U209:X209"/>
    <mergeCell ref="C209:D209"/>
    <mergeCell ref="E209:F209"/>
    <mergeCell ref="G209:H209"/>
    <mergeCell ref="I209:J209"/>
    <mergeCell ref="K209:L209"/>
    <mergeCell ref="M209:N209"/>
    <mergeCell ref="O209:P209"/>
    <mergeCell ref="Q210:R210"/>
    <mergeCell ref="S210:T210"/>
    <mergeCell ref="U210:X210"/>
    <mergeCell ref="C210:D210"/>
    <mergeCell ref="E210:F210"/>
    <mergeCell ref="G210:H210"/>
    <mergeCell ref="I210:J210"/>
    <mergeCell ref="K210:L210"/>
    <mergeCell ref="M210:N210"/>
    <mergeCell ref="O210:P210"/>
    <mergeCell ref="Q214:R214"/>
    <mergeCell ref="S214:T214"/>
    <mergeCell ref="U214:X214"/>
    <mergeCell ref="C214:D214"/>
    <mergeCell ref="E214:F214"/>
    <mergeCell ref="G214:H214"/>
    <mergeCell ref="I214:J214"/>
    <mergeCell ref="K214:L214"/>
    <mergeCell ref="M214:N214"/>
    <mergeCell ref="O214:P214"/>
    <mergeCell ref="Q215:R215"/>
    <mergeCell ref="S215:T215"/>
    <mergeCell ref="U215:X215"/>
    <mergeCell ref="C215:D215"/>
    <mergeCell ref="E215:F215"/>
    <mergeCell ref="G215:H215"/>
    <mergeCell ref="I215:J215"/>
    <mergeCell ref="K215:L215"/>
    <mergeCell ref="M215:N215"/>
    <mergeCell ref="O215:P215"/>
    <mergeCell ref="Q223:R223"/>
    <mergeCell ref="S223:T223"/>
    <mergeCell ref="U223:X223"/>
    <mergeCell ref="C223:D223"/>
    <mergeCell ref="E223:F223"/>
    <mergeCell ref="G223:H223"/>
    <mergeCell ref="I223:J223"/>
    <mergeCell ref="K223:L223"/>
    <mergeCell ref="M223:N223"/>
    <mergeCell ref="O223:P223"/>
    <mergeCell ref="Q224:R224"/>
    <mergeCell ref="S224:T224"/>
    <mergeCell ref="U224:X224"/>
    <mergeCell ref="C224:D224"/>
    <mergeCell ref="E224:F224"/>
    <mergeCell ref="G224:H224"/>
    <mergeCell ref="I224:J224"/>
    <mergeCell ref="K224:L224"/>
    <mergeCell ref="M224:N224"/>
    <mergeCell ref="O224:P224"/>
    <mergeCell ref="Q225:R225"/>
    <mergeCell ref="S225:T225"/>
    <mergeCell ref="U225:X225"/>
    <mergeCell ref="C225:D225"/>
    <mergeCell ref="E225:F225"/>
    <mergeCell ref="G225:H225"/>
    <mergeCell ref="I225:J225"/>
    <mergeCell ref="K225:L225"/>
    <mergeCell ref="M225:N225"/>
    <mergeCell ref="O225:P225"/>
    <mergeCell ref="O231:P231"/>
    <mergeCell ref="Q231:R231"/>
    <mergeCell ref="S231:T231"/>
    <mergeCell ref="U231:X231"/>
    <mergeCell ref="C228:D228"/>
    <mergeCell ref="C231:D231"/>
    <mergeCell ref="E231:F231"/>
    <mergeCell ref="G231:H231"/>
    <mergeCell ref="I231:J231"/>
    <mergeCell ref="K231:L231"/>
    <mergeCell ref="M231:N231"/>
    <mergeCell ref="Q232:R232"/>
    <mergeCell ref="S232:T232"/>
    <mergeCell ref="U232:X232"/>
    <mergeCell ref="C232:D232"/>
    <mergeCell ref="E232:F232"/>
    <mergeCell ref="G232:H232"/>
    <mergeCell ref="I232:J232"/>
    <mergeCell ref="K232:L232"/>
    <mergeCell ref="M232:N232"/>
    <mergeCell ref="O232:P232"/>
    <mergeCell ref="Q233:R233"/>
    <mergeCell ref="S233:T233"/>
    <mergeCell ref="U233:X233"/>
    <mergeCell ref="C233:D233"/>
    <mergeCell ref="E233:F233"/>
    <mergeCell ref="G233:H233"/>
    <mergeCell ref="I233:J233"/>
    <mergeCell ref="K233:L233"/>
    <mergeCell ref="M233:N233"/>
    <mergeCell ref="O233:P233"/>
    <mergeCell ref="Q234:R234"/>
    <mergeCell ref="S234:T234"/>
    <mergeCell ref="U234:X234"/>
    <mergeCell ref="C234:D234"/>
    <mergeCell ref="E234:F234"/>
    <mergeCell ref="G234:H234"/>
    <mergeCell ref="I234:J234"/>
    <mergeCell ref="K234:L234"/>
    <mergeCell ref="M234:N234"/>
    <mergeCell ref="O234:P234"/>
    <mergeCell ref="Q216:R216"/>
    <mergeCell ref="S216:T216"/>
    <mergeCell ref="U216:X216"/>
    <mergeCell ref="E216:F216"/>
    <mergeCell ref="G216:H216"/>
    <mergeCell ref="I216:J216"/>
    <mergeCell ref="K216:L216"/>
    <mergeCell ref="M216:N216"/>
    <mergeCell ref="O216:P216"/>
    <mergeCell ref="B218:X218"/>
    <mergeCell ref="Q211:R211"/>
    <mergeCell ref="S211:T211"/>
    <mergeCell ref="U211:X211"/>
    <mergeCell ref="C211:D211"/>
    <mergeCell ref="E211:F211"/>
    <mergeCell ref="G211:H211"/>
    <mergeCell ref="I211:J211"/>
    <mergeCell ref="K211:L211"/>
    <mergeCell ref="M211:N211"/>
    <mergeCell ref="O211:P211"/>
    <mergeCell ref="Q212:R212"/>
    <mergeCell ref="S212:T212"/>
    <mergeCell ref="U212:X212"/>
    <mergeCell ref="C212:D212"/>
    <mergeCell ref="E212:F212"/>
    <mergeCell ref="G212:H212"/>
    <mergeCell ref="I212:J212"/>
    <mergeCell ref="K212:L212"/>
    <mergeCell ref="M212:N212"/>
    <mergeCell ref="O212:P212"/>
    <mergeCell ref="Q213:R213"/>
    <mergeCell ref="S213:T213"/>
    <mergeCell ref="U213:X213"/>
    <mergeCell ref="C213:D213"/>
    <mergeCell ref="E213:F213"/>
    <mergeCell ref="G213:H213"/>
    <mergeCell ref="I213:J213"/>
    <mergeCell ref="K213:L213"/>
    <mergeCell ref="M213:N213"/>
    <mergeCell ref="O213:P213"/>
    <mergeCell ref="O219:P219"/>
    <mergeCell ref="Q219:R219"/>
    <mergeCell ref="S219:T219"/>
    <mergeCell ref="U219:X219"/>
    <mergeCell ref="C216:D216"/>
    <mergeCell ref="C219:D219"/>
    <mergeCell ref="E219:F219"/>
    <mergeCell ref="G219:H219"/>
    <mergeCell ref="I219:J219"/>
    <mergeCell ref="K219:L219"/>
    <mergeCell ref="M219:N219"/>
    <mergeCell ref="Q220:R220"/>
    <mergeCell ref="S220:T220"/>
    <mergeCell ref="U220:X220"/>
    <mergeCell ref="C220:D220"/>
    <mergeCell ref="E220:F220"/>
    <mergeCell ref="G220:H220"/>
    <mergeCell ref="I220:J220"/>
    <mergeCell ref="K220:L220"/>
    <mergeCell ref="M220:N220"/>
    <mergeCell ref="O220:P220"/>
    <mergeCell ref="Q221:R221"/>
    <mergeCell ref="S221:T221"/>
    <mergeCell ref="U221:X221"/>
    <mergeCell ref="C221:D221"/>
    <mergeCell ref="E221:F221"/>
    <mergeCell ref="G221:H221"/>
    <mergeCell ref="I221:J221"/>
    <mergeCell ref="K221:L221"/>
    <mergeCell ref="M221:N221"/>
    <mergeCell ref="O221:P221"/>
    <mergeCell ref="Q222:R222"/>
    <mergeCell ref="S222:T222"/>
    <mergeCell ref="U222:X222"/>
    <mergeCell ref="C222:D222"/>
    <mergeCell ref="E222:F222"/>
    <mergeCell ref="G222:H222"/>
    <mergeCell ref="I222:J222"/>
    <mergeCell ref="K222:L222"/>
    <mergeCell ref="M222:N222"/>
    <mergeCell ref="O222:P222"/>
    <mergeCell ref="Q226:R226"/>
    <mergeCell ref="S226:T226"/>
    <mergeCell ref="U226:X226"/>
    <mergeCell ref="C226:D226"/>
    <mergeCell ref="E226:F226"/>
    <mergeCell ref="G226:H226"/>
    <mergeCell ref="I226:J226"/>
    <mergeCell ref="K226:L226"/>
    <mergeCell ref="M226:N226"/>
    <mergeCell ref="O226:P226"/>
    <mergeCell ref="Q227:R227"/>
    <mergeCell ref="S227:T227"/>
    <mergeCell ref="U227:X227"/>
    <mergeCell ref="C227:D227"/>
    <mergeCell ref="E227:F227"/>
    <mergeCell ref="G227:H227"/>
    <mergeCell ref="I227:J227"/>
    <mergeCell ref="K227:L227"/>
    <mergeCell ref="M227:N227"/>
    <mergeCell ref="O227:P227"/>
    <mergeCell ref="Q228:R228"/>
    <mergeCell ref="S228:T228"/>
    <mergeCell ref="U228:X228"/>
    <mergeCell ref="E228:F228"/>
    <mergeCell ref="G228:H228"/>
    <mergeCell ref="I228:J228"/>
    <mergeCell ref="K228:L228"/>
    <mergeCell ref="M228:N228"/>
    <mergeCell ref="O228:P228"/>
    <mergeCell ref="B230:X230"/>
    <mergeCell ref="Q238:R238"/>
    <mergeCell ref="S238:T238"/>
    <mergeCell ref="U238:X238"/>
    <mergeCell ref="C238:D238"/>
    <mergeCell ref="E238:F238"/>
    <mergeCell ref="G238:H238"/>
    <mergeCell ref="I238:J238"/>
    <mergeCell ref="K238:L238"/>
    <mergeCell ref="M238:N238"/>
    <mergeCell ref="O238:P238"/>
    <mergeCell ref="Q252:R252"/>
    <mergeCell ref="S252:T252"/>
    <mergeCell ref="U252:X252"/>
    <mergeCell ref="E252:F252"/>
    <mergeCell ref="G252:H252"/>
    <mergeCell ref="I252:J252"/>
    <mergeCell ref="K252:L252"/>
    <mergeCell ref="M252:N252"/>
    <mergeCell ref="O252:P252"/>
    <mergeCell ref="B254:X254"/>
    <mergeCell ref="Q247:R247"/>
    <mergeCell ref="S247:T247"/>
    <mergeCell ref="U247:X247"/>
    <mergeCell ref="C247:D247"/>
    <mergeCell ref="E247:F247"/>
    <mergeCell ref="G247:H247"/>
    <mergeCell ref="I247:J247"/>
    <mergeCell ref="K247:L247"/>
    <mergeCell ref="M247:N247"/>
    <mergeCell ref="O247:P247"/>
    <mergeCell ref="Q248:R248"/>
    <mergeCell ref="S248:T248"/>
    <mergeCell ref="U248:X248"/>
    <mergeCell ref="C248:D248"/>
    <mergeCell ref="E248:F248"/>
    <mergeCell ref="G248:H248"/>
    <mergeCell ref="I248:J248"/>
    <mergeCell ref="K248:L248"/>
    <mergeCell ref="M248:N248"/>
    <mergeCell ref="O248:P248"/>
    <mergeCell ref="Q249:R249"/>
    <mergeCell ref="S249:T249"/>
    <mergeCell ref="U249:X249"/>
    <mergeCell ref="C249:D249"/>
    <mergeCell ref="E249:F249"/>
    <mergeCell ref="G249:H249"/>
    <mergeCell ref="I249:J249"/>
    <mergeCell ref="K249:L249"/>
    <mergeCell ref="M249:N249"/>
    <mergeCell ref="O249:P249"/>
    <mergeCell ref="O255:P255"/>
    <mergeCell ref="Q255:R255"/>
    <mergeCell ref="S255:T255"/>
    <mergeCell ref="U255:X255"/>
    <mergeCell ref="Q262:R262"/>
    <mergeCell ref="S262:T262"/>
    <mergeCell ref="U262:X262"/>
    <mergeCell ref="C262:D262"/>
    <mergeCell ref="E262:F262"/>
    <mergeCell ref="G262:H262"/>
    <mergeCell ref="I262:J262"/>
    <mergeCell ref="K262:L262"/>
    <mergeCell ref="M262:N262"/>
    <mergeCell ref="O262:P262"/>
    <mergeCell ref="Q263:R263"/>
    <mergeCell ref="S263:T263"/>
    <mergeCell ref="U263:X263"/>
    <mergeCell ref="C263:D263"/>
    <mergeCell ref="E263:F263"/>
    <mergeCell ref="G263:H263"/>
    <mergeCell ref="I263:J263"/>
    <mergeCell ref="K263:L263"/>
    <mergeCell ref="M263:N263"/>
    <mergeCell ref="O263:P263"/>
    <mergeCell ref="Q259:R259"/>
    <mergeCell ref="S259:T259"/>
    <mergeCell ref="U259:X259"/>
    <mergeCell ref="C259:D259"/>
    <mergeCell ref="E259:F259"/>
    <mergeCell ref="G259:H259"/>
    <mergeCell ref="I259:J259"/>
    <mergeCell ref="K259:L259"/>
    <mergeCell ref="M259:N259"/>
    <mergeCell ref="O259:P259"/>
    <mergeCell ref="Q260:R260"/>
    <mergeCell ref="S260:T260"/>
    <mergeCell ref="U260:X260"/>
    <mergeCell ref="C260:D260"/>
    <mergeCell ref="E260:F260"/>
    <mergeCell ref="G260:H260"/>
    <mergeCell ref="I260:J260"/>
    <mergeCell ref="K260:L260"/>
    <mergeCell ref="M260:N260"/>
    <mergeCell ref="O260:P260"/>
    <mergeCell ref="Q261:R261"/>
    <mergeCell ref="S261:T261"/>
    <mergeCell ref="U261:X261"/>
    <mergeCell ref="C261:D261"/>
    <mergeCell ref="E261:F261"/>
    <mergeCell ref="G261:H261"/>
    <mergeCell ref="I261:J261"/>
    <mergeCell ref="K261:L261"/>
    <mergeCell ref="M261:N261"/>
    <mergeCell ref="O261:P261"/>
    <mergeCell ref="Q264:R264"/>
    <mergeCell ref="S264:T264"/>
    <mergeCell ref="U264:X264"/>
    <mergeCell ref="C264:D264"/>
    <mergeCell ref="E264:F264"/>
    <mergeCell ref="G264:H264"/>
    <mergeCell ref="I264:J264"/>
    <mergeCell ref="K264:L264"/>
    <mergeCell ref="M264:N264"/>
    <mergeCell ref="O264:P264"/>
    <mergeCell ref="Q239:R239"/>
    <mergeCell ref="S239:T239"/>
    <mergeCell ref="U239:X239"/>
    <mergeCell ref="C239:D239"/>
    <mergeCell ref="E239:F239"/>
    <mergeCell ref="G239:H239"/>
    <mergeCell ref="I239:J239"/>
    <mergeCell ref="K239:L239"/>
    <mergeCell ref="M239:N239"/>
    <mergeCell ref="O239:P239"/>
    <mergeCell ref="Q240:R240"/>
    <mergeCell ref="S240:T240"/>
    <mergeCell ref="U240:X240"/>
    <mergeCell ref="E240:F240"/>
    <mergeCell ref="G240:H240"/>
    <mergeCell ref="I240:J240"/>
    <mergeCell ref="K240:L240"/>
    <mergeCell ref="M240:N240"/>
    <mergeCell ref="O240:P240"/>
    <mergeCell ref="B242:X242"/>
    <mergeCell ref="Q235:R235"/>
    <mergeCell ref="S235:T235"/>
    <mergeCell ref="U235:X235"/>
    <mergeCell ref="C235:D235"/>
    <mergeCell ref="E235:F235"/>
    <mergeCell ref="G235:H235"/>
    <mergeCell ref="I235:J235"/>
    <mergeCell ref="K235:L235"/>
    <mergeCell ref="M235:N235"/>
    <mergeCell ref="O235:P235"/>
    <mergeCell ref="Q236:R236"/>
    <mergeCell ref="S236:T236"/>
    <mergeCell ref="U236:X236"/>
    <mergeCell ref="C236:D236"/>
    <mergeCell ref="E236:F236"/>
    <mergeCell ref="G236:H236"/>
    <mergeCell ref="I236:J236"/>
    <mergeCell ref="K236:L236"/>
    <mergeCell ref="M236:N236"/>
    <mergeCell ref="O236:P236"/>
    <mergeCell ref="Q237:R237"/>
    <mergeCell ref="S237:T237"/>
    <mergeCell ref="U237:X237"/>
    <mergeCell ref="C237:D237"/>
    <mergeCell ref="E237:F237"/>
    <mergeCell ref="G237:H237"/>
    <mergeCell ref="I237:J237"/>
    <mergeCell ref="K237:L237"/>
    <mergeCell ref="M237:N237"/>
    <mergeCell ref="O237:P237"/>
    <mergeCell ref="O243:P243"/>
    <mergeCell ref="Q243:R243"/>
    <mergeCell ref="S243:T243"/>
    <mergeCell ref="U243:X243"/>
    <mergeCell ref="C240:D240"/>
    <mergeCell ref="C243:D243"/>
    <mergeCell ref="E243:F243"/>
    <mergeCell ref="G243:H243"/>
    <mergeCell ref="I243:J243"/>
    <mergeCell ref="K243:L243"/>
    <mergeCell ref="M243:N243"/>
    <mergeCell ref="Q244:R244"/>
    <mergeCell ref="S244:T244"/>
    <mergeCell ref="U244:X244"/>
    <mergeCell ref="C244:D244"/>
    <mergeCell ref="E244:F244"/>
    <mergeCell ref="G244:H244"/>
    <mergeCell ref="I244:J244"/>
    <mergeCell ref="K244:L244"/>
    <mergeCell ref="M244:N244"/>
    <mergeCell ref="O244:P244"/>
    <mergeCell ref="Q245:R245"/>
    <mergeCell ref="S245:T245"/>
    <mergeCell ref="U245:X245"/>
    <mergeCell ref="C245:D245"/>
    <mergeCell ref="E245:F245"/>
    <mergeCell ref="G245:H245"/>
    <mergeCell ref="I245:J245"/>
    <mergeCell ref="K245:L245"/>
    <mergeCell ref="M245:N245"/>
    <mergeCell ref="O245:P245"/>
    <mergeCell ref="Q246:R246"/>
    <mergeCell ref="S246:T246"/>
    <mergeCell ref="U246:X246"/>
    <mergeCell ref="C246:D246"/>
    <mergeCell ref="E246:F246"/>
    <mergeCell ref="G246:H246"/>
    <mergeCell ref="I246:J246"/>
    <mergeCell ref="K246:L246"/>
    <mergeCell ref="M246:N246"/>
    <mergeCell ref="O246:P246"/>
    <mergeCell ref="Q250:R250"/>
    <mergeCell ref="S250:T250"/>
    <mergeCell ref="U250:X250"/>
    <mergeCell ref="C250:D250"/>
    <mergeCell ref="E250:F250"/>
    <mergeCell ref="G250:H250"/>
    <mergeCell ref="I250:J250"/>
    <mergeCell ref="K250:L250"/>
    <mergeCell ref="M250:N250"/>
    <mergeCell ref="O250:P250"/>
    <mergeCell ref="Q251:R251"/>
    <mergeCell ref="S251:T251"/>
    <mergeCell ref="U251:X251"/>
    <mergeCell ref="C251:D251"/>
    <mergeCell ref="E251:F251"/>
    <mergeCell ref="G251:H251"/>
    <mergeCell ref="I251:J251"/>
    <mergeCell ref="K251:L251"/>
    <mergeCell ref="M251:N251"/>
    <mergeCell ref="O251:P251"/>
    <mergeCell ref="C252:D252"/>
    <mergeCell ref="C255:D255"/>
    <mergeCell ref="E255:F255"/>
    <mergeCell ref="G255:H255"/>
    <mergeCell ref="I255:J255"/>
    <mergeCell ref="K255:L255"/>
    <mergeCell ref="M255:N255"/>
    <mergeCell ref="Q256:R256"/>
    <mergeCell ref="S256:T256"/>
    <mergeCell ref="U256:X256"/>
    <mergeCell ref="C256:D256"/>
    <mergeCell ref="E256:F256"/>
    <mergeCell ref="G256:H256"/>
    <mergeCell ref="I256:J256"/>
    <mergeCell ref="K256:L256"/>
    <mergeCell ref="M256:N256"/>
    <mergeCell ref="O256:P256"/>
    <mergeCell ref="Q257:R257"/>
    <mergeCell ref="S257:T257"/>
    <mergeCell ref="U257:X257"/>
    <mergeCell ref="C257:D257"/>
    <mergeCell ref="E257:F257"/>
    <mergeCell ref="G257:H257"/>
    <mergeCell ref="I257:J257"/>
    <mergeCell ref="K257:L257"/>
    <mergeCell ref="M257:N257"/>
    <mergeCell ref="O257:P257"/>
    <mergeCell ref="Q258:R258"/>
    <mergeCell ref="S258:T258"/>
    <mergeCell ref="U258:X258"/>
    <mergeCell ref="C258:D258"/>
    <mergeCell ref="E258:F258"/>
    <mergeCell ref="G258:H258"/>
    <mergeCell ref="I258:J258"/>
    <mergeCell ref="K258:L258"/>
    <mergeCell ref="M258:N258"/>
    <mergeCell ref="O258:P258"/>
    <mergeCell ref="Q103:R103"/>
    <mergeCell ref="S103:T103"/>
    <mergeCell ref="U103:X103"/>
    <mergeCell ref="C103:D103"/>
    <mergeCell ref="E103:F103"/>
    <mergeCell ref="G103:H103"/>
    <mergeCell ref="I103:J103"/>
    <mergeCell ref="K103:L103"/>
    <mergeCell ref="M103:N103"/>
    <mergeCell ref="O103:P103"/>
    <mergeCell ref="Q104:R104"/>
    <mergeCell ref="S104:T104"/>
    <mergeCell ref="U104:X104"/>
    <mergeCell ref="C104:D104"/>
    <mergeCell ref="E104:F104"/>
    <mergeCell ref="G104:H104"/>
    <mergeCell ref="I104:J104"/>
    <mergeCell ref="K104:L104"/>
    <mergeCell ref="M104:N104"/>
    <mergeCell ref="O104:P104"/>
    <mergeCell ref="Q105:R105"/>
    <mergeCell ref="S105:T105"/>
    <mergeCell ref="U105:X105"/>
    <mergeCell ref="C105:D105"/>
    <mergeCell ref="E105:F105"/>
    <mergeCell ref="G105:H105"/>
    <mergeCell ref="I105:J105"/>
    <mergeCell ref="K105:L105"/>
    <mergeCell ref="M105:N105"/>
    <mergeCell ref="O105:P105"/>
    <mergeCell ref="O111:P111"/>
    <mergeCell ref="Q111:R111"/>
    <mergeCell ref="S111:T111"/>
    <mergeCell ref="U111:X111"/>
    <mergeCell ref="C108:D108"/>
    <mergeCell ref="C111:D111"/>
    <mergeCell ref="E111:F111"/>
    <mergeCell ref="G111:H111"/>
    <mergeCell ref="I111:J111"/>
    <mergeCell ref="K111:L111"/>
    <mergeCell ref="M111:N111"/>
    <mergeCell ref="Q112:R112"/>
    <mergeCell ref="S112:T112"/>
    <mergeCell ref="U112:X112"/>
    <mergeCell ref="C112:D112"/>
    <mergeCell ref="E112:F112"/>
    <mergeCell ref="G112:H112"/>
    <mergeCell ref="I112:J112"/>
    <mergeCell ref="K112:L112"/>
    <mergeCell ref="M112:N112"/>
    <mergeCell ref="O112:P112"/>
    <mergeCell ref="Q113:R113"/>
    <mergeCell ref="S113:T113"/>
    <mergeCell ref="U113:X113"/>
    <mergeCell ref="C113:D113"/>
    <mergeCell ref="E113:F113"/>
    <mergeCell ref="G113:H113"/>
    <mergeCell ref="I113:J113"/>
    <mergeCell ref="K113:L113"/>
    <mergeCell ref="M113:N113"/>
    <mergeCell ref="O113:P113"/>
    <mergeCell ref="Q114:R114"/>
    <mergeCell ref="S114:T114"/>
    <mergeCell ref="U114:X114"/>
    <mergeCell ref="C114:D114"/>
    <mergeCell ref="E114:F114"/>
    <mergeCell ref="G114:H114"/>
    <mergeCell ref="I114:J114"/>
    <mergeCell ref="K114:L114"/>
    <mergeCell ref="M114:N114"/>
    <mergeCell ref="O114:P114"/>
    <mergeCell ref="Q96:R96"/>
    <mergeCell ref="S96:T96"/>
    <mergeCell ref="U96:X96"/>
    <mergeCell ref="E96:F96"/>
    <mergeCell ref="G96:H96"/>
    <mergeCell ref="I96:J96"/>
    <mergeCell ref="K96:L96"/>
    <mergeCell ref="M96:N96"/>
    <mergeCell ref="O96:P96"/>
    <mergeCell ref="B98:X98"/>
    <mergeCell ref="Q91:R91"/>
    <mergeCell ref="S91:T91"/>
    <mergeCell ref="U91:X91"/>
    <mergeCell ref="C91:D91"/>
    <mergeCell ref="E91:F91"/>
    <mergeCell ref="G91:H91"/>
    <mergeCell ref="I91:J91"/>
    <mergeCell ref="K91:L91"/>
    <mergeCell ref="M91:N91"/>
    <mergeCell ref="O91:P91"/>
    <mergeCell ref="Q92:R92"/>
    <mergeCell ref="S92:T92"/>
    <mergeCell ref="U92:X92"/>
    <mergeCell ref="C92:D92"/>
    <mergeCell ref="E92:F92"/>
    <mergeCell ref="G92:H92"/>
    <mergeCell ref="I92:J92"/>
    <mergeCell ref="K92:L92"/>
    <mergeCell ref="M92:N92"/>
    <mergeCell ref="O92:P92"/>
    <mergeCell ref="Q93:R93"/>
    <mergeCell ref="S93:T93"/>
    <mergeCell ref="U93:X93"/>
    <mergeCell ref="C93:D93"/>
    <mergeCell ref="E93:F93"/>
    <mergeCell ref="G93:H93"/>
    <mergeCell ref="I93:J93"/>
    <mergeCell ref="K93:L93"/>
    <mergeCell ref="M93:N93"/>
    <mergeCell ref="O93:P93"/>
    <mergeCell ref="O99:P99"/>
    <mergeCell ref="Q99:R99"/>
    <mergeCell ref="S99:T99"/>
    <mergeCell ref="U99:X99"/>
    <mergeCell ref="C96:D96"/>
    <mergeCell ref="C99:D99"/>
    <mergeCell ref="E99:F99"/>
    <mergeCell ref="G99:H99"/>
    <mergeCell ref="I99:J99"/>
    <mergeCell ref="K99:L99"/>
    <mergeCell ref="M99:N99"/>
    <mergeCell ref="Q100:R100"/>
    <mergeCell ref="S100:T100"/>
    <mergeCell ref="U100:X100"/>
    <mergeCell ref="C100:D100"/>
    <mergeCell ref="E100:F100"/>
    <mergeCell ref="G100:H100"/>
    <mergeCell ref="I100:J100"/>
    <mergeCell ref="K100:L100"/>
    <mergeCell ref="M100:N100"/>
    <mergeCell ref="O100:P100"/>
    <mergeCell ref="Q101:R101"/>
    <mergeCell ref="S101:T101"/>
    <mergeCell ref="U101:X101"/>
    <mergeCell ref="C101:D101"/>
    <mergeCell ref="E101:F101"/>
    <mergeCell ref="G101:H101"/>
    <mergeCell ref="I101:J101"/>
    <mergeCell ref="K101:L101"/>
    <mergeCell ref="M101:N101"/>
    <mergeCell ref="O101:P101"/>
    <mergeCell ref="Q102:R102"/>
    <mergeCell ref="S102:T102"/>
    <mergeCell ref="U102:X102"/>
    <mergeCell ref="C102:D102"/>
    <mergeCell ref="E102:F102"/>
    <mergeCell ref="G102:H102"/>
    <mergeCell ref="I102:J102"/>
    <mergeCell ref="K102:L102"/>
    <mergeCell ref="M102:N102"/>
    <mergeCell ref="O102:P102"/>
    <mergeCell ref="Q106:R106"/>
    <mergeCell ref="S106:T106"/>
    <mergeCell ref="U106:X106"/>
    <mergeCell ref="C106:D106"/>
    <mergeCell ref="E106:F106"/>
    <mergeCell ref="G106:H106"/>
    <mergeCell ref="I106:J106"/>
    <mergeCell ref="K106:L106"/>
    <mergeCell ref="M106:N106"/>
    <mergeCell ref="O106:P106"/>
    <mergeCell ref="Q107:R107"/>
    <mergeCell ref="S107:T107"/>
    <mergeCell ref="U107:X107"/>
    <mergeCell ref="C107:D107"/>
    <mergeCell ref="E107:F107"/>
    <mergeCell ref="G107:H107"/>
    <mergeCell ref="I107:J107"/>
    <mergeCell ref="K107:L107"/>
    <mergeCell ref="M107:N107"/>
    <mergeCell ref="O107:P107"/>
    <mergeCell ref="Q108:R108"/>
    <mergeCell ref="S108:T108"/>
    <mergeCell ref="U108:X108"/>
    <mergeCell ref="E108:F108"/>
    <mergeCell ref="G108:H108"/>
    <mergeCell ref="I108:J108"/>
    <mergeCell ref="K108:L108"/>
    <mergeCell ref="M108:N108"/>
    <mergeCell ref="O108:P108"/>
    <mergeCell ref="B110:X110"/>
    <mergeCell ref="Q118:R118"/>
    <mergeCell ref="S118:T118"/>
    <mergeCell ref="U118:X118"/>
    <mergeCell ref="C118:D118"/>
    <mergeCell ref="E118:F118"/>
    <mergeCell ref="G118:H118"/>
    <mergeCell ref="I118:J118"/>
    <mergeCell ref="K118:L118"/>
    <mergeCell ref="M118:N118"/>
    <mergeCell ref="O118:P118"/>
    <mergeCell ref="Q132:R132"/>
    <mergeCell ref="S132:T132"/>
    <mergeCell ref="U132:X132"/>
    <mergeCell ref="E132:F132"/>
    <mergeCell ref="G132:H132"/>
    <mergeCell ref="I132:J132"/>
    <mergeCell ref="K132:L132"/>
    <mergeCell ref="M132:N132"/>
    <mergeCell ref="O132:P132"/>
    <mergeCell ref="B134:X134"/>
    <mergeCell ref="Q127:R127"/>
    <mergeCell ref="S127:T127"/>
    <mergeCell ref="U127:X127"/>
    <mergeCell ref="C127:D127"/>
    <mergeCell ref="E127:F127"/>
    <mergeCell ref="G127:H127"/>
    <mergeCell ref="I127:J127"/>
    <mergeCell ref="K127:L127"/>
    <mergeCell ref="M127:N127"/>
    <mergeCell ref="O127:P127"/>
    <mergeCell ref="Q128:R128"/>
    <mergeCell ref="S128:T128"/>
    <mergeCell ref="U128:X128"/>
    <mergeCell ref="C128:D128"/>
    <mergeCell ref="E128:F128"/>
    <mergeCell ref="G128:H128"/>
    <mergeCell ref="I128:J128"/>
    <mergeCell ref="K128:L128"/>
    <mergeCell ref="M128:N128"/>
    <mergeCell ref="O128:P128"/>
    <mergeCell ref="Q129:R129"/>
    <mergeCell ref="S129:T129"/>
    <mergeCell ref="U129:X129"/>
    <mergeCell ref="C129:D129"/>
    <mergeCell ref="E129:F129"/>
    <mergeCell ref="G129:H129"/>
    <mergeCell ref="I129:J129"/>
    <mergeCell ref="K129:L129"/>
    <mergeCell ref="M129:N129"/>
    <mergeCell ref="O129:P129"/>
    <mergeCell ref="O135:P135"/>
    <mergeCell ref="Q135:R135"/>
    <mergeCell ref="S135:T135"/>
    <mergeCell ref="U135:X135"/>
    <mergeCell ref="Q119:R119"/>
    <mergeCell ref="S119:T119"/>
    <mergeCell ref="U119:X119"/>
    <mergeCell ref="C119:D119"/>
    <mergeCell ref="E119:F119"/>
    <mergeCell ref="G119:H119"/>
    <mergeCell ref="I119:J119"/>
    <mergeCell ref="K119:L119"/>
    <mergeCell ref="M119:N119"/>
    <mergeCell ref="O119:P119"/>
    <mergeCell ref="Q120:R120"/>
    <mergeCell ref="S120:T120"/>
    <mergeCell ref="U120:X120"/>
    <mergeCell ref="E120:F120"/>
    <mergeCell ref="G120:H120"/>
    <mergeCell ref="I120:J120"/>
    <mergeCell ref="K120:L120"/>
    <mergeCell ref="M120:N120"/>
    <mergeCell ref="O120:P120"/>
    <mergeCell ref="B122:X122"/>
    <mergeCell ref="Q115:R115"/>
    <mergeCell ref="S115:T115"/>
    <mergeCell ref="U115:X115"/>
    <mergeCell ref="C115:D115"/>
    <mergeCell ref="E115:F115"/>
    <mergeCell ref="G115:H115"/>
    <mergeCell ref="I115:J115"/>
    <mergeCell ref="K115:L115"/>
    <mergeCell ref="M115:N115"/>
    <mergeCell ref="O115:P115"/>
    <mergeCell ref="Q116:R116"/>
    <mergeCell ref="S116:T116"/>
    <mergeCell ref="U116:X116"/>
    <mergeCell ref="C116:D116"/>
    <mergeCell ref="E116:F116"/>
    <mergeCell ref="G116:H116"/>
    <mergeCell ref="I116:J116"/>
    <mergeCell ref="K116:L116"/>
    <mergeCell ref="M116:N116"/>
    <mergeCell ref="O116:P116"/>
    <mergeCell ref="Q117:R117"/>
    <mergeCell ref="S117:T117"/>
    <mergeCell ref="U117:X117"/>
    <mergeCell ref="C117:D117"/>
    <mergeCell ref="E117:F117"/>
    <mergeCell ref="G117:H117"/>
    <mergeCell ref="I117:J117"/>
    <mergeCell ref="K117:L117"/>
    <mergeCell ref="M117:N117"/>
    <mergeCell ref="O117:P117"/>
    <mergeCell ref="O123:P123"/>
    <mergeCell ref="Q123:R123"/>
    <mergeCell ref="S123:T123"/>
    <mergeCell ref="U123:X123"/>
    <mergeCell ref="C120:D120"/>
    <mergeCell ref="C123:D123"/>
    <mergeCell ref="E123:F123"/>
    <mergeCell ref="G123:H123"/>
    <mergeCell ref="I123:J123"/>
    <mergeCell ref="K123:L123"/>
    <mergeCell ref="M123:N123"/>
    <mergeCell ref="Q124:R124"/>
    <mergeCell ref="S124:T124"/>
    <mergeCell ref="U124:X124"/>
    <mergeCell ref="C124:D124"/>
    <mergeCell ref="E124:F124"/>
    <mergeCell ref="G124:H124"/>
    <mergeCell ref="I124:J124"/>
    <mergeCell ref="K124:L124"/>
    <mergeCell ref="M124:N124"/>
    <mergeCell ref="O124:P124"/>
    <mergeCell ref="Q125:R125"/>
    <mergeCell ref="S125:T125"/>
    <mergeCell ref="U125:X125"/>
    <mergeCell ref="C125:D125"/>
    <mergeCell ref="E125:F125"/>
    <mergeCell ref="G125:H125"/>
    <mergeCell ref="I125:J125"/>
    <mergeCell ref="K125:L125"/>
    <mergeCell ref="M125:N125"/>
    <mergeCell ref="O125:P125"/>
    <mergeCell ref="Q126:R126"/>
    <mergeCell ref="S126:T126"/>
    <mergeCell ref="U126:X126"/>
    <mergeCell ref="C126:D126"/>
    <mergeCell ref="E126:F126"/>
    <mergeCell ref="G126:H126"/>
    <mergeCell ref="I126:J126"/>
    <mergeCell ref="K126:L126"/>
    <mergeCell ref="M126:N126"/>
    <mergeCell ref="O126:P126"/>
    <mergeCell ref="Q130:R130"/>
    <mergeCell ref="S130:T130"/>
    <mergeCell ref="U130:X130"/>
    <mergeCell ref="C130:D130"/>
    <mergeCell ref="E130:F130"/>
    <mergeCell ref="G130:H130"/>
    <mergeCell ref="I130:J130"/>
    <mergeCell ref="K130:L130"/>
    <mergeCell ref="M130:N130"/>
    <mergeCell ref="O130:P130"/>
    <mergeCell ref="Q131:R131"/>
    <mergeCell ref="S131:T131"/>
    <mergeCell ref="U131:X131"/>
    <mergeCell ref="C131:D131"/>
    <mergeCell ref="E131:F131"/>
    <mergeCell ref="G131:H131"/>
    <mergeCell ref="I131:J131"/>
    <mergeCell ref="K131:L131"/>
    <mergeCell ref="M131:N131"/>
    <mergeCell ref="O131:P131"/>
    <mergeCell ref="C132:D132"/>
    <mergeCell ref="C135:D135"/>
    <mergeCell ref="E135:F135"/>
    <mergeCell ref="G135:H135"/>
    <mergeCell ref="I135:J135"/>
    <mergeCell ref="K135:L135"/>
    <mergeCell ref="M135:N135"/>
    <mergeCell ref="Q136:R136"/>
    <mergeCell ref="S136:T136"/>
    <mergeCell ref="U136:X136"/>
    <mergeCell ref="C136:D136"/>
    <mergeCell ref="E136:F136"/>
    <mergeCell ref="G136:H136"/>
    <mergeCell ref="I136:J136"/>
    <mergeCell ref="K136:L136"/>
    <mergeCell ref="M136:N136"/>
    <mergeCell ref="O136:P136"/>
    <mergeCell ref="Q137:R137"/>
    <mergeCell ref="S137:T137"/>
    <mergeCell ref="U137:X137"/>
    <mergeCell ref="C137:D137"/>
    <mergeCell ref="E137:F137"/>
    <mergeCell ref="G137:H137"/>
    <mergeCell ref="I137:J137"/>
    <mergeCell ref="K137:L137"/>
    <mergeCell ref="M137:N137"/>
    <mergeCell ref="O137:P137"/>
    <mergeCell ref="Q138:R138"/>
    <mergeCell ref="S138:T138"/>
    <mergeCell ref="U138:X138"/>
    <mergeCell ref="C138:D138"/>
    <mergeCell ref="E138:F138"/>
    <mergeCell ref="G138:H138"/>
    <mergeCell ref="I138:J138"/>
    <mergeCell ref="K138:L138"/>
    <mergeCell ref="M138:N138"/>
    <mergeCell ref="O138:P138"/>
    <mergeCell ref="Q142:R142"/>
    <mergeCell ref="S142:T142"/>
    <mergeCell ref="U142:X142"/>
    <mergeCell ref="C142:D142"/>
    <mergeCell ref="E142:F142"/>
    <mergeCell ref="G142:H142"/>
    <mergeCell ref="I142:J142"/>
    <mergeCell ref="K142:L142"/>
    <mergeCell ref="M142:N142"/>
    <mergeCell ref="O142:P142"/>
    <mergeCell ref="Q143:R143"/>
    <mergeCell ref="S143:T143"/>
    <mergeCell ref="U143:X143"/>
    <mergeCell ref="C143:D143"/>
    <mergeCell ref="E143:F143"/>
    <mergeCell ref="G143:H143"/>
    <mergeCell ref="I143:J143"/>
    <mergeCell ref="K143:L143"/>
    <mergeCell ref="M143:N143"/>
    <mergeCell ref="O143:P143"/>
    <mergeCell ref="Q144:R144"/>
    <mergeCell ref="S144:T144"/>
    <mergeCell ref="U144:X144"/>
    <mergeCell ref="E144:F144"/>
    <mergeCell ref="G144:H144"/>
    <mergeCell ref="I144:J144"/>
    <mergeCell ref="K144:L144"/>
    <mergeCell ref="M144:N144"/>
    <mergeCell ref="O144:P144"/>
    <mergeCell ref="B146:X146"/>
    <mergeCell ref="Q139:R139"/>
    <mergeCell ref="S139:T139"/>
    <mergeCell ref="U139:X139"/>
    <mergeCell ref="C139:D139"/>
    <mergeCell ref="E139:F139"/>
    <mergeCell ref="G139:H139"/>
    <mergeCell ref="I139:J139"/>
    <mergeCell ref="K139:L139"/>
    <mergeCell ref="M139:N139"/>
    <mergeCell ref="O139:P139"/>
    <mergeCell ref="Q140:R140"/>
    <mergeCell ref="S140:T140"/>
    <mergeCell ref="U140:X140"/>
    <mergeCell ref="C140:D140"/>
    <mergeCell ref="E140:F140"/>
    <mergeCell ref="G140:H140"/>
    <mergeCell ref="I140:J140"/>
    <mergeCell ref="K140:L140"/>
    <mergeCell ref="M140:N140"/>
    <mergeCell ref="O140:P140"/>
    <mergeCell ref="Q141:R141"/>
    <mergeCell ref="S141:T141"/>
    <mergeCell ref="U141:X141"/>
    <mergeCell ref="C141:D141"/>
    <mergeCell ref="E141:F141"/>
    <mergeCell ref="G141:H141"/>
    <mergeCell ref="I141:J141"/>
    <mergeCell ref="K141:L141"/>
    <mergeCell ref="M141:N141"/>
    <mergeCell ref="O141:P141"/>
    <mergeCell ref="O147:P147"/>
    <mergeCell ref="Q147:R147"/>
    <mergeCell ref="S147:T147"/>
    <mergeCell ref="U147:X147"/>
    <mergeCell ref="C144:D144"/>
    <mergeCell ref="C147:D147"/>
    <mergeCell ref="E147:F147"/>
    <mergeCell ref="G147:H147"/>
    <mergeCell ref="I147:J147"/>
    <mergeCell ref="K147:L147"/>
    <mergeCell ref="M147:N147"/>
    <mergeCell ref="Q148:R148"/>
    <mergeCell ref="S148:T148"/>
    <mergeCell ref="U148:X148"/>
    <mergeCell ref="C148:D148"/>
    <mergeCell ref="E148:F148"/>
    <mergeCell ref="G148:H148"/>
    <mergeCell ref="I148:J148"/>
    <mergeCell ref="K148:L148"/>
    <mergeCell ref="M148:N148"/>
    <mergeCell ref="O148:P148"/>
    <mergeCell ref="Q149:R149"/>
    <mergeCell ref="S149:T149"/>
    <mergeCell ref="U149:X149"/>
    <mergeCell ref="C149:D149"/>
    <mergeCell ref="E149:F149"/>
    <mergeCell ref="G149:H149"/>
    <mergeCell ref="I149:J149"/>
    <mergeCell ref="K149:L149"/>
    <mergeCell ref="M149:N149"/>
    <mergeCell ref="O149:P149"/>
    <mergeCell ref="Q150:R150"/>
    <mergeCell ref="S150:T150"/>
    <mergeCell ref="U150:X150"/>
    <mergeCell ref="C150:D150"/>
    <mergeCell ref="E150:F150"/>
    <mergeCell ref="G150:H150"/>
    <mergeCell ref="I150:J150"/>
    <mergeCell ref="K150:L150"/>
    <mergeCell ref="M150:N150"/>
    <mergeCell ref="O150:P150"/>
    <mergeCell ref="Q154:R154"/>
    <mergeCell ref="S154:T154"/>
    <mergeCell ref="U154:X154"/>
    <mergeCell ref="C154:D154"/>
    <mergeCell ref="E154:F154"/>
    <mergeCell ref="G154:H154"/>
    <mergeCell ref="I154:J154"/>
    <mergeCell ref="K154:L154"/>
    <mergeCell ref="M154:N154"/>
    <mergeCell ref="O154:P154"/>
    <mergeCell ref="Q155:R155"/>
    <mergeCell ref="S155:T155"/>
    <mergeCell ref="U155:X155"/>
    <mergeCell ref="C155:D155"/>
    <mergeCell ref="E155:F155"/>
    <mergeCell ref="G155:H155"/>
    <mergeCell ref="I155:J155"/>
    <mergeCell ref="K155:L155"/>
    <mergeCell ref="M155:N155"/>
    <mergeCell ref="O155:P155"/>
    <mergeCell ref="Q163:R163"/>
    <mergeCell ref="S163:T163"/>
    <mergeCell ref="U163:X163"/>
    <mergeCell ref="C163:D163"/>
    <mergeCell ref="E163:F163"/>
    <mergeCell ref="G163:H163"/>
    <mergeCell ref="I163:J163"/>
    <mergeCell ref="K163:L163"/>
    <mergeCell ref="M163:N163"/>
    <mergeCell ref="O163:P163"/>
    <mergeCell ref="Q164:R164"/>
    <mergeCell ref="S164:T164"/>
    <mergeCell ref="U164:X164"/>
    <mergeCell ref="C164:D164"/>
    <mergeCell ref="E164:F164"/>
    <mergeCell ref="G164:H164"/>
    <mergeCell ref="I164:J164"/>
    <mergeCell ref="K164:L164"/>
    <mergeCell ref="M164:N164"/>
    <mergeCell ref="O164:P164"/>
    <mergeCell ref="Q165:R165"/>
    <mergeCell ref="S165:T165"/>
    <mergeCell ref="U165:X165"/>
    <mergeCell ref="C165:D165"/>
    <mergeCell ref="E165:F165"/>
    <mergeCell ref="G165:H165"/>
    <mergeCell ref="I165:J165"/>
    <mergeCell ref="K165:L165"/>
    <mergeCell ref="M165:N165"/>
    <mergeCell ref="O165:P165"/>
    <mergeCell ref="O171:P171"/>
    <mergeCell ref="Q171:R171"/>
    <mergeCell ref="S171:T171"/>
    <mergeCell ref="U171:X171"/>
    <mergeCell ref="C168:D168"/>
    <mergeCell ref="C171:D171"/>
    <mergeCell ref="E171:F171"/>
    <mergeCell ref="G171:H171"/>
    <mergeCell ref="I171:J171"/>
    <mergeCell ref="K171:L171"/>
    <mergeCell ref="M171:N171"/>
    <mergeCell ref="Q172:R172"/>
    <mergeCell ref="S172:T172"/>
    <mergeCell ref="U172:X172"/>
    <mergeCell ref="C172:D172"/>
    <mergeCell ref="E172:F172"/>
    <mergeCell ref="G172:H172"/>
    <mergeCell ref="I172:J172"/>
    <mergeCell ref="K172:L172"/>
    <mergeCell ref="M172:N172"/>
    <mergeCell ref="O172:P172"/>
    <mergeCell ref="Q173:R173"/>
    <mergeCell ref="S173:T173"/>
    <mergeCell ref="U173:X173"/>
    <mergeCell ref="C173:D173"/>
    <mergeCell ref="E173:F173"/>
    <mergeCell ref="G173:H173"/>
    <mergeCell ref="I173:J173"/>
    <mergeCell ref="K173:L173"/>
    <mergeCell ref="M173:N173"/>
    <mergeCell ref="O173:P173"/>
    <mergeCell ref="Q174:R174"/>
    <mergeCell ref="S174:T174"/>
    <mergeCell ref="U174:X174"/>
    <mergeCell ref="C174:D174"/>
    <mergeCell ref="E174:F174"/>
    <mergeCell ref="G174:H174"/>
    <mergeCell ref="I174:J174"/>
    <mergeCell ref="K174:L174"/>
    <mergeCell ref="M174:N174"/>
    <mergeCell ref="O174:P174"/>
    <mergeCell ref="Q156:R156"/>
    <mergeCell ref="S156:T156"/>
    <mergeCell ref="U156:X156"/>
    <mergeCell ref="E156:F156"/>
    <mergeCell ref="G156:H156"/>
    <mergeCell ref="I156:J156"/>
    <mergeCell ref="K156:L156"/>
    <mergeCell ref="M156:N156"/>
    <mergeCell ref="O156:P156"/>
    <mergeCell ref="B158:X158"/>
    <mergeCell ref="Q151:R151"/>
    <mergeCell ref="S151:T151"/>
    <mergeCell ref="U151:X151"/>
    <mergeCell ref="C151:D151"/>
    <mergeCell ref="E151:F151"/>
    <mergeCell ref="G151:H151"/>
    <mergeCell ref="I151:J151"/>
    <mergeCell ref="K151:L151"/>
    <mergeCell ref="M151:N151"/>
    <mergeCell ref="O151:P151"/>
    <mergeCell ref="Q152:R152"/>
    <mergeCell ref="S152:T152"/>
    <mergeCell ref="U152:X152"/>
    <mergeCell ref="C152:D152"/>
    <mergeCell ref="E152:F152"/>
    <mergeCell ref="G152:H152"/>
    <mergeCell ref="I152:J152"/>
    <mergeCell ref="K152:L152"/>
    <mergeCell ref="M152:N152"/>
    <mergeCell ref="O152:P152"/>
    <mergeCell ref="Q153:R153"/>
    <mergeCell ref="S153:T153"/>
    <mergeCell ref="U153:X153"/>
    <mergeCell ref="C153:D153"/>
    <mergeCell ref="E153:F153"/>
    <mergeCell ref="G153:H153"/>
    <mergeCell ref="I153:J153"/>
    <mergeCell ref="K153:L153"/>
    <mergeCell ref="M153:N153"/>
    <mergeCell ref="O153:P153"/>
    <mergeCell ref="O159:P159"/>
    <mergeCell ref="Q159:R159"/>
    <mergeCell ref="S159:T159"/>
    <mergeCell ref="U159:X159"/>
    <mergeCell ref="C156:D156"/>
    <mergeCell ref="C159:D159"/>
    <mergeCell ref="E159:F159"/>
    <mergeCell ref="G159:H159"/>
    <mergeCell ref="I159:J159"/>
    <mergeCell ref="K159:L159"/>
    <mergeCell ref="M159:N159"/>
    <mergeCell ref="Q160:R160"/>
    <mergeCell ref="S160:T160"/>
    <mergeCell ref="U160:X160"/>
    <mergeCell ref="C160:D160"/>
    <mergeCell ref="E160:F160"/>
    <mergeCell ref="G160:H160"/>
    <mergeCell ref="I160:J160"/>
    <mergeCell ref="K160:L160"/>
    <mergeCell ref="M160:N160"/>
    <mergeCell ref="O160:P160"/>
    <mergeCell ref="Q161:R161"/>
    <mergeCell ref="S161:T161"/>
    <mergeCell ref="U161:X161"/>
    <mergeCell ref="C161:D161"/>
    <mergeCell ref="E161:F161"/>
    <mergeCell ref="G161:H161"/>
    <mergeCell ref="I161:J161"/>
    <mergeCell ref="K161:L161"/>
    <mergeCell ref="M161:N161"/>
    <mergeCell ref="O161:P161"/>
    <mergeCell ref="Q162:R162"/>
    <mergeCell ref="S162:T162"/>
    <mergeCell ref="U162:X162"/>
    <mergeCell ref="C162:D162"/>
    <mergeCell ref="E162:F162"/>
    <mergeCell ref="G162:H162"/>
    <mergeCell ref="I162:J162"/>
    <mergeCell ref="K162:L162"/>
    <mergeCell ref="M162:N162"/>
    <mergeCell ref="O162:P162"/>
    <mergeCell ref="Q166:R166"/>
    <mergeCell ref="S166:T166"/>
    <mergeCell ref="U166:X166"/>
    <mergeCell ref="C166:D166"/>
    <mergeCell ref="E166:F166"/>
    <mergeCell ref="G166:H166"/>
    <mergeCell ref="I166:J166"/>
    <mergeCell ref="K166:L166"/>
    <mergeCell ref="M166:N166"/>
    <mergeCell ref="O166:P166"/>
    <mergeCell ref="Q167:R167"/>
    <mergeCell ref="S167:T167"/>
    <mergeCell ref="U167:X167"/>
    <mergeCell ref="C167:D167"/>
    <mergeCell ref="E167:F167"/>
    <mergeCell ref="G167:H167"/>
    <mergeCell ref="I167:J167"/>
    <mergeCell ref="K167:L167"/>
    <mergeCell ref="M167:N167"/>
    <mergeCell ref="O167:P167"/>
    <mergeCell ref="Q168:R168"/>
    <mergeCell ref="S168:T168"/>
    <mergeCell ref="U168:X168"/>
    <mergeCell ref="E168:F168"/>
    <mergeCell ref="G168:H168"/>
    <mergeCell ref="I168:J168"/>
    <mergeCell ref="K168:L168"/>
    <mergeCell ref="M168:N168"/>
    <mergeCell ref="O168:P168"/>
    <mergeCell ref="B170:X170"/>
    <mergeCell ref="Q178:R178"/>
    <mergeCell ref="S178:T178"/>
    <mergeCell ref="U178:X178"/>
    <mergeCell ref="C178:D178"/>
    <mergeCell ref="E178:F178"/>
    <mergeCell ref="G178:H178"/>
    <mergeCell ref="I178:J178"/>
    <mergeCell ref="K178:L178"/>
    <mergeCell ref="M178:N178"/>
    <mergeCell ref="O178:P178"/>
  </mergeCells>
  <conditionalFormatting sqref="C4:D12 C16:D24">
    <cfRule type="expression" dxfId="0" priority="1">
      <formula>INDIRECT(CONCAT("E",ROW()))</formula>
    </cfRule>
  </conditionalFormatting>
  <conditionalFormatting sqref="B1:D1025">
    <cfRule type="expression" dxfId="4" priority="2">
      <formula>INDIRECT(CONCAT("D",ROW()))</formula>
    </cfRule>
  </conditionalFormatting>
  <conditionalFormatting sqref="B1:D13 B15:D1025">
    <cfRule type="expression" dxfId="4" priority="3">
      <formula>INDIRECT(CONCAT("D",ROW()))</formula>
    </cfRule>
  </conditionalFormatting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6"/>
    <hyperlink r:id="rId11" ref="C17"/>
    <hyperlink r:id="rId12" ref="C18"/>
    <hyperlink r:id="rId13" ref="C19"/>
    <hyperlink r:id="rId14" ref="C20"/>
    <hyperlink r:id="rId15" ref="C21"/>
    <hyperlink r:id="rId16" ref="C22"/>
    <hyperlink r:id="rId17" ref="C23"/>
    <hyperlink r:id="rId18" ref="C24"/>
    <hyperlink r:id="rId19" ref="C28"/>
    <hyperlink r:id="rId20" ref="C29"/>
    <hyperlink r:id="rId21" ref="C30"/>
    <hyperlink r:id="rId22" ref="C31"/>
    <hyperlink r:id="rId23" ref="C32"/>
    <hyperlink r:id="rId24" ref="C33"/>
    <hyperlink r:id="rId25" ref="C34"/>
    <hyperlink r:id="rId26" ref="C35"/>
    <hyperlink r:id="rId27" ref="C36"/>
    <hyperlink r:id="rId28" ref="C40"/>
    <hyperlink r:id="rId29" ref="C41"/>
    <hyperlink r:id="rId30" ref="C42"/>
    <hyperlink r:id="rId31" ref="C43"/>
    <hyperlink r:id="rId32" ref="C44"/>
    <hyperlink r:id="rId33" ref="C45"/>
    <hyperlink r:id="rId34" ref="C46"/>
    <hyperlink r:id="rId35" ref="C47"/>
    <hyperlink r:id="rId36" ref="C48"/>
    <hyperlink r:id="rId37" ref="C52"/>
    <hyperlink r:id="rId38" ref="C53"/>
    <hyperlink r:id="rId39" ref="C54"/>
    <hyperlink r:id="rId40" ref="C55"/>
    <hyperlink r:id="rId41" ref="C56"/>
    <hyperlink r:id="rId42" ref="C57"/>
    <hyperlink r:id="rId43" ref="C58"/>
    <hyperlink r:id="rId44" ref="C59"/>
    <hyperlink r:id="rId45" ref="C60"/>
    <hyperlink r:id="rId46" ref="C64"/>
    <hyperlink r:id="rId47" ref="C65"/>
    <hyperlink r:id="rId48" ref="C66"/>
    <hyperlink r:id="rId49" ref="C67"/>
    <hyperlink r:id="rId50" ref="C68"/>
    <hyperlink r:id="rId51" ref="C69"/>
    <hyperlink r:id="rId52" ref="C70"/>
    <hyperlink r:id="rId53" ref="C71"/>
    <hyperlink r:id="rId54" ref="C72"/>
    <hyperlink r:id="rId55" ref="C76"/>
    <hyperlink r:id="rId56" ref="C77"/>
    <hyperlink r:id="rId57" ref="C78"/>
    <hyperlink r:id="rId58" ref="C79"/>
    <hyperlink r:id="rId59" ref="C80"/>
    <hyperlink r:id="rId60" ref="C81"/>
    <hyperlink r:id="rId61" ref="C82"/>
    <hyperlink r:id="rId62" ref="C83"/>
    <hyperlink r:id="rId63" ref="C84"/>
    <hyperlink r:id="rId64" ref="C88"/>
    <hyperlink r:id="rId65" ref="C89"/>
    <hyperlink r:id="rId66" ref="C90"/>
    <hyperlink r:id="rId67" ref="C91"/>
    <hyperlink r:id="rId68" ref="C92"/>
    <hyperlink r:id="rId69" ref="C93"/>
    <hyperlink r:id="rId70" ref="C94"/>
    <hyperlink r:id="rId71" ref="C95"/>
    <hyperlink r:id="rId72" ref="C96"/>
    <hyperlink r:id="rId73" ref="C100"/>
    <hyperlink r:id="rId74" ref="C101"/>
    <hyperlink r:id="rId75" ref="C102"/>
    <hyperlink r:id="rId76" ref="C103"/>
    <hyperlink r:id="rId77" ref="C104"/>
    <hyperlink r:id="rId78" ref="C105"/>
    <hyperlink r:id="rId79" ref="C106"/>
    <hyperlink r:id="rId80" ref="C107"/>
    <hyperlink r:id="rId81" ref="C108"/>
    <hyperlink r:id="rId82" ref="C112"/>
    <hyperlink r:id="rId83" ref="C113"/>
    <hyperlink r:id="rId84" ref="C114"/>
    <hyperlink r:id="rId85" ref="C115"/>
    <hyperlink r:id="rId86" ref="C116"/>
    <hyperlink r:id="rId87" ref="C117"/>
    <hyperlink r:id="rId88" ref="C118"/>
    <hyperlink r:id="rId89" ref="C119"/>
    <hyperlink r:id="rId90" ref="C120"/>
    <hyperlink r:id="rId91" ref="C124"/>
    <hyperlink r:id="rId92" ref="C125"/>
    <hyperlink r:id="rId93" ref="C126"/>
    <hyperlink r:id="rId94" ref="C127"/>
    <hyperlink r:id="rId95" ref="C128"/>
    <hyperlink r:id="rId96" ref="C129"/>
    <hyperlink r:id="rId97" ref="C130"/>
    <hyperlink r:id="rId98" ref="C131"/>
    <hyperlink r:id="rId99" ref="C132"/>
    <hyperlink r:id="rId100" ref="C136"/>
    <hyperlink r:id="rId101" ref="C137"/>
    <hyperlink r:id="rId102" ref="C138"/>
    <hyperlink r:id="rId103" ref="C139"/>
    <hyperlink r:id="rId104" ref="C140"/>
    <hyperlink r:id="rId105" ref="C141"/>
    <hyperlink r:id="rId106" ref="C142"/>
    <hyperlink r:id="rId107" ref="C143"/>
    <hyperlink r:id="rId108" ref="C144"/>
    <hyperlink r:id="rId109" ref="C148"/>
    <hyperlink r:id="rId110" ref="C149"/>
    <hyperlink r:id="rId111" ref="C150"/>
    <hyperlink r:id="rId112" ref="C151"/>
    <hyperlink r:id="rId113" ref="C152"/>
    <hyperlink r:id="rId114" ref="C153"/>
    <hyperlink r:id="rId115" ref="C154"/>
    <hyperlink r:id="rId116" ref="C155"/>
    <hyperlink r:id="rId117" ref="C156"/>
    <hyperlink r:id="rId118" ref="C160"/>
    <hyperlink r:id="rId119" ref="C161"/>
    <hyperlink r:id="rId120" ref="C162"/>
    <hyperlink r:id="rId121" ref="C163"/>
    <hyperlink r:id="rId122" ref="C164"/>
    <hyperlink r:id="rId123" ref="C165"/>
    <hyperlink r:id="rId124" ref="C166"/>
    <hyperlink r:id="rId125" ref="C167"/>
    <hyperlink r:id="rId126" ref="C168"/>
    <hyperlink r:id="rId127" ref="C172"/>
    <hyperlink r:id="rId128" ref="C173"/>
    <hyperlink r:id="rId129" ref="C174"/>
    <hyperlink r:id="rId130" ref="C175"/>
    <hyperlink r:id="rId131" ref="C176"/>
    <hyperlink r:id="rId132" ref="C177"/>
    <hyperlink r:id="rId133" ref="C178"/>
    <hyperlink r:id="rId134" ref="C179"/>
    <hyperlink r:id="rId135" ref="C180"/>
    <hyperlink r:id="rId136" ref="C184"/>
    <hyperlink r:id="rId137" ref="C185"/>
    <hyperlink r:id="rId138" ref="C186"/>
    <hyperlink r:id="rId139" ref="C187"/>
    <hyperlink r:id="rId140" ref="C188"/>
    <hyperlink r:id="rId141" ref="C189"/>
    <hyperlink r:id="rId142" ref="C190"/>
    <hyperlink r:id="rId143" ref="C191"/>
    <hyperlink r:id="rId144" ref="C192"/>
    <hyperlink r:id="rId145" ref="C196"/>
    <hyperlink r:id="rId146" ref="C197"/>
    <hyperlink r:id="rId147" ref="C198"/>
    <hyperlink r:id="rId148" ref="C199"/>
    <hyperlink r:id="rId149" ref="C200"/>
    <hyperlink r:id="rId150" ref="C201"/>
    <hyperlink r:id="rId151" ref="C202"/>
    <hyperlink r:id="rId152" ref="C203"/>
    <hyperlink r:id="rId153" ref="C204"/>
    <hyperlink r:id="rId154" ref="C208"/>
    <hyperlink r:id="rId155" ref="C209"/>
    <hyperlink r:id="rId156" ref="C210"/>
    <hyperlink r:id="rId157" ref="C211"/>
    <hyperlink r:id="rId158" ref="C212"/>
    <hyperlink r:id="rId159" ref="C213"/>
    <hyperlink r:id="rId160" ref="C214"/>
    <hyperlink r:id="rId161" ref="C215"/>
    <hyperlink r:id="rId162" ref="C216"/>
    <hyperlink r:id="rId163" ref="C220"/>
    <hyperlink r:id="rId164" ref="C221"/>
    <hyperlink r:id="rId165" ref="C222"/>
    <hyperlink r:id="rId166" ref="C223"/>
    <hyperlink r:id="rId167" ref="C224"/>
    <hyperlink r:id="rId168" ref="C225"/>
    <hyperlink r:id="rId169" ref="C226"/>
    <hyperlink r:id="rId170" ref="C227"/>
    <hyperlink r:id="rId171" ref="C228"/>
    <hyperlink r:id="rId172" ref="C232"/>
    <hyperlink r:id="rId173" ref="C233"/>
    <hyperlink r:id="rId174" ref="C234"/>
    <hyperlink r:id="rId175" ref="C235"/>
    <hyperlink r:id="rId176" ref="C236"/>
    <hyperlink r:id="rId177" ref="C237"/>
    <hyperlink r:id="rId178" ref="C238"/>
    <hyperlink r:id="rId179" ref="C239"/>
    <hyperlink r:id="rId180" ref="C240"/>
    <hyperlink r:id="rId181" ref="C244"/>
    <hyperlink r:id="rId182" ref="C245"/>
    <hyperlink r:id="rId183" ref="C246"/>
    <hyperlink r:id="rId184" ref="C247"/>
    <hyperlink r:id="rId185" ref="C248"/>
    <hyperlink r:id="rId186" ref="C249"/>
    <hyperlink r:id="rId187" ref="C250"/>
    <hyperlink r:id="rId188" ref="C251"/>
    <hyperlink r:id="rId189" ref="C252"/>
    <hyperlink r:id="rId190" ref="C256"/>
    <hyperlink r:id="rId191" ref="C257"/>
    <hyperlink r:id="rId192" ref="C258"/>
    <hyperlink r:id="rId193" ref="C259"/>
    <hyperlink r:id="rId194" ref="C260"/>
    <hyperlink r:id="rId195" ref="C261"/>
    <hyperlink r:id="rId196" ref="C262"/>
    <hyperlink r:id="rId197" ref="C263"/>
    <hyperlink r:id="rId198" ref="C264"/>
  </hyperlinks>
  <drawing r:id="rId19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14"/>
    <col customWidth="1" min="2" max="3" width="21.43"/>
    <col customWidth="1" min="4" max="4" width="6.0"/>
    <col customWidth="1" min="5" max="5" width="8.71"/>
    <col customWidth="1" min="6" max="6" width="8.29"/>
    <col customWidth="1" min="7" max="7" width="9.0"/>
    <col customWidth="1" min="8" max="8" width="8.43"/>
    <col customWidth="1" min="9" max="9" width="18.43"/>
    <col customWidth="1" min="10" max="10" width="11.14"/>
    <col customWidth="1" min="11" max="11" width="10.14"/>
    <col customWidth="1" min="12" max="12" width="7.86"/>
    <col customWidth="1" min="13" max="14" width="19.43"/>
    <col customWidth="1" min="15" max="17" width="11.57"/>
    <col customWidth="1" min="18" max="18" width="7.14"/>
    <col customWidth="1" min="19" max="19" width="10.86"/>
    <col customWidth="1" min="20" max="20" width="9.57"/>
    <col customWidth="1" min="21" max="21" width="8.71"/>
    <col customWidth="1" min="22" max="22" width="7.86"/>
    <col customWidth="1" min="23" max="23" width="9.71"/>
    <col customWidth="1" min="25" max="25" width="3.14"/>
  </cols>
  <sheetData>
    <row r="1">
      <c r="B1" s="71"/>
      <c r="C1" s="71"/>
      <c r="D1" s="71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3"/>
      <c r="V1" s="73"/>
      <c r="W1" s="73"/>
      <c r="X1" s="73"/>
    </row>
    <row r="2">
      <c r="B2" s="94" t="s">
        <v>984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18"/>
    </row>
    <row r="3">
      <c r="B3" s="95" t="s">
        <v>1</v>
      </c>
      <c r="C3" s="96" t="s">
        <v>15</v>
      </c>
      <c r="D3" s="23"/>
      <c r="E3" s="96" t="s">
        <v>18</v>
      </c>
      <c r="F3" s="23"/>
      <c r="G3" s="96" t="s">
        <v>19</v>
      </c>
      <c r="H3" s="23"/>
      <c r="I3" s="97" t="s">
        <v>20</v>
      </c>
      <c r="J3" s="23"/>
      <c r="K3" s="97" t="s">
        <v>21</v>
      </c>
      <c r="L3" s="23"/>
      <c r="M3" s="97" t="s">
        <v>22</v>
      </c>
      <c r="N3" s="23"/>
      <c r="O3" s="97" t="s">
        <v>23</v>
      </c>
      <c r="P3" s="23"/>
      <c r="Q3" s="97" t="s">
        <v>24</v>
      </c>
      <c r="R3" s="23"/>
      <c r="S3" s="97" t="s">
        <v>25</v>
      </c>
      <c r="T3" s="23"/>
      <c r="U3" s="96" t="s">
        <v>26</v>
      </c>
      <c r="V3" s="10"/>
      <c r="W3" s="10"/>
      <c r="X3" s="23"/>
    </row>
    <row r="4">
      <c r="B4" s="98">
        <v>1.0</v>
      </c>
      <c r="C4" s="99" t="str">
        <f>IFERROR(__xludf.DUMMYFUNCTION("filter(Domains!C4:X4,true)"),"")</f>
        <v/>
      </c>
      <c r="D4" s="18"/>
      <c r="E4" s="100"/>
      <c r="F4" s="18"/>
      <c r="G4" s="100"/>
      <c r="H4" s="18"/>
      <c r="I4" s="100"/>
      <c r="J4" s="18"/>
      <c r="K4" s="100"/>
      <c r="L4" s="18"/>
      <c r="M4" s="100"/>
      <c r="N4" s="18"/>
      <c r="O4" s="100"/>
      <c r="P4" s="18"/>
      <c r="Q4" s="100"/>
      <c r="R4" s="18"/>
      <c r="S4" s="100"/>
      <c r="T4" s="18"/>
      <c r="U4" s="101"/>
      <c r="V4" s="4"/>
      <c r="W4" s="4"/>
      <c r="X4" s="18"/>
    </row>
    <row r="5">
      <c r="B5" s="102">
        <v>1.0</v>
      </c>
      <c r="C5" s="103" t="str">
        <f>IFERROR(__xludf.DUMMYFUNCTION("filter(Domains!C16:X16,true)"),"")</f>
        <v/>
      </c>
      <c r="D5" s="23"/>
      <c r="E5" s="104"/>
      <c r="F5" s="23"/>
      <c r="G5" s="104"/>
      <c r="H5" s="23"/>
      <c r="I5" s="104"/>
      <c r="J5" s="23"/>
      <c r="K5" s="104"/>
      <c r="L5" s="23"/>
      <c r="M5" s="104"/>
      <c r="N5" s="23"/>
      <c r="O5" s="104"/>
      <c r="P5" s="23"/>
      <c r="Q5" s="104"/>
      <c r="R5" s="23"/>
      <c r="S5" s="104"/>
      <c r="T5" s="23"/>
      <c r="U5" s="105"/>
      <c r="V5" s="10"/>
      <c r="W5" s="10"/>
      <c r="X5" s="23"/>
    </row>
    <row r="6">
      <c r="B6" s="98">
        <v>2.0</v>
      </c>
      <c r="C6" s="99" t="str">
        <f>IFERROR(__xludf.DUMMYFUNCTION("filter(Domains!C5:X5,true)"),"")</f>
        <v/>
      </c>
      <c r="D6" s="18"/>
      <c r="E6" s="100"/>
      <c r="F6" s="18"/>
      <c r="G6" s="100"/>
      <c r="H6" s="18"/>
      <c r="I6" s="100"/>
      <c r="J6" s="18"/>
      <c r="K6" s="100"/>
      <c r="L6" s="18"/>
      <c r="M6" s="100"/>
      <c r="N6" s="18"/>
      <c r="O6" s="100"/>
      <c r="P6" s="18"/>
      <c r="Q6" s="100"/>
      <c r="R6" s="18"/>
      <c r="S6" s="100"/>
      <c r="T6" s="18"/>
      <c r="U6" s="101"/>
      <c r="V6" s="4"/>
      <c r="W6" s="4"/>
      <c r="X6" s="18"/>
    </row>
    <row r="7">
      <c r="B7" s="102">
        <v>2.0</v>
      </c>
      <c r="C7" s="103" t="str">
        <f>IFERROR(__xludf.DUMMYFUNCTION("filter(Domains!C17:X17,true)"),"")</f>
        <v/>
      </c>
      <c r="D7" s="23"/>
      <c r="E7" s="104"/>
      <c r="F7" s="23"/>
      <c r="G7" s="104"/>
      <c r="H7" s="23"/>
      <c r="I7" s="104"/>
      <c r="J7" s="23"/>
      <c r="K7" s="104"/>
      <c r="L7" s="23"/>
      <c r="M7" s="104"/>
      <c r="N7" s="23"/>
      <c r="O7" s="104"/>
      <c r="P7" s="23"/>
      <c r="Q7" s="104"/>
      <c r="R7" s="23"/>
      <c r="S7" s="104"/>
      <c r="T7" s="23"/>
      <c r="U7" s="105"/>
      <c r="V7" s="10"/>
      <c r="W7" s="10"/>
      <c r="X7" s="23"/>
    </row>
    <row r="8">
      <c r="B8" s="106">
        <v>3.0</v>
      </c>
      <c r="C8" s="107" t="str">
        <f>IFERROR(__xludf.DUMMYFUNCTION("filter(Domains!C6:X6,true)"),"")</f>
        <v/>
      </c>
      <c r="D8" s="18"/>
      <c r="E8" s="100"/>
      <c r="F8" s="18"/>
      <c r="G8" s="100"/>
      <c r="H8" s="18"/>
      <c r="I8" s="100"/>
      <c r="J8" s="18"/>
      <c r="K8" s="100"/>
      <c r="L8" s="18"/>
      <c r="M8" s="108"/>
      <c r="N8" s="18"/>
      <c r="O8" s="100"/>
      <c r="P8" s="18"/>
      <c r="Q8" s="100"/>
      <c r="R8" s="18"/>
      <c r="S8" s="100"/>
      <c r="T8" s="18"/>
      <c r="U8" s="109"/>
      <c r="V8" s="4"/>
      <c r="W8" s="4"/>
      <c r="X8" s="18"/>
    </row>
    <row r="9">
      <c r="B9" s="110">
        <v>3.0</v>
      </c>
      <c r="C9" s="111" t="str">
        <f>IFERROR(__xludf.DUMMYFUNCTION("filter(Domains!C18:X18,true)"),"")</f>
        <v/>
      </c>
      <c r="D9" s="23"/>
      <c r="E9" s="22"/>
      <c r="F9" s="23"/>
      <c r="G9" s="104"/>
      <c r="H9" s="23"/>
      <c r="I9" s="104"/>
      <c r="J9" s="23"/>
      <c r="K9" s="104"/>
      <c r="L9" s="23"/>
      <c r="M9" s="22"/>
      <c r="N9" s="23"/>
      <c r="O9" s="22"/>
      <c r="P9" s="23"/>
      <c r="Q9" s="22"/>
      <c r="R9" s="23"/>
      <c r="S9" s="22"/>
      <c r="T9" s="23"/>
      <c r="U9" s="112"/>
      <c r="V9" s="10"/>
      <c r="W9" s="10"/>
      <c r="X9" s="23"/>
    </row>
    <row r="10">
      <c r="B10" s="106">
        <v>4.0</v>
      </c>
      <c r="C10" s="107" t="str">
        <f>IFERROR(__xludf.DUMMYFUNCTION("filter(Domains!C7:X7,true)"),"")</f>
        <v/>
      </c>
      <c r="D10" s="18"/>
      <c r="E10" s="108"/>
      <c r="F10" s="18"/>
      <c r="G10" s="108"/>
      <c r="H10" s="18"/>
      <c r="I10" s="100"/>
      <c r="J10" s="18"/>
      <c r="K10" s="108"/>
      <c r="L10" s="18"/>
      <c r="M10" s="108"/>
      <c r="N10" s="18"/>
      <c r="O10" s="108"/>
      <c r="P10" s="18"/>
      <c r="Q10" s="108"/>
      <c r="R10" s="18"/>
      <c r="S10" s="108"/>
      <c r="T10" s="18"/>
      <c r="U10" s="109"/>
      <c r="V10" s="4"/>
      <c r="W10" s="4"/>
      <c r="X10" s="18"/>
    </row>
    <row r="11">
      <c r="B11" s="102">
        <v>4.0</v>
      </c>
      <c r="C11" s="103" t="str">
        <f>IFERROR(__xludf.DUMMYFUNCTION("filter(Domains!C19:X19,true)"),"")</f>
        <v/>
      </c>
      <c r="D11" s="23"/>
      <c r="E11" s="104"/>
      <c r="F11" s="23"/>
      <c r="G11" s="104"/>
      <c r="H11" s="23"/>
      <c r="I11" s="104"/>
      <c r="J11" s="23"/>
      <c r="K11" s="104"/>
      <c r="L11" s="23"/>
      <c r="M11" s="104"/>
      <c r="N11" s="23"/>
      <c r="O11" s="104"/>
      <c r="P11" s="23"/>
      <c r="Q11" s="104"/>
      <c r="R11" s="23"/>
      <c r="S11" s="104"/>
      <c r="T11" s="23"/>
      <c r="U11" s="105"/>
      <c r="V11" s="10"/>
      <c r="W11" s="10"/>
      <c r="X11" s="23"/>
    </row>
    <row r="12">
      <c r="B12" s="113">
        <v>5.0</v>
      </c>
      <c r="C12" s="114" t="str">
        <f>IFERROR(__xludf.DUMMYFUNCTION("filter(Domains!C8:X8,true)"),"")</f>
        <v/>
      </c>
      <c r="D12" s="115"/>
      <c r="E12" s="116"/>
      <c r="F12" s="115"/>
      <c r="G12" s="116"/>
      <c r="H12" s="115"/>
      <c r="I12" s="116"/>
      <c r="J12" s="115"/>
      <c r="K12" s="116"/>
      <c r="L12" s="115"/>
      <c r="M12" s="116"/>
      <c r="N12" s="115"/>
      <c r="O12" s="116"/>
      <c r="P12" s="115"/>
      <c r="Q12" s="116"/>
      <c r="R12" s="115"/>
      <c r="S12" s="116"/>
      <c r="T12" s="115"/>
      <c r="U12" s="117"/>
      <c r="V12" s="118"/>
      <c r="W12" s="118"/>
      <c r="X12" s="115"/>
    </row>
    <row r="13">
      <c r="A13" s="79"/>
      <c r="B13" s="110">
        <v>5.0</v>
      </c>
      <c r="C13" s="111" t="str">
        <f>IFERROR(__xludf.DUMMYFUNCTION("filter(Domains!C20:X20,true)"),"")</f>
        <v/>
      </c>
      <c r="D13" s="23"/>
      <c r="E13" s="104"/>
      <c r="F13" s="23"/>
      <c r="G13" s="22"/>
      <c r="H13" s="23"/>
      <c r="I13" s="104"/>
      <c r="J13" s="23"/>
      <c r="K13" s="22"/>
      <c r="L13" s="23"/>
      <c r="M13" s="22"/>
      <c r="N13" s="23"/>
      <c r="O13" s="104"/>
      <c r="P13" s="23"/>
      <c r="Q13" s="22"/>
      <c r="R13" s="23"/>
      <c r="S13" s="22"/>
      <c r="T13" s="23"/>
      <c r="U13" s="112"/>
      <c r="V13" s="10"/>
      <c r="W13" s="10"/>
      <c r="X13" s="23"/>
      <c r="Y13" s="79"/>
    </row>
    <row r="14">
      <c r="A14" s="79"/>
      <c r="B14" s="98">
        <v>6.0</v>
      </c>
      <c r="C14" s="99" t="str">
        <f>IFERROR(__xludf.DUMMYFUNCTION("filter(Domains!C9:X9,true)"),"")</f>
        <v/>
      </c>
      <c r="D14" s="18"/>
      <c r="E14" s="100"/>
      <c r="F14" s="18"/>
      <c r="G14" s="108"/>
      <c r="H14" s="18"/>
      <c r="I14" s="100"/>
      <c r="J14" s="18"/>
      <c r="K14" s="100"/>
      <c r="L14" s="18"/>
      <c r="M14" s="100"/>
      <c r="N14" s="18"/>
      <c r="O14" s="100"/>
      <c r="P14" s="18"/>
      <c r="Q14" s="100"/>
      <c r="R14" s="18"/>
      <c r="S14" s="100"/>
      <c r="T14" s="18"/>
      <c r="U14" s="101"/>
      <c r="V14" s="4"/>
      <c r="W14" s="4"/>
      <c r="X14" s="18"/>
      <c r="Y14" s="79"/>
    </row>
    <row r="15">
      <c r="A15" s="79"/>
      <c r="B15" s="102">
        <v>6.0</v>
      </c>
      <c r="C15" s="103" t="str">
        <f>IFERROR(__xludf.DUMMYFUNCTION("filter(Domains!C21:X21,true)"),"")</f>
        <v/>
      </c>
      <c r="D15" s="23"/>
      <c r="E15" s="104"/>
      <c r="F15" s="23"/>
      <c r="G15" s="22"/>
      <c r="H15" s="23"/>
      <c r="I15" s="104"/>
      <c r="J15" s="23"/>
      <c r="K15" s="104"/>
      <c r="L15" s="23"/>
      <c r="M15" s="104"/>
      <c r="N15" s="23"/>
      <c r="O15" s="104"/>
      <c r="P15" s="23"/>
      <c r="Q15" s="104"/>
      <c r="R15" s="23"/>
      <c r="S15" s="104"/>
      <c r="T15" s="23"/>
      <c r="U15" s="105"/>
      <c r="V15" s="10"/>
      <c r="W15" s="10"/>
      <c r="X15" s="23"/>
      <c r="Y15" s="79"/>
    </row>
    <row r="16">
      <c r="A16" s="79"/>
      <c r="B16" s="98">
        <v>7.0</v>
      </c>
      <c r="C16" s="99" t="str">
        <f>IFERROR(__xludf.DUMMYFUNCTION("filter(Domains!C10:X10,true)"),"")</f>
        <v/>
      </c>
      <c r="D16" s="18"/>
      <c r="E16" s="100"/>
      <c r="F16" s="18"/>
      <c r="G16" s="108"/>
      <c r="H16" s="18"/>
      <c r="I16" s="100"/>
      <c r="J16" s="18"/>
      <c r="K16" s="100"/>
      <c r="L16" s="18"/>
      <c r="M16" s="100"/>
      <c r="N16" s="18"/>
      <c r="O16" s="100"/>
      <c r="P16" s="18"/>
      <c r="Q16" s="100"/>
      <c r="R16" s="18"/>
      <c r="S16" s="100"/>
      <c r="T16" s="18"/>
      <c r="U16" s="101"/>
      <c r="V16" s="4"/>
      <c r="W16" s="4"/>
      <c r="X16" s="18"/>
      <c r="Y16" s="79"/>
    </row>
    <row r="17">
      <c r="A17" s="79"/>
      <c r="B17" s="102">
        <v>7.0</v>
      </c>
      <c r="C17" s="103" t="str">
        <f>IFERROR(__xludf.DUMMYFUNCTION("filter(Domains!C22:X22,true)"),"")</f>
        <v/>
      </c>
      <c r="D17" s="23"/>
      <c r="E17" s="104"/>
      <c r="F17" s="23"/>
      <c r="G17" s="22"/>
      <c r="H17" s="23"/>
      <c r="I17" s="104"/>
      <c r="J17" s="23"/>
      <c r="K17" s="104"/>
      <c r="L17" s="23"/>
      <c r="M17" s="104"/>
      <c r="N17" s="23"/>
      <c r="O17" s="104"/>
      <c r="P17" s="23"/>
      <c r="Q17" s="104"/>
      <c r="R17" s="23"/>
      <c r="S17" s="104"/>
      <c r="T17" s="23"/>
      <c r="U17" s="105"/>
      <c r="V17" s="10"/>
      <c r="W17" s="10"/>
      <c r="X17" s="23"/>
      <c r="Y17" s="79"/>
    </row>
    <row r="18">
      <c r="A18" s="79"/>
      <c r="B18" s="98">
        <v>8.0</v>
      </c>
      <c r="C18" s="99" t="str">
        <f>IFERROR(__xludf.DUMMYFUNCTION("filter(Domains!C11:X11,true)"),"")</f>
        <v/>
      </c>
      <c r="D18" s="18"/>
      <c r="E18" s="100"/>
      <c r="F18" s="18"/>
      <c r="G18" s="108"/>
      <c r="H18" s="18"/>
      <c r="I18" s="100"/>
      <c r="J18" s="18"/>
      <c r="K18" s="100"/>
      <c r="L18" s="18"/>
      <c r="M18" s="100"/>
      <c r="N18" s="18"/>
      <c r="O18" s="100"/>
      <c r="P18" s="18"/>
      <c r="Q18" s="100"/>
      <c r="R18" s="18"/>
      <c r="S18" s="100"/>
      <c r="T18" s="18"/>
      <c r="U18" s="101"/>
      <c r="V18" s="4"/>
      <c r="W18" s="4"/>
      <c r="X18" s="18"/>
      <c r="Y18" s="79"/>
    </row>
    <row r="19">
      <c r="A19" s="79"/>
      <c r="B19" s="102">
        <v>8.0</v>
      </c>
      <c r="C19" s="103" t="str">
        <f>IFERROR(__xludf.DUMMYFUNCTION("filter(Domains!C23:X23,true)"),"")</f>
        <v/>
      </c>
      <c r="D19" s="23"/>
      <c r="E19" s="104"/>
      <c r="F19" s="23"/>
      <c r="G19" s="22"/>
      <c r="H19" s="23"/>
      <c r="I19" s="104"/>
      <c r="J19" s="23"/>
      <c r="K19" s="104"/>
      <c r="L19" s="23"/>
      <c r="M19" s="104"/>
      <c r="N19" s="23"/>
      <c r="O19" s="104"/>
      <c r="P19" s="23"/>
      <c r="Q19" s="104"/>
      <c r="R19" s="23"/>
      <c r="S19" s="104"/>
      <c r="T19" s="23"/>
      <c r="U19" s="105"/>
      <c r="V19" s="10"/>
      <c r="W19" s="10"/>
      <c r="X19" s="23"/>
      <c r="Y19" s="79"/>
    </row>
    <row r="20">
      <c r="A20" s="79"/>
      <c r="B20" s="98">
        <v>9.0</v>
      </c>
      <c r="C20" s="99" t="str">
        <f>IFERROR(__xludf.DUMMYFUNCTION("filter(Domains!C12:X12,true)"),"")</f>
        <v/>
      </c>
      <c r="D20" s="18"/>
      <c r="E20" s="100"/>
      <c r="F20" s="18"/>
      <c r="G20" s="108"/>
      <c r="H20" s="18"/>
      <c r="I20" s="100"/>
      <c r="J20" s="18"/>
      <c r="K20" s="100"/>
      <c r="L20" s="18"/>
      <c r="M20" s="100"/>
      <c r="N20" s="18"/>
      <c r="O20" s="100"/>
      <c r="P20" s="18"/>
      <c r="Q20" s="100"/>
      <c r="R20" s="18"/>
      <c r="S20" s="100"/>
      <c r="T20" s="18"/>
      <c r="U20" s="101"/>
      <c r="V20" s="4"/>
      <c r="W20" s="4"/>
      <c r="X20" s="18"/>
      <c r="Y20" s="79"/>
    </row>
    <row r="21">
      <c r="A21" s="79"/>
      <c r="B21" s="102">
        <v>9.0</v>
      </c>
      <c r="C21" s="103" t="str">
        <f>IFERROR(__xludf.DUMMYFUNCTION("filter(Domains!C24:X24,true)"),"")</f>
        <v/>
      </c>
      <c r="D21" s="23"/>
      <c r="E21" s="104"/>
      <c r="F21" s="23"/>
      <c r="G21" s="22"/>
      <c r="H21" s="23"/>
      <c r="I21" s="104"/>
      <c r="J21" s="23"/>
      <c r="K21" s="104"/>
      <c r="L21" s="23"/>
      <c r="M21" s="104"/>
      <c r="N21" s="23"/>
      <c r="O21" s="104"/>
      <c r="P21" s="23"/>
      <c r="Q21" s="104"/>
      <c r="R21" s="23"/>
      <c r="S21" s="104"/>
      <c r="T21" s="23"/>
      <c r="U21" s="105"/>
      <c r="V21" s="10"/>
      <c r="W21" s="10"/>
      <c r="X21" s="23"/>
      <c r="Y21" s="79"/>
    </row>
    <row r="22">
      <c r="A22" s="79"/>
      <c r="B22" s="84"/>
      <c r="C22" s="84"/>
      <c r="D22" s="84"/>
      <c r="E22" s="85"/>
      <c r="F22" s="85"/>
      <c r="G22" s="72"/>
      <c r="H22" s="72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6"/>
      <c r="V22" s="86"/>
      <c r="W22" s="86"/>
      <c r="X22" s="86"/>
      <c r="Y22" s="79"/>
    </row>
  </sheetData>
  <mergeCells count="191">
    <mergeCell ref="Q15:R15"/>
    <mergeCell ref="S15:T15"/>
    <mergeCell ref="U15:X15"/>
    <mergeCell ref="C15:D15"/>
    <mergeCell ref="E15:F15"/>
    <mergeCell ref="G15:H15"/>
    <mergeCell ref="I15:J15"/>
    <mergeCell ref="K15:L15"/>
    <mergeCell ref="M15:N15"/>
    <mergeCell ref="O15:P15"/>
    <mergeCell ref="Q16:R16"/>
    <mergeCell ref="S16:T16"/>
    <mergeCell ref="U16:X16"/>
    <mergeCell ref="C16:D16"/>
    <mergeCell ref="E16:F16"/>
    <mergeCell ref="G16:H16"/>
    <mergeCell ref="I16:J16"/>
    <mergeCell ref="K16:L16"/>
    <mergeCell ref="M16:N16"/>
    <mergeCell ref="O16:P16"/>
    <mergeCell ref="Q17:R17"/>
    <mergeCell ref="S17:T17"/>
    <mergeCell ref="U17:X17"/>
    <mergeCell ref="C17:D17"/>
    <mergeCell ref="E17:F17"/>
    <mergeCell ref="G17:H17"/>
    <mergeCell ref="I17:J17"/>
    <mergeCell ref="K17:L17"/>
    <mergeCell ref="M17:N17"/>
    <mergeCell ref="O17:P17"/>
    <mergeCell ref="Q18:R18"/>
    <mergeCell ref="S18:T18"/>
    <mergeCell ref="U18:X18"/>
    <mergeCell ref="C18:D18"/>
    <mergeCell ref="E18:F18"/>
    <mergeCell ref="G18:H18"/>
    <mergeCell ref="I18:J18"/>
    <mergeCell ref="K18:L18"/>
    <mergeCell ref="M18:N18"/>
    <mergeCell ref="O18:P18"/>
    <mergeCell ref="Q19:R19"/>
    <mergeCell ref="S19:T19"/>
    <mergeCell ref="U19:X19"/>
    <mergeCell ref="C19:D19"/>
    <mergeCell ref="E19:F19"/>
    <mergeCell ref="G19:H19"/>
    <mergeCell ref="I19:J19"/>
    <mergeCell ref="K19:L19"/>
    <mergeCell ref="M19:N19"/>
    <mergeCell ref="O19:P19"/>
    <mergeCell ref="Q20:R20"/>
    <mergeCell ref="S20:T20"/>
    <mergeCell ref="U20:X20"/>
    <mergeCell ref="C20:D20"/>
    <mergeCell ref="E20:F20"/>
    <mergeCell ref="G20:H20"/>
    <mergeCell ref="I20:J20"/>
    <mergeCell ref="K20:L20"/>
    <mergeCell ref="M20:N20"/>
    <mergeCell ref="O20:P20"/>
    <mergeCell ref="Q6:R6"/>
    <mergeCell ref="S6:T6"/>
    <mergeCell ref="U6:X6"/>
    <mergeCell ref="C6:D6"/>
    <mergeCell ref="E6:F6"/>
    <mergeCell ref="G6:H6"/>
    <mergeCell ref="I6:J6"/>
    <mergeCell ref="K6:L6"/>
    <mergeCell ref="M6:N6"/>
    <mergeCell ref="O6:P6"/>
    <mergeCell ref="Q7:R7"/>
    <mergeCell ref="S7:T7"/>
    <mergeCell ref="U7:X7"/>
    <mergeCell ref="C7:D7"/>
    <mergeCell ref="E7:F7"/>
    <mergeCell ref="G7:H7"/>
    <mergeCell ref="I7:J7"/>
    <mergeCell ref="K7:L7"/>
    <mergeCell ref="M7:N7"/>
    <mergeCell ref="O7:P7"/>
    <mergeCell ref="Q8:R8"/>
    <mergeCell ref="S8:T8"/>
    <mergeCell ref="U8:X8"/>
    <mergeCell ref="C8:D8"/>
    <mergeCell ref="E8:F8"/>
    <mergeCell ref="G8:H8"/>
    <mergeCell ref="I8:J8"/>
    <mergeCell ref="K8:L8"/>
    <mergeCell ref="M8:N8"/>
    <mergeCell ref="O8:P8"/>
    <mergeCell ref="Q21:R21"/>
    <mergeCell ref="S21:T21"/>
    <mergeCell ref="U21:X21"/>
    <mergeCell ref="C21:D21"/>
    <mergeCell ref="E21:F21"/>
    <mergeCell ref="G21:H21"/>
    <mergeCell ref="I21:J21"/>
    <mergeCell ref="K21:L21"/>
    <mergeCell ref="M21:N21"/>
    <mergeCell ref="O21:P21"/>
    <mergeCell ref="O3:P3"/>
    <mergeCell ref="Q3:R3"/>
    <mergeCell ref="S3:T3"/>
    <mergeCell ref="U3:X3"/>
    <mergeCell ref="B2:X2"/>
    <mergeCell ref="C3:D3"/>
    <mergeCell ref="E3:F3"/>
    <mergeCell ref="G3:H3"/>
    <mergeCell ref="I3:J3"/>
    <mergeCell ref="K3:L3"/>
    <mergeCell ref="M3:N3"/>
    <mergeCell ref="Q4:R4"/>
    <mergeCell ref="S4:T4"/>
    <mergeCell ref="U4:X4"/>
    <mergeCell ref="C4:D4"/>
    <mergeCell ref="E4:F4"/>
    <mergeCell ref="G4:H4"/>
    <mergeCell ref="I4:J4"/>
    <mergeCell ref="K4:L4"/>
    <mergeCell ref="M4:N4"/>
    <mergeCell ref="O4:P4"/>
    <mergeCell ref="Q5:R5"/>
    <mergeCell ref="S5:T5"/>
    <mergeCell ref="U5:X5"/>
    <mergeCell ref="C5:D5"/>
    <mergeCell ref="E5:F5"/>
    <mergeCell ref="G5:H5"/>
    <mergeCell ref="I5:J5"/>
    <mergeCell ref="K5:L5"/>
    <mergeCell ref="M5:N5"/>
    <mergeCell ref="O5:P5"/>
    <mergeCell ref="Q9:R9"/>
    <mergeCell ref="S9:T9"/>
    <mergeCell ref="U9:X9"/>
    <mergeCell ref="C9:D9"/>
    <mergeCell ref="E9:F9"/>
    <mergeCell ref="G9:H9"/>
    <mergeCell ref="I9:J9"/>
    <mergeCell ref="K9:L9"/>
    <mergeCell ref="M9:N9"/>
    <mergeCell ref="O9:P9"/>
    <mergeCell ref="Q10:R10"/>
    <mergeCell ref="S10:T10"/>
    <mergeCell ref="U10:X10"/>
    <mergeCell ref="C10:D10"/>
    <mergeCell ref="E10:F10"/>
    <mergeCell ref="G10:H10"/>
    <mergeCell ref="I10:J10"/>
    <mergeCell ref="K10:L10"/>
    <mergeCell ref="M10:N10"/>
    <mergeCell ref="O10:P10"/>
    <mergeCell ref="Q11:R11"/>
    <mergeCell ref="S11:T11"/>
    <mergeCell ref="U11:X11"/>
    <mergeCell ref="C11:D11"/>
    <mergeCell ref="E11:F11"/>
    <mergeCell ref="G11:H11"/>
    <mergeCell ref="I11:J11"/>
    <mergeCell ref="K11:L11"/>
    <mergeCell ref="M11:N11"/>
    <mergeCell ref="O11:P11"/>
    <mergeCell ref="Q12:R12"/>
    <mergeCell ref="S12:T12"/>
    <mergeCell ref="U12:X12"/>
    <mergeCell ref="C12:D12"/>
    <mergeCell ref="E12:F12"/>
    <mergeCell ref="G12:H12"/>
    <mergeCell ref="I12:J12"/>
    <mergeCell ref="K12:L12"/>
    <mergeCell ref="M12:N12"/>
    <mergeCell ref="O12:P12"/>
    <mergeCell ref="Q13:R13"/>
    <mergeCell ref="S13:T13"/>
    <mergeCell ref="U13:X13"/>
    <mergeCell ref="C13:D13"/>
    <mergeCell ref="E13:F13"/>
    <mergeCell ref="G13:H13"/>
    <mergeCell ref="I13:J13"/>
    <mergeCell ref="K13:L13"/>
    <mergeCell ref="M13:N13"/>
    <mergeCell ref="O13:P13"/>
    <mergeCell ref="Q14:R14"/>
    <mergeCell ref="S14:T14"/>
    <mergeCell ref="U14:X14"/>
    <mergeCell ref="C14:D14"/>
    <mergeCell ref="E14:F14"/>
    <mergeCell ref="G14:H14"/>
    <mergeCell ref="I14:J14"/>
    <mergeCell ref="K14:L14"/>
    <mergeCell ref="M14:N14"/>
    <mergeCell ref="O14:P14"/>
  </mergeCells>
  <conditionalFormatting sqref="B1:D22">
    <cfRule type="expression" dxfId="4" priority="1">
      <formula>INDIRECT(CONCAT("D",ROW()))</formula>
    </cfRule>
  </conditionalFormatting>
  <conditionalFormatting sqref="B1:D22">
    <cfRule type="expression" dxfId="4" priority="2">
      <formula>INDIRECT(CONCAT("D",ROW()))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1" t="str">
        <f>'Spell List'!B16&amp;" "&amp;'Spell List'!C16</f>
        <v>0 Create Water</v>
      </c>
      <c r="F4" s="1" t="str">
        <f>DList!B4&amp;" "&amp;DList!C4</f>
        <v>1 </v>
      </c>
    </row>
    <row r="5">
      <c r="B5" s="1" t="str">
        <f>'Spell List'!B17&amp;" "&amp;'Spell List'!C17</f>
        <v>0 Cure Minor Wounds</v>
      </c>
      <c r="F5" s="1" t="str">
        <f>DList!B5&amp;" "&amp;DList!C5</f>
        <v>1 </v>
      </c>
    </row>
    <row r="6">
      <c r="B6" s="1" t="str">
        <f>'Spell List'!B18&amp;" "&amp;'Spell List'!C18</f>
        <v>0 Detect Magic</v>
      </c>
      <c r="F6" s="1" t="str">
        <f>DList!B6&amp;" "&amp;DList!C6</f>
        <v>2 </v>
      </c>
    </row>
    <row r="7">
      <c r="B7" s="1" t="str">
        <f>'Spell List'!B19&amp;" "&amp;'Spell List'!C19</f>
        <v>0 Detect Poison</v>
      </c>
      <c r="F7" s="1" t="str">
        <f>DList!B7&amp;" "&amp;DList!C7</f>
        <v>2 </v>
      </c>
    </row>
    <row r="8">
      <c r="B8" s="1" t="str">
        <f>'Spell List'!B20&amp;" "&amp;'Spell List'!C20</f>
        <v>0 Guidance</v>
      </c>
      <c r="F8" s="1" t="str">
        <f>DList!B8&amp;" "&amp;DList!C8</f>
        <v>3 </v>
      </c>
    </row>
    <row r="9">
      <c r="B9" s="1" t="str">
        <f>'Spell List'!B21&amp;" "&amp;'Spell List'!C21</f>
        <v>0 Inflict Minor Wounds</v>
      </c>
      <c r="F9" s="1" t="str">
        <f>DList!B9&amp;" "&amp;DList!C9</f>
        <v>3 </v>
      </c>
    </row>
    <row r="10">
      <c r="B10" s="1" t="str">
        <f>'Spell List'!B22&amp;" "&amp;'Spell List'!C22</f>
        <v>0 Light</v>
      </c>
      <c r="F10" s="1" t="str">
        <f>DList!B10&amp;" "&amp;DList!C10</f>
        <v>4 </v>
      </c>
    </row>
    <row r="11">
      <c r="B11" s="1" t="str">
        <f>'Spell List'!B23&amp;" "&amp;'Spell List'!C23</f>
        <v>0 Mending</v>
      </c>
      <c r="F11" s="1" t="str">
        <f>DList!B11&amp;" "&amp;DList!C11</f>
        <v>4 </v>
      </c>
    </row>
    <row r="12">
      <c r="B12" s="1" t="str">
        <f>'Spell List'!B24&amp;" "&amp;'Spell List'!C24</f>
        <v>0 Purify Food and Drink</v>
      </c>
      <c r="F12" s="1" t="str">
        <f>DList!B12&amp;" "&amp;DList!C12</f>
        <v>5 </v>
      </c>
    </row>
    <row r="13">
      <c r="B13" s="1" t="str">
        <f>'Spell List'!B25&amp;" "&amp;'Spell List'!C25</f>
        <v>0 Read Magic</v>
      </c>
      <c r="F13" s="1" t="str">
        <f>DList!B13&amp;" "&amp;DList!C13</f>
        <v>5 </v>
      </c>
    </row>
    <row r="14">
      <c r="B14" s="1" t="str">
        <f>'Spell List'!B26&amp;" "&amp;'Spell List'!C26</f>
        <v>0 Resistance</v>
      </c>
      <c r="F14" s="1" t="str">
        <f>DList!B14&amp;" "&amp;DList!C14</f>
        <v>6 </v>
      </c>
    </row>
    <row r="15">
      <c r="B15" s="1" t="str">
        <f>'Spell List'!B27&amp;" "&amp;'Spell List'!C27</f>
        <v>0 Virtue</v>
      </c>
      <c r="F15" s="1" t="str">
        <f>DList!B15&amp;" "&amp;DList!C15</f>
        <v>6 </v>
      </c>
    </row>
    <row r="16">
      <c r="B16" s="1" t="str">
        <f>'Spell List'!B28&amp;" "&amp;'Spell List'!C28</f>
        <v>1 Bane</v>
      </c>
      <c r="F16" s="1" t="str">
        <f>DList!B16&amp;" "&amp;DList!C16</f>
        <v>7 </v>
      </c>
    </row>
    <row r="17">
      <c r="B17" s="1" t="str">
        <f>'Spell List'!B29&amp;" "&amp;'Spell List'!C29</f>
        <v>1 Bless</v>
      </c>
      <c r="F17" s="1" t="str">
        <f>DList!B17&amp;" "&amp;DList!C17</f>
        <v>7 </v>
      </c>
    </row>
    <row r="18">
      <c r="B18" s="1" t="str">
        <f>'Spell List'!B30&amp;" "&amp;'Spell List'!C30</f>
        <v>1 Bless Water</v>
      </c>
      <c r="F18" s="1" t="str">
        <f>DList!B18&amp;" "&amp;DList!C18</f>
        <v>8 </v>
      </c>
    </row>
    <row r="19">
      <c r="B19" s="1" t="str">
        <f>'Spell List'!B31&amp;" "&amp;'Spell List'!C31</f>
        <v>1 Cause Fear</v>
      </c>
      <c r="F19" s="1" t="str">
        <f>DList!B19&amp;" "&amp;DList!C19</f>
        <v>8 </v>
      </c>
    </row>
    <row r="20">
      <c r="B20" s="1" t="str">
        <f>'Spell List'!B32&amp;" "&amp;'Spell List'!C32</f>
        <v>1 Command</v>
      </c>
      <c r="F20" s="1" t="str">
        <f>DList!B20&amp;" "&amp;DList!C20</f>
        <v>9 </v>
      </c>
    </row>
    <row r="21">
      <c r="B21" s="1" t="str">
        <f>'Spell List'!B33&amp;" "&amp;'Spell List'!C33</f>
        <v>1 Comprehend Languages</v>
      </c>
      <c r="F21" s="1" t="str">
        <f>DList!B21&amp;" "&amp;DList!C21</f>
        <v>9 </v>
      </c>
    </row>
    <row r="22">
      <c r="B22" s="1" t="str">
        <f>'Spell List'!B34&amp;" "&amp;'Spell List'!C34</f>
        <v>1 Cure Light Wounds</v>
      </c>
    </row>
    <row r="23">
      <c r="B23" s="1" t="str">
        <f>'Spell List'!B35&amp;" "&amp;'Spell List'!C35</f>
        <v>1 Curse Water</v>
      </c>
    </row>
    <row r="24">
      <c r="B24" s="1" t="str">
        <f>'Spell List'!B36&amp;" "&amp;'Spell List'!C36</f>
        <v>1 Deathwatch</v>
      </c>
    </row>
    <row r="25">
      <c r="B25" s="1" t="str">
        <f>'Spell List'!B37&amp;" "&amp;'Spell List'!C37</f>
        <v>1 Detect Chaos</v>
      </c>
    </row>
    <row r="26">
      <c r="B26" s="1" t="str">
        <f>'Spell List'!B38&amp;" "&amp;'Spell List'!C38</f>
        <v>1 Detect Evil</v>
      </c>
    </row>
    <row r="27">
      <c r="B27" s="1" t="str">
        <f>'Spell List'!B39&amp;" "&amp;'Spell List'!C39</f>
        <v>1 Detect Good</v>
      </c>
    </row>
    <row r="28">
      <c r="B28" s="1" t="str">
        <f>'Spell List'!B40&amp;" "&amp;'Spell List'!C40</f>
        <v>1 Detect Law</v>
      </c>
    </row>
    <row r="29">
      <c r="B29" s="1" t="str">
        <f>'Spell List'!B41&amp;" "&amp;'Spell List'!C41</f>
        <v>1 Detect Undead</v>
      </c>
    </row>
    <row r="30">
      <c r="B30" s="1" t="str">
        <f>'Spell List'!B42&amp;" "&amp;'Spell List'!C42</f>
        <v>1 Divine Favor</v>
      </c>
    </row>
    <row r="31">
      <c r="B31" s="1" t="str">
        <f>'Spell List'!B43&amp;" "&amp;'Spell List'!C43</f>
        <v>1 Doom</v>
      </c>
    </row>
    <row r="32">
      <c r="B32" s="1" t="str">
        <f>'Spell List'!B44&amp;" "&amp;'Spell List'!C44</f>
        <v>1 Endure Elements</v>
      </c>
    </row>
    <row r="33">
      <c r="B33" s="1" t="str">
        <f>'Spell List'!B45&amp;" "&amp;'Spell List'!C45</f>
        <v>1 Entropic Shield</v>
      </c>
    </row>
    <row r="34">
      <c r="B34" s="1" t="str">
        <f>'Spell List'!B46&amp;" "&amp;'Spell List'!C46</f>
        <v>1 Hide from Undead</v>
      </c>
    </row>
    <row r="35">
      <c r="B35" s="1" t="str">
        <f>'Spell List'!B47&amp;" "&amp;'Spell List'!C47</f>
        <v>1 Inflict Light Wounds</v>
      </c>
    </row>
    <row r="36">
      <c r="B36" s="1" t="str">
        <f>'Spell List'!B48&amp;" "&amp;'Spell List'!C48</f>
        <v>1 Magic Stone</v>
      </c>
    </row>
    <row r="37">
      <c r="B37" s="1" t="str">
        <f>'Spell List'!B49&amp;" "&amp;'Spell List'!C49</f>
        <v>1 Magic Weapon</v>
      </c>
    </row>
    <row r="38">
      <c r="B38" s="1" t="str">
        <f>'Spell List'!B50&amp;" "&amp;'Spell List'!C50</f>
        <v>1 Obscuring Mist</v>
      </c>
    </row>
    <row r="39">
      <c r="B39" s="1" t="str">
        <f>'Spell List'!B51&amp;" "&amp;'Spell List'!C51</f>
        <v>1 Protection from Chaos</v>
      </c>
    </row>
    <row r="40">
      <c r="B40" s="1" t="str">
        <f>'Spell List'!B52&amp;" "&amp;'Spell List'!C52</f>
        <v>1 Protection from Evil</v>
      </c>
    </row>
    <row r="41">
      <c r="B41" s="1" t="str">
        <f>'Spell List'!B53&amp;" "&amp;'Spell List'!C53</f>
        <v>1 Protection from Good</v>
      </c>
    </row>
    <row r="42">
      <c r="B42" s="1" t="str">
        <f>'Spell List'!B54&amp;" "&amp;'Spell List'!C54</f>
        <v>1 Protection from Law</v>
      </c>
    </row>
    <row r="43">
      <c r="B43" s="1" t="str">
        <f>'Spell List'!B55&amp;" "&amp;'Spell List'!C55</f>
        <v>1 Remove Fear</v>
      </c>
    </row>
    <row r="44">
      <c r="B44" s="1" t="str">
        <f>'Spell List'!B56&amp;" "&amp;'Spell List'!C56</f>
        <v>1 Sanctuary</v>
      </c>
    </row>
    <row r="45">
      <c r="B45" s="1" t="str">
        <f>'Spell List'!B57&amp;" "&amp;'Spell List'!C57</f>
        <v>1 Shield of Faith</v>
      </c>
    </row>
    <row r="46">
      <c r="B46" s="1" t="str">
        <f>'Spell List'!B58&amp;" "&amp;'Spell List'!C58</f>
        <v>1 Summon Monster I</v>
      </c>
    </row>
    <row r="47">
      <c r="B47" s="1" t="str">
        <f>'Spell List'!B59&amp;" "&amp;'Spell List'!C59</f>
        <v>2 Aid</v>
      </c>
    </row>
    <row r="48">
      <c r="B48" s="1" t="str">
        <f>'Spell List'!B60&amp;" "&amp;'Spell List'!C60</f>
        <v>2 Align Weapon</v>
      </c>
    </row>
    <row r="49">
      <c r="B49" s="1" t="str">
        <f>'Spell List'!B61&amp;" "&amp;'Spell List'!C61</f>
        <v>2 Augury</v>
      </c>
    </row>
    <row r="50">
      <c r="B50" s="1" t="str">
        <f>'Spell List'!B62&amp;" "&amp;'Spell List'!C62</f>
        <v>2 Bear's Endurance</v>
      </c>
    </row>
    <row r="51">
      <c r="B51" s="1" t="str">
        <f>'Spell List'!B63&amp;" "&amp;'Spell List'!C63</f>
        <v>2 Bull's Strength</v>
      </c>
    </row>
    <row r="52">
      <c r="B52" s="1" t="str">
        <f>'Spell List'!B64&amp;" "&amp;'Spell List'!C64</f>
        <v>2 Calm Emotions</v>
      </c>
    </row>
    <row r="53">
      <c r="B53" s="1" t="str">
        <f>'Spell List'!B65&amp;" "&amp;'Spell List'!C65</f>
        <v>2 Consecrate</v>
      </c>
    </row>
    <row r="54">
      <c r="B54" s="1" t="str">
        <f>'Spell List'!B66&amp;" "&amp;'Spell List'!C66</f>
        <v>2 Cure Moderate Wounds</v>
      </c>
    </row>
    <row r="55">
      <c r="B55" s="1" t="str">
        <f>'Spell List'!B67&amp;" "&amp;'Spell List'!C67</f>
        <v>2 Darkness</v>
      </c>
    </row>
    <row r="56">
      <c r="B56" s="1" t="str">
        <f>'Spell List'!B68&amp;" "&amp;'Spell List'!C68</f>
        <v>2 Death Knell</v>
      </c>
    </row>
    <row r="57">
      <c r="B57" s="1" t="str">
        <f>'Spell List'!B69&amp;" "&amp;'Spell List'!C69</f>
        <v>2 Delay Posion</v>
      </c>
    </row>
    <row r="58">
      <c r="B58" s="1" t="str">
        <f>'Spell List'!B70&amp;" "&amp;'Spell List'!C70</f>
        <v>2 Desecrate</v>
      </c>
    </row>
    <row r="59">
      <c r="B59" s="1" t="str">
        <f>'Spell List'!B71&amp;" "&amp;'Spell List'!C71</f>
        <v>2 Eagle's Splendor</v>
      </c>
    </row>
    <row r="60">
      <c r="B60" s="1" t="str">
        <f>'Spell List'!B72&amp;" "&amp;'Spell List'!C72</f>
        <v>2 Enthrall</v>
      </c>
    </row>
    <row r="61">
      <c r="B61" s="1" t="str">
        <f>'Spell List'!B73&amp;" "&amp;'Spell List'!C73</f>
        <v>2 Find Traps</v>
      </c>
    </row>
    <row r="62">
      <c r="B62" s="1" t="str">
        <f>'Spell List'!B74&amp;" "&amp;'Spell List'!C74</f>
        <v>2 Gentle Repose</v>
      </c>
    </row>
    <row r="63">
      <c r="B63" s="1" t="str">
        <f>'Spell List'!B75&amp;" "&amp;'Spell List'!C75</f>
        <v>2 Hold Person</v>
      </c>
    </row>
    <row r="64">
      <c r="B64" s="1" t="str">
        <f>'Spell List'!B76&amp;" "&amp;'Spell List'!C76</f>
        <v>2 Inflict Moderate Wounds</v>
      </c>
    </row>
    <row r="65">
      <c r="B65" s="1" t="str">
        <f>'Spell List'!B77&amp;" "&amp;'Spell List'!C77</f>
        <v>2 Make Whole</v>
      </c>
    </row>
    <row r="66">
      <c r="B66" s="1" t="str">
        <f>'Spell List'!B78&amp;" "&amp;'Spell List'!C78</f>
        <v>2 Owl's Wisdom</v>
      </c>
    </row>
    <row r="67">
      <c r="B67" s="1" t="str">
        <f>'Spell List'!B79&amp;" "&amp;'Spell List'!C79</f>
        <v>2 Remove Paralysis</v>
      </c>
    </row>
    <row r="68">
      <c r="B68" s="1" t="str">
        <f>'Spell List'!B80&amp;" "&amp;'Spell List'!C80</f>
        <v>2 Resist Energy</v>
      </c>
    </row>
    <row r="69">
      <c r="B69" s="1" t="str">
        <f>'Spell List'!B81&amp;" "&amp;'Spell List'!C81</f>
        <v>2 Lesser Restoration</v>
      </c>
    </row>
    <row r="70">
      <c r="B70" s="1" t="str">
        <f>'Spell List'!B82&amp;" "&amp;'Spell List'!C82</f>
        <v>2 Shatter</v>
      </c>
    </row>
    <row r="71">
      <c r="B71" s="1" t="str">
        <f>'Spell List'!B83&amp;" "&amp;'Spell List'!C83</f>
        <v>2 Shield Other</v>
      </c>
    </row>
    <row r="72">
      <c r="B72" s="1" t="str">
        <f>'Spell List'!B84&amp;" "&amp;'Spell List'!C84</f>
        <v>2 Silence</v>
      </c>
    </row>
    <row r="73">
      <c r="B73" s="1" t="str">
        <f>'Spell List'!B85&amp;" "&amp;'Spell List'!C85</f>
        <v>2 Sound Burst</v>
      </c>
    </row>
    <row r="74">
      <c r="B74" s="1" t="str">
        <f>'Spell List'!B86&amp;" "&amp;'Spell List'!C86</f>
        <v>2 Spiritual Weapon</v>
      </c>
    </row>
    <row r="75">
      <c r="B75" s="1" t="str">
        <f>'Spell List'!B87&amp;" "&amp;'Spell List'!C87</f>
        <v>2 Status</v>
      </c>
    </row>
    <row r="76">
      <c r="B76" s="1" t="str">
        <f>'Spell List'!B88&amp;" "&amp;'Spell List'!C88</f>
        <v>2 Summon Monster II</v>
      </c>
    </row>
    <row r="77">
      <c r="B77" s="1" t="str">
        <f>'Spell List'!B89&amp;" "&amp;'Spell List'!C89</f>
        <v>2 Undetectable Alignment</v>
      </c>
    </row>
    <row r="78">
      <c r="B78" s="1" t="str">
        <f>'Spell List'!B90&amp;" "&amp;'Spell List'!C90</f>
        <v>2 Zone of Truth</v>
      </c>
    </row>
    <row r="79">
      <c r="B79" s="1" t="str">
        <f>'Spell List'!B91&amp;" "&amp;'Spell List'!C91</f>
        <v>3 Animate Dead</v>
      </c>
    </row>
    <row r="80">
      <c r="B80" s="1" t="str">
        <f>'Spell List'!B92&amp;" "&amp;'Spell List'!C92</f>
        <v>3 Bestow Curse</v>
      </c>
    </row>
    <row r="81">
      <c r="B81" s="1" t="str">
        <f>'Spell List'!B93&amp;" "&amp;'Spell List'!C93</f>
        <v>3 Blindness/Deafness</v>
      </c>
    </row>
    <row r="82">
      <c r="B82" s="1" t="str">
        <f>'Spell List'!B94&amp;" "&amp;'Spell List'!C94</f>
        <v>3 Contagion</v>
      </c>
    </row>
    <row r="83">
      <c r="B83" s="1" t="str">
        <f>'Spell List'!B95&amp;" "&amp;'Spell List'!C95</f>
        <v>3 Continual Flame</v>
      </c>
    </row>
    <row r="84">
      <c r="B84" s="1" t="str">
        <f>'Spell List'!B96&amp;" "&amp;'Spell List'!C96</f>
        <v>3 Create Food and Water</v>
      </c>
    </row>
    <row r="85">
      <c r="B85" s="1" t="str">
        <f>'Spell List'!B97&amp;" "&amp;'Spell List'!C97</f>
        <v>3 Cure Serious Wounds</v>
      </c>
    </row>
    <row r="86">
      <c r="B86" s="1" t="str">
        <f>'Spell List'!B98&amp;" "&amp;'Spell List'!C98</f>
        <v>3 Daylight</v>
      </c>
    </row>
    <row r="87">
      <c r="B87" s="1" t="str">
        <f>'Spell List'!B99&amp;" "&amp;'Spell List'!C99</f>
        <v>3 Deeper Darkness</v>
      </c>
    </row>
    <row r="88">
      <c r="B88" s="1" t="str">
        <f>'Spell List'!B100&amp;" "&amp;'Spell List'!C100</f>
        <v>3 Dispel Magic</v>
      </c>
    </row>
    <row r="89">
      <c r="B89" s="1" t="str">
        <f>'Spell List'!B101&amp;" "&amp;'Spell List'!C101</f>
        <v>3 Glyph of Warding</v>
      </c>
    </row>
    <row r="90">
      <c r="B90" s="1" t="str">
        <f>'Spell List'!B102&amp;" "&amp;'Spell List'!C102</f>
        <v>3 Helping Hand</v>
      </c>
    </row>
    <row r="91">
      <c r="B91" s="1" t="str">
        <f>'Spell List'!B103&amp;" "&amp;'Spell List'!C103</f>
        <v>3 Inflict Serious Wounds</v>
      </c>
    </row>
    <row r="92">
      <c r="B92" s="1" t="str">
        <f>'Spell List'!B104&amp;" "&amp;'Spell List'!C104</f>
        <v>3 Invisibility Purge</v>
      </c>
    </row>
    <row r="93">
      <c r="B93" s="1" t="str">
        <f>'Spell List'!B105&amp;" "&amp;'Spell List'!C105</f>
        <v>3 Locate Object</v>
      </c>
    </row>
    <row r="94">
      <c r="B94" s="1" t="str">
        <f>'Spell List'!B106&amp;" "&amp;'Spell List'!C106</f>
        <v>3 Magic Circle against Chaos</v>
      </c>
    </row>
    <row r="95">
      <c r="B95" s="1" t="str">
        <f>'Spell List'!B107&amp;" "&amp;'Spell List'!C107</f>
        <v>3 Magic Circle against Evil</v>
      </c>
    </row>
    <row r="96">
      <c r="B96" s="1" t="str">
        <f>'Spell List'!B108&amp;" "&amp;'Spell List'!C108</f>
        <v>3 Magic Circle against Good</v>
      </c>
    </row>
    <row r="97">
      <c r="B97" s="1" t="str">
        <f>'Spell List'!B109&amp;" "&amp;'Spell List'!C109</f>
        <v>3 Magic Circle against Law</v>
      </c>
    </row>
    <row r="98">
      <c r="B98" s="1" t="str">
        <f>'Spell List'!B110&amp;" "&amp;'Spell List'!C110</f>
        <v>3 Magic Vestament</v>
      </c>
    </row>
    <row r="99">
      <c r="B99" s="1" t="str">
        <f>'Spell List'!B111&amp;" "&amp;'Spell List'!C111</f>
        <v>3 Meld into Stone</v>
      </c>
    </row>
    <row r="100">
      <c r="B100" s="1" t="str">
        <f>'Spell List'!B112&amp;" "&amp;'Spell List'!C112</f>
        <v>3 Obscure Object</v>
      </c>
    </row>
    <row r="101">
      <c r="B101" s="1" t="str">
        <f>'Spell List'!B113&amp;" "&amp;'Spell List'!C113</f>
        <v>3 Prayer</v>
      </c>
    </row>
    <row r="102">
      <c r="B102" s="1" t="str">
        <f>'Spell List'!B114&amp;" "&amp;'Spell List'!C114</f>
        <v>3 Protection from Energy</v>
      </c>
    </row>
    <row r="103">
      <c r="B103" s="1" t="str">
        <f>'Spell List'!B115&amp;" "&amp;'Spell List'!C115</f>
        <v>3 Remove Blindness/Deafness</v>
      </c>
    </row>
    <row r="104">
      <c r="B104" s="1" t="str">
        <f>'Spell List'!B116&amp;" "&amp;'Spell List'!C116</f>
        <v>3 Remove Curse</v>
      </c>
    </row>
    <row r="105">
      <c r="B105" s="1" t="str">
        <f>'Spell List'!B117&amp;" "&amp;'Spell List'!C117</f>
        <v>3 Remove Disease</v>
      </c>
    </row>
    <row r="106">
      <c r="B106" s="1" t="str">
        <f>'Spell List'!B118&amp;" "&amp;'Spell List'!C118</f>
        <v>3 Searing Light</v>
      </c>
    </row>
    <row r="107">
      <c r="B107" s="1" t="str">
        <f>'Spell List'!B119&amp;" "&amp;'Spell List'!C119</f>
        <v>3 Speak with Dead</v>
      </c>
    </row>
    <row r="108">
      <c r="B108" s="1" t="str">
        <f>'Spell List'!B120&amp;" "&amp;'Spell List'!C120</f>
        <v>3 Stone Shape</v>
      </c>
    </row>
    <row r="109">
      <c r="B109" s="1" t="str">
        <f>'Spell List'!B121&amp;" "&amp;'Spell List'!C121</f>
        <v>3 Summon Monster III</v>
      </c>
    </row>
    <row r="110">
      <c r="B110" s="1" t="str">
        <f>'Spell List'!B122&amp;" "&amp;'Spell List'!C122</f>
        <v>3 Water Breathing</v>
      </c>
    </row>
    <row r="111">
      <c r="B111" s="1" t="str">
        <f>'Spell List'!B123&amp;" "&amp;'Spell List'!C123</f>
        <v>3 Water Walk</v>
      </c>
    </row>
    <row r="112">
      <c r="B112" s="1" t="str">
        <f>'Spell List'!B124&amp;" "&amp;'Spell List'!C124</f>
        <v>3 Wind Wall</v>
      </c>
    </row>
    <row r="113">
      <c r="B113" s="1" t="str">
        <f>'Spell List'!B125&amp;" "&amp;'Spell List'!C125</f>
        <v>4 Air Walk</v>
      </c>
    </row>
    <row r="114">
      <c r="B114" s="1" t="str">
        <f>'Spell List'!B126&amp;" "&amp;'Spell List'!C126</f>
        <v>4 Control Water</v>
      </c>
    </row>
    <row r="115">
      <c r="B115" s="1" t="str">
        <f>'Spell List'!B127&amp;" "&amp;'Spell List'!C127</f>
        <v>4 Cure Critical Wounds</v>
      </c>
    </row>
    <row r="116">
      <c r="B116" s="1" t="str">
        <f>'Spell List'!B128&amp;" "&amp;'Spell List'!C128</f>
        <v>4 Death Ward</v>
      </c>
    </row>
    <row r="117">
      <c r="B117" s="1" t="str">
        <f>'Spell List'!B129&amp;" "&amp;'Spell List'!C129</f>
        <v>4 Dimensional Anchor</v>
      </c>
    </row>
    <row r="118">
      <c r="B118" s="1" t="str">
        <f>'Spell List'!B130&amp;" "&amp;'Spell List'!C130</f>
        <v>4 Discern Lies</v>
      </c>
    </row>
    <row r="119">
      <c r="B119" s="1" t="str">
        <f>'Spell List'!B131&amp;" "&amp;'Spell List'!C131</f>
        <v>4 Dismissal</v>
      </c>
    </row>
    <row r="120">
      <c r="B120" s="1" t="str">
        <f>'Spell List'!B132&amp;" "&amp;'Spell List'!C132</f>
        <v>4 Divination</v>
      </c>
    </row>
    <row r="121">
      <c r="B121" s="1" t="str">
        <f>'Spell List'!B133&amp;" "&amp;'Spell List'!C133</f>
        <v>4 Divine Power</v>
      </c>
    </row>
    <row r="122">
      <c r="B122" s="1" t="str">
        <f>'Spell List'!B134&amp;" "&amp;'Spell List'!C134</f>
        <v>4 Freedom of Movement</v>
      </c>
    </row>
    <row r="123">
      <c r="B123" s="1" t="str">
        <f>'Spell List'!B135&amp;" "&amp;'Spell List'!C135</f>
        <v>4 Giant Vermin</v>
      </c>
    </row>
    <row r="124">
      <c r="B124" s="1" t="str">
        <f>'Spell List'!B136&amp;" "&amp;'Spell List'!C136</f>
        <v>4 Imbue with Spell Ability</v>
      </c>
    </row>
    <row r="125">
      <c r="B125" s="1" t="str">
        <f>'Spell List'!B137&amp;" "&amp;'Spell List'!C137</f>
        <v>4 Inflict Critical Wounds</v>
      </c>
    </row>
    <row r="126">
      <c r="B126" s="1" t="str">
        <f>'Spell List'!B138&amp;" "&amp;'Spell List'!C138</f>
        <v>4 Greater Magic Weapon</v>
      </c>
    </row>
    <row r="127">
      <c r="B127" s="1" t="str">
        <f>'Spell List'!B139&amp;" "&amp;'Spell List'!C139</f>
        <v>4 Neutralize Poison</v>
      </c>
    </row>
    <row r="128">
      <c r="B128" s="1" t="str">
        <f>'Spell List'!B140&amp;" "&amp;'Spell List'!C140</f>
        <v>4 Lesser Planar Ally</v>
      </c>
    </row>
    <row r="129">
      <c r="B129" s="1" t="str">
        <f>'Spell List'!B141&amp;" "&amp;'Spell List'!C141</f>
        <v>4 Poison</v>
      </c>
    </row>
    <row r="130">
      <c r="B130" s="1" t="str">
        <f>'Spell List'!B142&amp;" "&amp;'Spell List'!C142</f>
        <v>4 Repel Vermin</v>
      </c>
    </row>
    <row r="131">
      <c r="B131" s="1" t="str">
        <f>'Spell List'!B143&amp;" "&amp;'Spell List'!C143</f>
        <v>4 Restoration</v>
      </c>
    </row>
    <row r="132">
      <c r="B132" s="1" t="str">
        <f>'Spell List'!B144&amp;" "&amp;'Spell List'!C144</f>
        <v>4 Sending</v>
      </c>
    </row>
    <row r="133">
      <c r="B133" s="1" t="str">
        <f>'Spell List'!B145&amp;" "&amp;'Spell List'!C145</f>
        <v>4 Spell Immunity</v>
      </c>
    </row>
    <row r="134">
      <c r="B134" s="1" t="str">
        <f>'Spell List'!B146&amp;" "&amp;'Spell List'!C146</f>
        <v>4 Summon Monster IV</v>
      </c>
    </row>
    <row r="135">
      <c r="B135" s="1" t="str">
        <f>'Spell List'!B147&amp;" "&amp;'Spell List'!C147</f>
        <v>4 Tongues</v>
      </c>
    </row>
    <row r="136">
      <c r="B136" s="1" t="str">
        <f>'Spell List'!B148&amp;" "&amp;'Spell List'!C148</f>
        <v>5 Atonement</v>
      </c>
    </row>
    <row r="137">
      <c r="B137" s="1" t="str">
        <f>'Spell List'!B149&amp;" "&amp;'Spell List'!C149</f>
        <v>5 Break Enchantment</v>
      </c>
    </row>
    <row r="138">
      <c r="B138" s="1" t="str">
        <f>'Spell List'!B150&amp;" "&amp;'Spell List'!C150</f>
        <v>5 Greater Command</v>
      </c>
    </row>
    <row r="139">
      <c r="B139" s="1" t="str">
        <f>'Spell List'!B151&amp;" "&amp;'Spell List'!C151</f>
        <v>5 Commune</v>
      </c>
    </row>
    <row r="140">
      <c r="B140" s="1" t="str">
        <f>'Spell List'!B152&amp;" "&amp;'Spell List'!C152</f>
        <v>5 Mass Cure Light Wounds</v>
      </c>
    </row>
    <row r="141">
      <c r="B141" s="1" t="str">
        <f>'Spell List'!B153&amp;" "&amp;'Spell List'!C153</f>
        <v>5 Dispel Chaos</v>
      </c>
    </row>
    <row r="142">
      <c r="B142" s="1" t="str">
        <f>'Spell List'!B154&amp;" "&amp;'Spell List'!C154</f>
        <v>5 Dispel Evil</v>
      </c>
    </row>
    <row r="143">
      <c r="B143" s="1" t="str">
        <f>'Spell List'!B155&amp;" "&amp;'Spell List'!C155</f>
        <v>5 Dispel Good</v>
      </c>
    </row>
    <row r="144">
      <c r="B144" s="1" t="str">
        <f>'Spell List'!B156&amp;" "&amp;'Spell List'!C156</f>
        <v>5 Dispel Law</v>
      </c>
    </row>
    <row r="145">
      <c r="B145" s="1" t="str">
        <f>'Spell List'!B157&amp;" "&amp;'Spell List'!C157</f>
        <v>5 Disrupting Weapon</v>
      </c>
    </row>
    <row r="146">
      <c r="B146" s="1" t="str">
        <f>'Spell List'!B158&amp;" "&amp;'Spell List'!C158</f>
        <v>5 Flame Strike</v>
      </c>
    </row>
    <row r="147">
      <c r="B147" s="1" t="str">
        <f>'Spell List'!B159&amp;" "&amp;'Spell List'!C159</f>
        <v>5 Hallow</v>
      </c>
    </row>
    <row r="148">
      <c r="B148" s="1" t="str">
        <f>'Spell List'!B160&amp;" "&amp;'Spell List'!C160</f>
        <v>5 Mass Inflict Light Wounds</v>
      </c>
    </row>
    <row r="149">
      <c r="B149" s="1" t="str">
        <f>'Spell List'!B161&amp;" "&amp;'Spell List'!C161</f>
        <v>5 Insect Plague</v>
      </c>
    </row>
    <row r="150">
      <c r="B150" s="1" t="str">
        <f>'Spell List'!B162&amp;" "&amp;'Spell List'!C162</f>
        <v>5 Mark of Justice</v>
      </c>
    </row>
    <row r="151">
      <c r="B151" s="1" t="str">
        <f>'Spell List'!B163&amp;" "&amp;'Spell List'!C163</f>
        <v>5 Plane Shift</v>
      </c>
    </row>
    <row r="152">
      <c r="B152" s="1" t="str">
        <f>'Spell List'!B164&amp;" "&amp;'Spell List'!C164</f>
        <v>5 Raise Dead</v>
      </c>
    </row>
    <row r="153">
      <c r="B153" s="1" t="str">
        <f>'Spell List'!B165&amp;" "&amp;'Spell List'!C165</f>
        <v>5 Righteous Might</v>
      </c>
    </row>
    <row r="154">
      <c r="B154" s="1" t="str">
        <f>'Spell List'!B166&amp;" "&amp;'Spell List'!C166</f>
        <v>5 Scrying</v>
      </c>
    </row>
    <row r="155">
      <c r="B155" s="1" t="str">
        <f>'Spell List'!B167&amp;" "&amp;'Spell List'!C167</f>
        <v>5 Slay Living</v>
      </c>
    </row>
    <row r="156">
      <c r="B156" s="1" t="str">
        <f>'Spell List'!B168&amp;" "&amp;'Spell List'!C168</f>
        <v>5 Spell Resistance</v>
      </c>
    </row>
    <row r="157">
      <c r="B157" s="1" t="str">
        <f>'Spell List'!B169&amp;" "&amp;'Spell List'!C169</f>
        <v>5 Summon Monster V</v>
      </c>
    </row>
    <row r="158">
      <c r="B158" s="1" t="str">
        <f>'Spell List'!B170&amp;" "&amp;'Spell List'!C170</f>
        <v>5 Symbol of Pain</v>
      </c>
    </row>
    <row r="159">
      <c r="B159" s="1" t="str">
        <f>'Spell List'!B171&amp;" "&amp;'Spell List'!C171</f>
        <v>5 Symbol of Sleep</v>
      </c>
    </row>
    <row r="160">
      <c r="B160" s="1" t="str">
        <f>'Spell List'!B172&amp;" "&amp;'Spell List'!C172</f>
        <v>5 True Seeing</v>
      </c>
    </row>
    <row r="161">
      <c r="B161" s="1" t="str">
        <f>'Spell List'!B173&amp;" "&amp;'Spell List'!C173</f>
        <v>5 Unhallow</v>
      </c>
    </row>
    <row r="162">
      <c r="B162" s="1" t="str">
        <f>'Spell List'!B174&amp;" "&amp;'Spell List'!C174</f>
        <v>5 Wall of Stone</v>
      </c>
    </row>
    <row r="163">
      <c r="B163" s="1" t="str">
        <f>'Spell List'!B175&amp;" "&amp;'Spell List'!C175</f>
        <v>6 Animate Objects</v>
      </c>
    </row>
    <row r="164">
      <c r="B164" s="1" t="str">
        <f>'Spell List'!B176&amp;" "&amp;'Spell List'!C176</f>
        <v>6 Antilife Shell</v>
      </c>
    </row>
    <row r="165">
      <c r="B165" s="1" t="str">
        <f>'Spell List'!B177&amp;" "&amp;'Spell List'!C177</f>
        <v>6 Banishment</v>
      </c>
    </row>
    <row r="166">
      <c r="B166" s="1" t="str">
        <f>'Spell List'!B178&amp;" "&amp;'Spell List'!C178</f>
        <v>6 Mass Bear's Endurance</v>
      </c>
    </row>
    <row r="167">
      <c r="B167" s="1" t="str">
        <f>'Spell List'!B179&amp;" "&amp;'Spell List'!C179</f>
        <v>6 Blade Barrier</v>
      </c>
    </row>
    <row r="168">
      <c r="B168" s="1" t="str">
        <f>'Spell List'!B180&amp;" "&amp;'Spell List'!C180</f>
        <v>6 Mass Bull's Strength</v>
      </c>
    </row>
    <row r="169">
      <c r="B169" s="1" t="str">
        <f>'Spell List'!B181&amp;" "&amp;'Spell List'!C181</f>
        <v>6 Create Undead</v>
      </c>
    </row>
    <row r="170">
      <c r="B170" s="1" t="str">
        <f>'Spell List'!B182&amp;" "&amp;'Spell List'!C182</f>
        <v>6 Mass Cure Moderate Wounds</v>
      </c>
    </row>
    <row r="171">
      <c r="B171" s="1" t="str">
        <f>'Spell List'!B183&amp;" "&amp;'Spell List'!C183</f>
        <v>6 Greater Dispel Magic</v>
      </c>
    </row>
    <row r="172">
      <c r="B172" s="1" t="str">
        <f>'Spell List'!B184&amp;" "&amp;'Spell List'!C184</f>
        <v>6 Mass Eagle's Splendor</v>
      </c>
    </row>
    <row r="173">
      <c r="B173" s="1" t="str">
        <f>'Spell List'!B185&amp;" "&amp;'Spell List'!C185</f>
        <v>6 Find the Path</v>
      </c>
    </row>
    <row r="174">
      <c r="B174" s="1" t="str">
        <f>'Spell List'!B186&amp;" "&amp;'Spell List'!C186</f>
        <v>6 Forbiddence</v>
      </c>
    </row>
    <row r="175">
      <c r="B175" s="1" t="str">
        <f>'Spell List'!B187&amp;" "&amp;'Spell List'!C187</f>
        <v>6 Geas/Quest</v>
      </c>
    </row>
    <row r="176">
      <c r="B176" s="1" t="str">
        <f>'Spell List'!B188&amp;" "&amp;'Spell List'!C188</f>
        <v>6 Greater Glyph of Warding</v>
      </c>
    </row>
    <row r="177">
      <c r="B177" s="1" t="str">
        <f>'Spell List'!B189&amp;" "&amp;'Spell List'!C189</f>
        <v>6 Harm</v>
      </c>
    </row>
    <row r="178">
      <c r="B178" s="1" t="str">
        <f>'Spell List'!B190&amp;" "&amp;'Spell List'!C190</f>
        <v>6 Heal</v>
      </c>
    </row>
    <row r="179">
      <c r="B179" s="1" t="str">
        <f>'Spell List'!B191&amp;" "&amp;'Spell List'!C191</f>
        <v>6 Heroes' Feast</v>
      </c>
    </row>
    <row r="180">
      <c r="B180" s="1" t="str">
        <f>'Spell List'!B192&amp;" "&amp;'Spell List'!C192</f>
        <v>6 Mass Inflict Moderate Wounds</v>
      </c>
    </row>
    <row r="181">
      <c r="B181" s="1" t="str">
        <f>'Spell List'!B193&amp;" "&amp;'Spell List'!C193</f>
        <v>6 Mass Owl's Wisdom</v>
      </c>
    </row>
    <row r="182">
      <c r="B182" s="1" t="str">
        <f>'Spell List'!B194&amp;" "&amp;'Spell List'!C194</f>
        <v>6 Planar Ally</v>
      </c>
    </row>
    <row r="183">
      <c r="B183" s="1" t="str">
        <f>'Spell List'!B195&amp;" "&amp;'Spell List'!C195</f>
        <v>6 Summon Monster VI</v>
      </c>
    </row>
    <row r="184">
      <c r="B184" s="1" t="str">
        <f>'Spell List'!B196&amp;" "&amp;'Spell List'!C196</f>
        <v>6 Symbol of Fear</v>
      </c>
    </row>
    <row r="185">
      <c r="B185" s="1" t="str">
        <f>'Spell List'!B197&amp;" "&amp;'Spell List'!C197</f>
        <v>6 Symbol of Persuasion</v>
      </c>
    </row>
    <row r="186">
      <c r="B186" s="1" t="str">
        <f>'Spell List'!B198&amp;" "&amp;'Spell List'!C198</f>
        <v>6 Undeath to Death</v>
      </c>
    </row>
    <row r="187">
      <c r="B187" s="1" t="str">
        <f>'Spell List'!B199&amp;" "&amp;'Spell List'!C199</f>
        <v>6 Wind Walk</v>
      </c>
    </row>
    <row r="188">
      <c r="B188" s="1" t="str">
        <f>'Spell List'!B200&amp;" "&amp;'Spell List'!C200</f>
        <v>6 Word of Recall</v>
      </c>
    </row>
    <row r="189">
      <c r="B189" s="1" t="str">
        <f>'Spell List'!B201&amp;" "&amp;'Spell List'!C201</f>
        <v>7 Blasphemy</v>
      </c>
    </row>
    <row r="190">
      <c r="B190" s="1" t="str">
        <f>'Spell List'!B202&amp;" "&amp;'Spell List'!C202</f>
        <v>7 Control Weather</v>
      </c>
    </row>
    <row r="191">
      <c r="B191" s="1" t="str">
        <f>'Spell List'!B203&amp;" "&amp;'Spell List'!C203</f>
        <v>7 Mass Cure Serious Wounds</v>
      </c>
    </row>
    <row r="192">
      <c r="B192" s="1" t="str">
        <f>'Spell List'!B204&amp;" "&amp;'Spell List'!C204</f>
        <v>7 Destruction</v>
      </c>
    </row>
    <row r="193">
      <c r="B193" s="1" t="str">
        <f>'Spell List'!B205&amp;" "&amp;'Spell List'!C205</f>
        <v>7 Dictum</v>
      </c>
    </row>
    <row r="194">
      <c r="B194" s="1" t="str">
        <f>'Spell List'!B206&amp;" "&amp;'Spell List'!C206</f>
        <v>7 Ethereal Jaunt</v>
      </c>
    </row>
    <row r="195">
      <c r="B195" s="1" t="str">
        <f>'Spell List'!B207&amp;" "&amp;'Spell List'!C207</f>
        <v>7 Holy Word</v>
      </c>
    </row>
    <row r="196">
      <c r="B196" s="1" t="str">
        <f>'Spell List'!B208&amp;" "&amp;'Spell List'!C208</f>
        <v>7 Mass Inflict Serious Wounds</v>
      </c>
    </row>
    <row r="197">
      <c r="B197" s="1" t="str">
        <f>'Spell List'!B209&amp;" "&amp;'Spell List'!C209</f>
        <v>7 Refuge</v>
      </c>
    </row>
    <row r="198">
      <c r="B198" s="1" t="str">
        <f>'Spell List'!B210&amp;" "&amp;'Spell List'!C210</f>
        <v>7 Regenerate</v>
      </c>
    </row>
    <row r="199">
      <c r="B199" s="1" t="str">
        <f>'Spell List'!B211&amp;" "&amp;'Spell List'!C211</f>
        <v>7 Repulsion</v>
      </c>
    </row>
    <row r="200">
      <c r="B200" s="1" t="str">
        <f>'Spell List'!B212&amp;" "&amp;'Spell List'!C212</f>
        <v>7 Greater Restoration</v>
      </c>
    </row>
    <row r="201">
      <c r="B201" s="1" t="str">
        <f>'Spell List'!B213&amp;" "&amp;'Spell List'!C213</f>
        <v>7 Ressurection</v>
      </c>
    </row>
    <row r="202">
      <c r="B202" s="1" t="str">
        <f>'Spell List'!B214&amp;" "&amp;'Spell List'!C214</f>
        <v>7 Greater Scrying</v>
      </c>
    </row>
    <row r="203">
      <c r="B203" s="1" t="str">
        <f>'Spell List'!B215&amp;" "&amp;'Spell List'!C215</f>
        <v>7 Summon Monster VII</v>
      </c>
    </row>
    <row r="204">
      <c r="B204" s="1" t="str">
        <f>'Spell List'!B216&amp;" "&amp;'Spell List'!C216</f>
        <v>7 Symbol of Stunning</v>
      </c>
    </row>
    <row r="205">
      <c r="B205" s="1" t="str">
        <f>'Spell List'!B217&amp;" "&amp;'Spell List'!C217</f>
        <v>7 Symbol of Weakness</v>
      </c>
    </row>
    <row r="206">
      <c r="B206" s="1" t="str">
        <f>'Spell List'!B218&amp;" "&amp;'Spell List'!C218</f>
        <v>7 Word of Chaos</v>
      </c>
    </row>
    <row r="207">
      <c r="B207" s="1" t="str">
        <f>'Spell List'!B219&amp;" "&amp;'Spell List'!C219</f>
        <v>8 Antimagic Field</v>
      </c>
    </row>
    <row r="208">
      <c r="B208" s="1" t="str">
        <f>'Spell List'!B220&amp;" "&amp;'Spell List'!C220</f>
        <v>8 Cloak of Chaos</v>
      </c>
    </row>
    <row r="209">
      <c r="B209" s="1" t="str">
        <f>'Spell List'!B221&amp;" "&amp;'Spell List'!C221</f>
        <v>8 Create Greater Undead</v>
      </c>
    </row>
    <row r="210">
      <c r="B210" s="1" t="str">
        <f>'Spell List'!B222&amp;" "&amp;'Spell List'!C222</f>
        <v>8 Mass Cure Critical Wounds</v>
      </c>
    </row>
    <row r="211">
      <c r="B211" s="1" t="str">
        <f>'Spell List'!B223&amp;" "&amp;'Spell List'!C223</f>
        <v>8 Dimensional Lock</v>
      </c>
    </row>
    <row r="212">
      <c r="B212" s="1" t="str">
        <f>'Spell List'!B224&amp;" "&amp;'Spell List'!C224</f>
        <v>8 Discern Location</v>
      </c>
    </row>
    <row r="213">
      <c r="B213" s="1" t="str">
        <f>'Spell List'!B225&amp;" "&amp;'Spell List'!C225</f>
        <v>8 Earthquake</v>
      </c>
    </row>
    <row r="214">
      <c r="B214" s="1" t="str">
        <f>'Spell List'!B226&amp;" "&amp;'Spell List'!C226</f>
        <v>8 Fire Storm</v>
      </c>
    </row>
    <row r="215">
      <c r="B215" s="1" t="str">
        <f>'Spell List'!B227&amp;" "&amp;'Spell List'!C227</f>
        <v>8 Holy Aura</v>
      </c>
    </row>
    <row r="216">
      <c r="B216" s="1" t="str">
        <f>'Spell List'!B228&amp;" "&amp;'Spell List'!C228</f>
        <v>8 Mass Inflict Critical Wounds</v>
      </c>
    </row>
    <row r="217">
      <c r="B217" s="1" t="str">
        <f>'Spell List'!B229&amp;" "&amp;'Spell List'!C229</f>
        <v>8 Greater Planar Ally</v>
      </c>
    </row>
    <row r="218">
      <c r="B218" s="1" t="str">
        <f>'Spell List'!B230&amp;" "&amp;'Spell List'!C230</f>
        <v>8 Shield of Law</v>
      </c>
    </row>
    <row r="219">
      <c r="B219" s="1" t="str">
        <f>'Spell List'!B231&amp;" "&amp;'Spell List'!C231</f>
        <v>8 Greater Spell Immunity</v>
      </c>
    </row>
    <row r="220">
      <c r="B220" s="1" t="str">
        <f>'Spell List'!B232&amp;" "&amp;'Spell List'!C232</f>
        <v>8 Summon Monster VIII</v>
      </c>
    </row>
    <row r="221">
      <c r="B221" s="1" t="str">
        <f>'Spell List'!B233&amp;" "&amp;'Spell List'!C233</f>
        <v>8 Symbol of Death</v>
      </c>
    </row>
    <row r="222">
      <c r="B222" s="1" t="str">
        <f>'Spell List'!B234&amp;" "&amp;'Spell List'!C234</f>
        <v>8 Symbol of Insanity</v>
      </c>
    </row>
    <row r="223">
      <c r="B223" s="1" t="str">
        <f>'Spell List'!B235&amp;" "&amp;'Spell List'!C235</f>
        <v>8 Unholy Aura</v>
      </c>
    </row>
    <row r="224">
      <c r="B224" s="1" t="str">
        <f>'Spell List'!B236&amp;" "&amp;'Spell List'!C236</f>
        <v>9 Astral Projection</v>
      </c>
    </row>
    <row r="225">
      <c r="B225" s="1" t="str">
        <f>'Spell List'!B237&amp;" "&amp;'Spell List'!C237</f>
        <v>9 Energy Drain</v>
      </c>
    </row>
    <row r="226">
      <c r="B226" s="1" t="str">
        <f>'Spell List'!B238&amp;" "&amp;'Spell List'!C238</f>
        <v>9 Etherealness</v>
      </c>
    </row>
    <row r="227">
      <c r="B227" s="1" t="str">
        <f>'Spell List'!B239&amp;" "&amp;'Spell List'!C239</f>
        <v>9 Gate</v>
      </c>
    </row>
    <row r="228">
      <c r="B228" s="1" t="str">
        <f>'Spell List'!B240&amp;" "&amp;'Spell List'!C240</f>
        <v>9 Mass Heal</v>
      </c>
    </row>
    <row r="229">
      <c r="B229" s="1" t="str">
        <f>'Spell List'!B241&amp;" "&amp;'Spell List'!C241</f>
        <v>9 Implosion</v>
      </c>
    </row>
    <row r="230">
      <c r="B230" s="1" t="str">
        <f>'Spell List'!B242&amp;" "&amp;'Spell List'!C242</f>
        <v>9 Miracle</v>
      </c>
    </row>
    <row r="231">
      <c r="B231" s="1" t="str">
        <f>'Spell List'!B243&amp;" "&amp;'Spell List'!C243</f>
        <v>9 Soul Bind</v>
      </c>
    </row>
    <row r="232">
      <c r="B232" s="1" t="str">
        <f>'Spell List'!B244&amp;" "&amp;'Spell List'!C244</f>
        <v>9 Storm of Vengeance</v>
      </c>
    </row>
    <row r="233">
      <c r="B233" s="1" t="str">
        <f>'Spell List'!B245&amp;" "&amp;'Spell List'!C245</f>
        <v>9 Summon Monster XI</v>
      </c>
    </row>
    <row r="234">
      <c r="B234" s="1" t="str">
        <f>'Spell List'!B246&amp;" "&amp;'Spell List'!C246</f>
        <v>9 True Ressurection</v>
      </c>
    </row>
    <row r="235">
      <c r="B235" s="1" t="str">
        <f>'Spell List'!B247&amp;" "&amp;'Spell List'!C247</f>
        <v> </v>
      </c>
    </row>
    <row r="236">
      <c r="B236" s="1" t="str">
        <f>'Spell List'!B248&amp;" "&amp;'Spell List'!C248</f>
        <v> </v>
      </c>
    </row>
    <row r="237">
      <c r="B237" s="1" t="str">
        <f>'Spell List'!B249&amp;" "&amp;'Spell List'!C249</f>
        <v> </v>
      </c>
    </row>
    <row r="238">
      <c r="B238" s="1" t="str">
        <f>'Spell List'!B250&amp;" "&amp;'Spell List'!C250</f>
        <v> </v>
      </c>
    </row>
    <row r="239">
      <c r="B239" s="1" t="str">
        <f>'Spell List'!B251&amp;" "&amp;'Spell List'!C251</f>
        <v> </v>
      </c>
    </row>
    <row r="240">
      <c r="B240" s="1" t="str">
        <f>'Spell List'!B252&amp;" "&amp;'Spell List'!C252</f>
        <v> </v>
      </c>
    </row>
    <row r="241">
      <c r="B241" s="1" t="str">
        <f>'Spell List'!B253&amp;" "&amp;'Spell List'!C253</f>
        <v> </v>
      </c>
    </row>
    <row r="242">
      <c r="B242" s="1" t="str">
        <f>'Spell List'!B254&amp;" "&amp;'Spell List'!C254</f>
        <v> </v>
      </c>
    </row>
    <row r="243">
      <c r="B243" s="1" t="str">
        <f>'Spell List'!B255&amp;" "&amp;'Spell List'!C255</f>
        <v> </v>
      </c>
    </row>
    <row r="244">
      <c r="B244" s="1" t="str">
        <f>'Spell List'!B256&amp;" "&amp;'Spell List'!C256</f>
        <v> </v>
      </c>
    </row>
    <row r="245">
      <c r="B245" s="1" t="str">
        <f>'Spell List'!B257&amp;" "&amp;'Spell List'!C257</f>
        <v> </v>
      </c>
    </row>
    <row r="246">
      <c r="B246" s="1" t="str">
        <f>'Spell List'!B258&amp;" "&amp;'Spell List'!C258</f>
        <v> </v>
      </c>
    </row>
    <row r="247">
      <c r="B247" s="1" t="str">
        <f>'Spell List'!B259&amp;" "&amp;'Spell List'!C259</f>
        <v> </v>
      </c>
    </row>
    <row r="248">
      <c r="B248" s="1" t="str">
        <f>'Spell List'!B260&amp;" "&amp;'Spell List'!C260</f>
        <v> </v>
      </c>
    </row>
    <row r="249">
      <c r="B249" s="1" t="str">
        <f>'Spell List'!B261&amp;" "&amp;'Spell List'!C261</f>
        <v> </v>
      </c>
    </row>
    <row r="250">
      <c r="B250" s="1" t="str">
        <f>'Spell List'!B262&amp;" "&amp;'Spell List'!C262</f>
        <v> </v>
      </c>
    </row>
    <row r="251">
      <c r="B251" s="1" t="str">
        <f>'Spell List'!B263&amp;" "&amp;'Spell List'!C263</f>
        <v> </v>
      </c>
    </row>
    <row r="252">
      <c r="B252" s="1" t="str">
        <f>'Spell List'!B264&amp;" "&amp;'Spell List'!C264</f>
        <v> </v>
      </c>
    </row>
    <row r="253">
      <c r="B253" s="1" t="str">
        <f>'Spell List'!B265&amp;" "&amp;'Spell List'!C265</f>
        <v> </v>
      </c>
    </row>
    <row r="254">
      <c r="B254" s="1" t="str">
        <f>'Spell List'!B266&amp;" "&amp;'Spell List'!C266</f>
        <v> </v>
      </c>
    </row>
    <row r="255">
      <c r="B255" s="1" t="str">
        <f>'Spell List'!B267&amp;" "&amp;'Spell List'!C267</f>
        <v> </v>
      </c>
    </row>
    <row r="256">
      <c r="B256" s="1" t="str">
        <f>'Spell List'!B268&amp;" "&amp;'Spell List'!C268</f>
        <v> </v>
      </c>
    </row>
    <row r="257">
      <c r="B257" s="1" t="str">
        <f>'Spell List'!B269&amp;" "&amp;'Spell List'!C269</f>
        <v> </v>
      </c>
    </row>
    <row r="258">
      <c r="B258" s="1" t="str">
        <f>'Spell List'!B270&amp;" "&amp;'Spell List'!C270</f>
        <v> </v>
      </c>
    </row>
    <row r="259">
      <c r="B259" s="1" t="str">
        <f>'Spell List'!B271&amp;" "&amp;'Spell List'!C271</f>
        <v> </v>
      </c>
    </row>
    <row r="260">
      <c r="B260" s="1" t="str">
        <f>'Spell List'!B272&amp;" "&amp;'Spell List'!C272</f>
        <v> </v>
      </c>
    </row>
    <row r="261">
      <c r="B261" s="1" t="str">
        <f>'Spell List'!B273&amp;" "&amp;'Spell List'!C273</f>
        <v> </v>
      </c>
    </row>
    <row r="262">
      <c r="B262" s="1" t="str">
        <f>'Spell List'!B274&amp;" "&amp;'Spell List'!C274</f>
        <v> </v>
      </c>
    </row>
    <row r="263">
      <c r="B263" s="1" t="str">
        <f>'Spell List'!B275&amp;" "&amp;'Spell List'!C275</f>
        <v> </v>
      </c>
    </row>
    <row r="264">
      <c r="B264" s="1" t="str">
        <f>'Spell List'!B276&amp;" "&amp;'Spell List'!C276</f>
        <v> </v>
      </c>
    </row>
    <row r="265">
      <c r="B265" s="1" t="str">
        <f>'Spell List'!B277&amp;" "&amp;'Spell List'!C277</f>
        <v> </v>
      </c>
    </row>
    <row r="266">
      <c r="B266" s="1" t="str">
        <f>'Spell List'!B278&amp;" "&amp;'Spell List'!C278</f>
        <v> </v>
      </c>
    </row>
    <row r="267">
      <c r="B267" s="1" t="str">
        <f>'Spell List'!B279&amp;" "&amp;'Spell List'!C279</f>
        <v> </v>
      </c>
    </row>
    <row r="268">
      <c r="B268" s="1" t="str">
        <f>'Spell List'!B280&amp;" "&amp;'Spell List'!C280</f>
        <v> </v>
      </c>
    </row>
    <row r="269">
      <c r="B269" s="1" t="str">
        <f>'Spell List'!B281&amp;" "&amp;'Spell List'!C281</f>
        <v> </v>
      </c>
    </row>
    <row r="270">
      <c r="B270" s="1" t="str">
        <f>'Spell List'!B282&amp;" "&amp;'Spell List'!C282</f>
        <v> </v>
      </c>
    </row>
    <row r="271">
      <c r="B271" s="1" t="str">
        <f>'Spell List'!B283&amp;" "&amp;'Spell List'!C283</f>
        <v> </v>
      </c>
    </row>
    <row r="272">
      <c r="B272" s="1" t="str">
        <f>'Spell List'!B284&amp;" "&amp;'Spell List'!C284</f>
        <v> </v>
      </c>
    </row>
    <row r="273">
      <c r="B273" s="1" t="str">
        <f>'Spell List'!B285&amp;" "&amp;'Spell List'!C285</f>
        <v> </v>
      </c>
    </row>
    <row r="274">
      <c r="B274" s="1" t="str">
        <f>'Spell List'!B286&amp;" "&amp;'Spell List'!C286</f>
        <v> </v>
      </c>
    </row>
    <row r="275">
      <c r="B275" s="1" t="str">
        <f>'Spell List'!B287&amp;" "&amp;'Spell List'!C287</f>
        <v> </v>
      </c>
    </row>
    <row r="276">
      <c r="B276" s="1" t="str">
        <f>'Spell List'!B288&amp;" "&amp;'Spell List'!C288</f>
        <v> </v>
      </c>
    </row>
    <row r="277">
      <c r="B277" s="1" t="str">
        <f>'Spell List'!B289&amp;" "&amp;'Spell List'!C289</f>
        <v> </v>
      </c>
    </row>
    <row r="278">
      <c r="B278" s="1" t="str">
        <f>'Spell List'!B290&amp;" "&amp;'Spell List'!C290</f>
        <v> </v>
      </c>
    </row>
    <row r="279">
      <c r="B279" s="1" t="str">
        <f>'Spell List'!B291&amp;" "&amp;'Spell List'!C291</f>
        <v> </v>
      </c>
    </row>
    <row r="280">
      <c r="B280" s="1" t="str">
        <f>'Spell List'!B292&amp;" "&amp;'Spell List'!C292</f>
        <v> </v>
      </c>
    </row>
    <row r="281">
      <c r="B281" s="1" t="str">
        <f>'Spell List'!B293&amp;" "&amp;'Spell List'!C293</f>
        <v> </v>
      </c>
    </row>
    <row r="282">
      <c r="B282" s="1" t="str">
        <f>'Spell List'!B294&amp;" "&amp;'Spell List'!C294</f>
        <v> </v>
      </c>
    </row>
    <row r="283">
      <c r="B283" s="1" t="str">
        <f>'Spell List'!B295&amp;" "&amp;'Spell List'!C295</f>
        <v> </v>
      </c>
    </row>
    <row r="284">
      <c r="B284" s="1" t="str">
        <f>'Spell List'!B296&amp;" "&amp;'Spell List'!C296</f>
        <v> </v>
      </c>
    </row>
    <row r="285">
      <c r="B285" s="1" t="str">
        <f>'Spell List'!B297&amp;" "&amp;'Spell List'!C297</f>
        <v> </v>
      </c>
    </row>
    <row r="286">
      <c r="B286" s="1" t="str">
        <f>'Spell List'!B298&amp;" "&amp;'Spell List'!C298</f>
        <v> </v>
      </c>
    </row>
    <row r="287">
      <c r="B287" s="1" t="str">
        <f>'Spell List'!B299&amp;" "&amp;'Spell List'!C299</f>
        <v> </v>
      </c>
    </row>
    <row r="288">
      <c r="B288" s="1" t="str">
        <f>'Spell List'!B300&amp;" "&amp;'Spell List'!C300</f>
        <v> </v>
      </c>
    </row>
    <row r="289">
      <c r="B289" s="1" t="str">
        <f>'Spell List'!B301&amp;" "&amp;'Spell List'!C301</f>
        <v> </v>
      </c>
    </row>
    <row r="290">
      <c r="B290" s="1" t="str">
        <f>'Spell List'!B302&amp;" "&amp;'Spell List'!C302</f>
        <v> </v>
      </c>
    </row>
    <row r="291">
      <c r="B291" s="1" t="str">
        <f>'Spell List'!B303&amp;" "&amp;'Spell List'!C303</f>
        <v> </v>
      </c>
    </row>
    <row r="292">
      <c r="B292" s="1" t="str">
        <f>'Spell List'!B304&amp;" "&amp;'Spell List'!C304</f>
        <v> </v>
      </c>
    </row>
    <row r="293">
      <c r="B293" s="1" t="str">
        <f>'Spell List'!B305&amp;" "&amp;'Spell List'!C305</f>
        <v> </v>
      </c>
    </row>
    <row r="294">
      <c r="B294" s="1" t="str">
        <f>'Spell List'!B306&amp;" "&amp;'Spell List'!C306</f>
        <v> </v>
      </c>
    </row>
    <row r="295">
      <c r="B295" s="1" t="str">
        <f>'Spell List'!B307&amp;" "&amp;'Spell List'!C307</f>
        <v> </v>
      </c>
    </row>
    <row r="296">
      <c r="B296" s="1" t="str">
        <f>'Spell List'!B308&amp;" "&amp;'Spell List'!C308</f>
        <v> </v>
      </c>
    </row>
    <row r="297">
      <c r="B297" s="1" t="str">
        <f>'Spell List'!B309&amp;" "&amp;'Spell List'!C309</f>
        <v> </v>
      </c>
    </row>
    <row r="298">
      <c r="B298" s="1" t="str">
        <f>'Spell List'!B310&amp;" "&amp;'Spell List'!C310</f>
        <v> </v>
      </c>
    </row>
    <row r="299">
      <c r="B299" s="1" t="str">
        <f>'Spell List'!B311&amp;" "&amp;'Spell List'!C311</f>
        <v> </v>
      </c>
    </row>
    <row r="300">
      <c r="B300" s="1" t="str">
        <f>'Spell List'!B312&amp;" "&amp;'Spell List'!C312</f>
        <v> </v>
      </c>
    </row>
    <row r="301">
      <c r="B301" s="1" t="str">
        <f>'Spell List'!B313&amp;" "&amp;'Spell List'!C313</f>
        <v> </v>
      </c>
    </row>
    <row r="302">
      <c r="B302" s="1" t="str">
        <f>'Spell List'!B314&amp;" "&amp;'Spell List'!C314</f>
        <v> </v>
      </c>
    </row>
    <row r="303">
      <c r="B303" s="1" t="str">
        <f>'Spell List'!B315&amp;" "&amp;'Spell List'!C315</f>
        <v> </v>
      </c>
    </row>
    <row r="304">
      <c r="B304" s="1" t="str">
        <f>'Spell List'!B316&amp;" "&amp;'Spell List'!C316</f>
        <v> </v>
      </c>
    </row>
    <row r="305">
      <c r="B305" s="1" t="str">
        <f>'Spell List'!B317&amp;" "&amp;'Spell List'!C317</f>
        <v> </v>
      </c>
    </row>
    <row r="306">
      <c r="B306" s="1" t="str">
        <f>'Spell List'!B318&amp;" "&amp;'Spell List'!C318</f>
        <v> </v>
      </c>
    </row>
    <row r="307">
      <c r="B307" s="1" t="str">
        <f>'Spell List'!B319&amp;" "&amp;'Spell List'!C319</f>
        <v> </v>
      </c>
    </row>
    <row r="308">
      <c r="B308" s="1" t="str">
        <f>'Spell List'!B320&amp;" "&amp;'Spell List'!C320</f>
        <v> </v>
      </c>
    </row>
    <row r="309">
      <c r="B309" s="1" t="str">
        <f>'Spell List'!B321&amp;" "&amp;'Spell List'!C321</f>
        <v> </v>
      </c>
    </row>
    <row r="310">
      <c r="B310" s="1" t="str">
        <f>'Spell List'!B322&amp;" "&amp;'Spell List'!C322</f>
        <v> </v>
      </c>
    </row>
    <row r="311">
      <c r="B311" s="1" t="str">
        <f>'Spell List'!B323&amp;" "&amp;'Spell List'!C323</f>
        <v> </v>
      </c>
    </row>
    <row r="312">
      <c r="B312" s="1" t="str">
        <f>'Spell List'!B324&amp;" "&amp;'Spell List'!C324</f>
        <v> </v>
      </c>
    </row>
    <row r="313">
      <c r="B313" s="1" t="str">
        <f>'Spell List'!B325&amp;" "&amp;'Spell List'!C325</f>
        <v> </v>
      </c>
    </row>
    <row r="314">
      <c r="B314" s="1" t="str">
        <f>'Spell List'!B326&amp;" "&amp;'Spell List'!C326</f>
        <v> </v>
      </c>
    </row>
    <row r="315">
      <c r="B315" s="1" t="str">
        <f>'Spell List'!B327&amp;" "&amp;'Spell List'!C327</f>
        <v> </v>
      </c>
    </row>
    <row r="316">
      <c r="B316" s="1" t="str">
        <f>'Spell List'!B328&amp;" "&amp;'Spell List'!C328</f>
        <v> </v>
      </c>
    </row>
    <row r="317">
      <c r="B317" s="1" t="str">
        <f>'Spell List'!B329&amp;" "&amp;'Spell List'!C329</f>
        <v> </v>
      </c>
    </row>
    <row r="318">
      <c r="B318" s="1" t="str">
        <f>'Spell List'!B330&amp;" "&amp;'Spell List'!C330</f>
        <v> </v>
      </c>
    </row>
    <row r="319">
      <c r="B319" s="1" t="str">
        <f>'Spell List'!B331&amp;" "&amp;'Spell List'!C331</f>
        <v> </v>
      </c>
    </row>
    <row r="320">
      <c r="B320" s="1" t="str">
        <f>'Spell List'!B332&amp;" "&amp;'Spell List'!C332</f>
        <v> </v>
      </c>
    </row>
    <row r="321">
      <c r="B321" s="1" t="str">
        <f>'Spell List'!B333&amp;" "&amp;'Spell List'!C333</f>
        <v> </v>
      </c>
    </row>
    <row r="322">
      <c r="B322" s="1" t="str">
        <f>'Spell List'!B334&amp;" "&amp;'Spell List'!C334</f>
        <v> </v>
      </c>
    </row>
    <row r="323">
      <c r="B323" s="1" t="str">
        <f>'Spell List'!B335&amp;" "&amp;'Spell List'!C335</f>
        <v> </v>
      </c>
    </row>
    <row r="324">
      <c r="B324" s="1" t="str">
        <f>'Spell List'!B336&amp;" "&amp;'Spell List'!C336</f>
        <v> </v>
      </c>
    </row>
    <row r="325">
      <c r="B325" s="1" t="str">
        <f>'Spell List'!B337&amp;" "&amp;'Spell List'!C337</f>
        <v> </v>
      </c>
    </row>
    <row r="326">
      <c r="B326" s="1" t="str">
        <f>'Spell List'!B338&amp;" "&amp;'Spell List'!C338</f>
        <v> </v>
      </c>
    </row>
    <row r="327">
      <c r="B327" s="1" t="str">
        <f>'Spell List'!B339&amp;" "&amp;'Spell List'!C339</f>
        <v> </v>
      </c>
    </row>
    <row r="328">
      <c r="B328" s="1" t="str">
        <f>'Spell List'!B340&amp;" "&amp;'Spell List'!C340</f>
        <v> </v>
      </c>
    </row>
    <row r="329">
      <c r="B329" s="1" t="str">
        <f>'Spell List'!B341&amp;" "&amp;'Spell List'!C341</f>
        <v> </v>
      </c>
    </row>
    <row r="330">
      <c r="B330" s="1" t="str">
        <f>'Spell List'!B342&amp;" "&amp;'Spell List'!C342</f>
        <v> </v>
      </c>
    </row>
    <row r="331">
      <c r="B331" s="1" t="str">
        <f>'Spell List'!B343&amp;" "&amp;'Spell List'!C343</f>
        <v> </v>
      </c>
    </row>
    <row r="332">
      <c r="B332" s="1" t="str">
        <f>'Spell List'!B344&amp;" "&amp;'Spell List'!C344</f>
        <v> </v>
      </c>
    </row>
    <row r="333">
      <c r="B333" s="1" t="str">
        <f>'Spell List'!B345&amp;" "&amp;'Spell List'!C345</f>
        <v> </v>
      </c>
    </row>
    <row r="334">
      <c r="B334" s="1" t="str">
        <f>'Spell List'!B346&amp;" "&amp;'Spell List'!C346</f>
        <v> </v>
      </c>
    </row>
    <row r="335">
      <c r="B335" s="1" t="str">
        <f>'Spell List'!B347&amp;" "&amp;'Spell List'!C347</f>
        <v> </v>
      </c>
    </row>
    <row r="336">
      <c r="B336" s="1" t="str">
        <f>'Spell List'!B348&amp;" "&amp;'Spell List'!C348</f>
        <v> </v>
      </c>
    </row>
    <row r="337">
      <c r="B337" s="1" t="str">
        <f>'Spell List'!B349&amp;" "&amp;'Spell List'!C349</f>
        <v> </v>
      </c>
    </row>
    <row r="338">
      <c r="B338" s="1" t="str">
        <f>'Spell List'!B350&amp;" "&amp;'Spell List'!C350</f>
        <v> </v>
      </c>
    </row>
    <row r="339">
      <c r="B339" s="1" t="str">
        <f>'Spell List'!B351&amp;" "&amp;'Spell List'!C351</f>
        <v> </v>
      </c>
    </row>
    <row r="340">
      <c r="B340" s="1" t="str">
        <f>'Spell List'!B352&amp;" "&amp;'Spell List'!C352</f>
        <v> </v>
      </c>
    </row>
    <row r="341">
      <c r="B341" s="1" t="str">
        <f>'Spell List'!B353&amp;" "&amp;'Spell List'!C353</f>
        <v> </v>
      </c>
    </row>
    <row r="342">
      <c r="B342" s="1" t="str">
        <f>'Spell List'!B354&amp;" "&amp;'Spell List'!C354</f>
        <v> </v>
      </c>
    </row>
    <row r="343">
      <c r="B343" s="1" t="str">
        <f>'Spell List'!B355&amp;" "&amp;'Spell List'!C355</f>
        <v> </v>
      </c>
    </row>
    <row r="344">
      <c r="B344" s="1" t="str">
        <f>'Spell List'!B356&amp;" "&amp;'Spell List'!C356</f>
        <v> </v>
      </c>
    </row>
    <row r="345">
      <c r="B345" s="1" t="str">
        <f>'Spell List'!B357&amp;" "&amp;'Spell List'!C357</f>
        <v> </v>
      </c>
    </row>
    <row r="346">
      <c r="B346" s="1" t="str">
        <f>'Spell List'!B358&amp;" "&amp;'Spell List'!C358</f>
        <v> </v>
      </c>
    </row>
    <row r="347">
      <c r="B347" s="1" t="str">
        <f>'Spell List'!B359&amp;" "&amp;'Spell List'!C359</f>
        <v> </v>
      </c>
    </row>
    <row r="348">
      <c r="B348" s="1" t="str">
        <f>'Spell List'!B360&amp;" "&amp;'Spell List'!C360</f>
        <v> </v>
      </c>
    </row>
    <row r="349">
      <c r="B349" s="1" t="str">
        <f>'Spell List'!B361&amp;" "&amp;'Spell List'!C361</f>
        <v> </v>
      </c>
    </row>
    <row r="350">
      <c r="B350" s="1" t="str">
        <f>'Spell List'!B362&amp;" "&amp;'Spell List'!C362</f>
        <v> </v>
      </c>
    </row>
    <row r="351">
      <c r="B351" s="1" t="str">
        <f>'Spell List'!B363&amp;" "&amp;'Spell List'!C363</f>
        <v> </v>
      </c>
    </row>
    <row r="352">
      <c r="B352" s="1" t="str">
        <f>'Spell List'!B364&amp;" "&amp;'Spell List'!C364</f>
        <v> </v>
      </c>
    </row>
    <row r="353">
      <c r="B353" s="1" t="str">
        <f>'Spell List'!B365&amp;" "&amp;'Spell List'!C365</f>
        <v> </v>
      </c>
    </row>
    <row r="354">
      <c r="B354" s="1" t="str">
        <f>'Spell List'!B366&amp;" "&amp;'Spell List'!C366</f>
        <v> </v>
      </c>
    </row>
    <row r="355">
      <c r="B355" s="1" t="str">
        <f>'Spell List'!B367&amp;" "&amp;'Spell List'!C367</f>
        <v> </v>
      </c>
    </row>
    <row r="356">
      <c r="B356" s="1" t="str">
        <f>'Spell List'!B368&amp;" "&amp;'Spell List'!C368</f>
        <v> </v>
      </c>
    </row>
    <row r="357">
      <c r="B357" s="1" t="str">
        <f>'Spell List'!B369&amp;" "&amp;'Spell List'!C369</f>
        <v> </v>
      </c>
    </row>
    <row r="358">
      <c r="B358" s="1" t="str">
        <f>'Spell List'!B370&amp;" "&amp;'Spell List'!C370</f>
        <v> </v>
      </c>
    </row>
    <row r="359">
      <c r="B359" s="1" t="str">
        <f>'Spell List'!B371&amp;" "&amp;'Spell List'!C371</f>
        <v> </v>
      </c>
    </row>
    <row r="360">
      <c r="B360" s="1" t="str">
        <f>'Spell List'!B372&amp;" "&amp;'Spell List'!C372</f>
        <v> </v>
      </c>
    </row>
    <row r="361">
      <c r="B361" s="1" t="str">
        <f>'Spell List'!B373&amp;" "&amp;'Spell List'!C373</f>
        <v> </v>
      </c>
    </row>
    <row r="362">
      <c r="B362" s="1" t="str">
        <f>'Spell List'!B374&amp;" "&amp;'Spell List'!C374</f>
        <v> </v>
      </c>
    </row>
    <row r="363">
      <c r="B363" s="1" t="str">
        <f>'Spell List'!B375&amp;" "&amp;'Spell List'!C375</f>
        <v> </v>
      </c>
    </row>
    <row r="364">
      <c r="B364" s="1" t="str">
        <f>'Spell List'!B376&amp;" "&amp;'Spell List'!C376</f>
        <v> </v>
      </c>
    </row>
    <row r="365">
      <c r="B365" s="1" t="str">
        <f>'Spell List'!B377&amp;" "&amp;'Spell List'!C377</f>
        <v> </v>
      </c>
    </row>
    <row r="366">
      <c r="B366" s="1" t="str">
        <f>'Spell List'!B378&amp;" "&amp;'Spell List'!C378</f>
        <v> </v>
      </c>
    </row>
    <row r="367">
      <c r="B367" s="1" t="str">
        <f>'Spell List'!B379&amp;" "&amp;'Spell List'!C379</f>
        <v> </v>
      </c>
    </row>
    <row r="368">
      <c r="B368" s="1" t="str">
        <f>'Spell List'!B380&amp;" "&amp;'Spell List'!C380</f>
        <v> </v>
      </c>
    </row>
    <row r="369">
      <c r="B369" s="1" t="str">
        <f>'Spell List'!B381&amp;" "&amp;'Spell List'!C381</f>
        <v> </v>
      </c>
    </row>
    <row r="370">
      <c r="B370" s="1" t="str">
        <f>'Spell List'!B382&amp;" "&amp;'Spell List'!C382</f>
        <v> </v>
      </c>
    </row>
    <row r="371">
      <c r="B371" s="1" t="str">
        <f>'Spell List'!B383&amp;" "&amp;'Spell List'!C383</f>
        <v> </v>
      </c>
    </row>
    <row r="372">
      <c r="B372" s="1" t="str">
        <f>'Spell List'!B384&amp;" "&amp;'Spell List'!C384</f>
        <v> </v>
      </c>
    </row>
    <row r="373">
      <c r="B373" s="1" t="str">
        <f>'Spell List'!B385&amp;" "&amp;'Spell List'!C385</f>
        <v> </v>
      </c>
    </row>
    <row r="374">
      <c r="B374" s="1" t="str">
        <f>'Spell List'!B386&amp;" "&amp;'Spell List'!C386</f>
        <v> </v>
      </c>
    </row>
    <row r="375">
      <c r="B375" s="1" t="str">
        <f>'Spell List'!B387&amp;" "&amp;'Spell List'!C387</f>
        <v> </v>
      </c>
    </row>
    <row r="376">
      <c r="B376" s="1" t="str">
        <f>'Spell List'!B388&amp;" "&amp;'Spell List'!C388</f>
        <v> </v>
      </c>
    </row>
    <row r="377">
      <c r="B377" s="1" t="str">
        <f>'Spell List'!B389&amp;" "&amp;'Spell List'!C389</f>
        <v> </v>
      </c>
    </row>
    <row r="378">
      <c r="B378" s="1" t="str">
        <f>'Spell List'!B390&amp;" "&amp;'Spell List'!C390</f>
        <v> </v>
      </c>
    </row>
    <row r="379">
      <c r="B379" s="1" t="str">
        <f>'Spell List'!B391&amp;" "&amp;'Spell List'!C391</f>
        <v> </v>
      </c>
    </row>
    <row r="380">
      <c r="B380" s="1" t="str">
        <f>'Spell List'!B392&amp;" "&amp;'Spell List'!C392</f>
        <v> </v>
      </c>
    </row>
  </sheetData>
  <mergeCells count="395">
    <mergeCell ref="B4:C4"/>
    <mergeCell ref="F4:G4"/>
    <mergeCell ref="B5:C5"/>
    <mergeCell ref="F5:G5"/>
    <mergeCell ref="B6:C6"/>
    <mergeCell ref="F6:G6"/>
    <mergeCell ref="F7:G7"/>
    <mergeCell ref="B7:C7"/>
    <mergeCell ref="B8:C8"/>
    <mergeCell ref="B9:C9"/>
    <mergeCell ref="B10:C10"/>
    <mergeCell ref="B11:C11"/>
    <mergeCell ref="B12:C12"/>
    <mergeCell ref="B13:C13"/>
    <mergeCell ref="F15:G15"/>
    <mergeCell ref="F16:G16"/>
    <mergeCell ref="F17:G17"/>
    <mergeCell ref="F18:G18"/>
    <mergeCell ref="F19:G19"/>
    <mergeCell ref="F20:G20"/>
    <mergeCell ref="F21:G21"/>
    <mergeCell ref="F8:G8"/>
    <mergeCell ref="F9:G9"/>
    <mergeCell ref="F10:G10"/>
    <mergeCell ref="F11:G11"/>
    <mergeCell ref="F12:G12"/>
    <mergeCell ref="F13:G13"/>
    <mergeCell ref="F14:G14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76:C376"/>
    <mergeCell ref="B377:C377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328:C32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75"/>
  <cols>
    <col customWidth="1" min="1" max="1" width="3.14"/>
    <col customWidth="1" min="2" max="3" width="27.29"/>
    <col customWidth="1" min="4" max="4" width="21.43"/>
    <col customWidth="1" min="5" max="5" width="6.0"/>
    <col customWidth="1" min="6" max="6" width="12.57"/>
    <col customWidth="1" min="7" max="7" width="3.14"/>
    <col customWidth="1" min="8" max="8" width="14.43"/>
    <col customWidth="1" min="9" max="9" width="8.43"/>
    <col customWidth="1" min="10" max="10" width="18.43"/>
    <col customWidth="1" min="11" max="11" width="11.14"/>
    <col customWidth="1" min="12" max="12" width="10.14"/>
    <col customWidth="1" min="13" max="13" width="7.86"/>
    <col customWidth="1" min="14" max="15" width="19.43"/>
    <col customWidth="1" min="16" max="18" width="11.57"/>
    <col customWidth="1" min="19" max="19" width="7.14"/>
    <col customWidth="1" min="20" max="20" width="10.86"/>
    <col customWidth="1" min="21" max="21" width="9.57"/>
    <col customWidth="1" min="22" max="22" width="8.71"/>
    <col customWidth="1" min="23" max="23" width="7.86"/>
    <col customWidth="1" min="24" max="24" width="14.0"/>
    <col customWidth="1" min="26" max="26" width="21.57"/>
    <col customWidth="1" min="27" max="27" width="3.14"/>
  </cols>
  <sheetData>
    <row r="2">
      <c r="B2" s="119" t="s">
        <v>0</v>
      </c>
      <c r="C2" s="4"/>
      <c r="D2" s="5"/>
      <c r="F2" s="120" t="s">
        <v>1</v>
      </c>
      <c r="H2" s="121" t="s">
        <v>2</v>
      </c>
    </row>
    <row r="3">
      <c r="B3" s="122" t="s">
        <v>3</v>
      </c>
      <c r="C3" s="10"/>
      <c r="D3" s="5"/>
      <c r="F3" s="123">
        <v>1.0</v>
      </c>
      <c r="G3" s="24"/>
      <c r="H3" s="124">
        <v>0.0</v>
      </c>
    </row>
    <row r="4">
      <c r="B4" s="125" t="s">
        <v>4</v>
      </c>
      <c r="C4" s="4"/>
      <c r="D4" s="5"/>
    </row>
    <row r="5">
      <c r="B5" s="126" t="s">
        <v>5</v>
      </c>
      <c r="C5" s="10"/>
      <c r="D5" s="5"/>
    </row>
    <row r="6">
      <c r="B6" s="125" t="s">
        <v>6</v>
      </c>
      <c r="C6" s="4"/>
      <c r="D6" s="5"/>
    </row>
    <row r="7">
      <c r="B7" s="126" t="s">
        <v>7</v>
      </c>
      <c r="C7" s="10"/>
      <c r="D7" s="5"/>
    </row>
    <row r="8">
      <c r="B8" s="125" t="s">
        <v>8</v>
      </c>
      <c r="C8" s="4"/>
      <c r="D8" s="5"/>
    </row>
    <row r="9">
      <c r="B9" s="126" t="s">
        <v>9</v>
      </c>
      <c r="C9" s="10"/>
      <c r="D9" s="5"/>
    </row>
    <row r="10">
      <c r="B10" s="125" t="s">
        <v>10</v>
      </c>
      <c r="C10" s="4"/>
      <c r="D10" s="5"/>
    </row>
    <row r="11">
      <c r="B11" s="126" t="s">
        <v>11</v>
      </c>
      <c r="C11" s="10"/>
      <c r="D11" s="5"/>
    </row>
    <row r="12">
      <c r="B12" s="125" t="s">
        <v>12</v>
      </c>
      <c r="C12" s="4"/>
      <c r="D12" s="5"/>
    </row>
    <row r="14">
      <c r="B14" s="94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0" t="s">
        <v>14</v>
      </c>
      <c r="W14" s="4"/>
      <c r="X14" s="18"/>
      <c r="Y14" s="127" t="str">
        <f>SUM(Z16:Z21)&amp;"/"&amp;dget(base_spells,"0th",F2:F3)</f>
        <v>0/3</v>
      </c>
      <c r="Z14" s="120"/>
      <c r="AA14" s="20"/>
    </row>
    <row r="15">
      <c r="B15" s="95" t="s">
        <v>15</v>
      </c>
      <c r="C15" s="95"/>
      <c r="D15" s="96" t="s">
        <v>17</v>
      </c>
      <c r="E15" s="23"/>
      <c r="F15" s="96" t="s">
        <v>18</v>
      </c>
      <c r="G15" s="23"/>
      <c r="H15" s="96" t="s">
        <v>19</v>
      </c>
      <c r="I15" s="23"/>
      <c r="J15" s="96" t="s">
        <v>20</v>
      </c>
      <c r="K15" s="23"/>
      <c r="L15" s="96" t="s">
        <v>21</v>
      </c>
      <c r="M15" s="23"/>
      <c r="N15" s="96" t="s">
        <v>22</v>
      </c>
      <c r="O15" s="23"/>
      <c r="P15" s="96" t="s">
        <v>23</v>
      </c>
      <c r="Q15" s="23"/>
      <c r="R15" s="96" t="s">
        <v>24</v>
      </c>
      <c r="S15" s="23"/>
      <c r="T15" s="96" t="s">
        <v>25</v>
      </c>
      <c r="U15" s="23"/>
      <c r="V15" s="96" t="s">
        <v>26</v>
      </c>
      <c r="W15" s="10"/>
      <c r="X15" s="10"/>
      <c r="Y15" s="23"/>
      <c r="Z15" s="95" t="s">
        <v>985</v>
      </c>
      <c r="AA15" s="24"/>
    </row>
    <row r="16">
      <c r="B16" s="98" t="str">
        <f t="shared" ref="B16:B21" si="1">if(isblank(indirect("'Prepared Spells'!B"&amp;row())),,right(indirect("'Prepared Spells'!B"&amp;row()),len(indirect("'Prepared Spells'!B"&amp;row()))-2))</f>
        <v/>
      </c>
      <c r="C16" s="25"/>
      <c r="D16" s="128" t="str">
        <f>IFERROR(__xludf.DUMMYFUNCTION("if(isblank(indirect(""B""&amp;row())),,FILTER(SuperList,'Spell List'!$C$16:$C$246=indirect(""B""&amp;row())))"),"")</f>
        <v/>
      </c>
      <c r="E16" s="18"/>
      <c r="F16" s="100"/>
      <c r="G16" s="18"/>
      <c r="H16" s="108"/>
      <c r="I16" s="18"/>
      <c r="J16" s="100"/>
      <c r="K16" s="18"/>
      <c r="L16" s="100"/>
      <c r="M16" s="18"/>
      <c r="N16" s="100"/>
      <c r="O16" s="18"/>
      <c r="P16" s="100"/>
      <c r="Q16" s="18"/>
      <c r="R16" s="100"/>
      <c r="S16" s="18"/>
      <c r="T16" s="100"/>
      <c r="U16" s="18"/>
      <c r="V16" s="101"/>
      <c r="W16" s="4"/>
      <c r="X16" s="4"/>
      <c r="Y16" s="18"/>
      <c r="Z16" s="90"/>
      <c r="AA16" s="24"/>
    </row>
    <row r="17">
      <c r="B17" s="102" t="str">
        <f t="shared" si="1"/>
        <v/>
      </c>
      <c r="C17" s="43"/>
      <c r="D17" s="129" t="str">
        <f>IFERROR(__xludf.DUMMYFUNCTION("if(isblank(indirect(""B""&amp;row())),,FILTER(SuperList,'Spell List'!$C$16:$C$246=indirect(""B""&amp;row())))"),"")</f>
        <v/>
      </c>
      <c r="E17" s="23"/>
      <c r="F17" s="22"/>
      <c r="G17" s="23"/>
      <c r="H17" s="22"/>
      <c r="I17" s="23"/>
      <c r="J17" s="104"/>
      <c r="K17" s="23"/>
      <c r="L17" s="104"/>
      <c r="M17" s="23"/>
      <c r="N17" s="22"/>
      <c r="O17" s="23"/>
      <c r="P17" s="22"/>
      <c r="Q17" s="23"/>
      <c r="R17" s="22"/>
      <c r="S17" s="23"/>
      <c r="T17" s="22"/>
      <c r="U17" s="23"/>
      <c r="V17" s="112"/>
      <c r="W17" s="10"/>
      <c r="X17" s="10"/>
      <c r="Y17" s="23"/>
      <c r="Z17" s="88"/>
      <c r="AA17" s="24"/>
    </row>
    <row r="18">
      <c r="B18" s="98" t="str">
        <f t="shared" si="1"/>
        <v/>
      </c>
      <c r="C18" s="25"/>
      <c r="D18" s="128" t="str">
        <f>IFERROR(__xludf.DUMMYFUNCTION("if(isblank(indirect(""B""&amp;row())),,FILTER(SuperList,'Spell List'!$C$16:$C$246=indirect(""B""&amp;row())))"),"")</f>
        <v/>
      </c>
      <c r="E18" s="18"/>
      <c r="F18" s="100"/>
      <c r="G18" s="18"/>
      <c r="H18" s="100"/>
      <c r="I18" s="18"/>
      <c r="J18" s="100"/>
      <c r="K18" s="18"/>
      <c r="L18" s="100"/>
      <c r="M18" s="18"/>
      <c r="N18" s="100"/>
      <c r="O18" s="18"/>
      <c r="P18" s="100"/>
      <c r="Q18" s="18"/>
      <c r="R18" s="100"/>
      <c r="S18" s="18"/>
      <c r="T18" s="100"/>
      <c r="U18" s="18"/>
      <c r="V18" s="101"/>
      <c r="W18" s="4"/>
      <c r="X18" s="4"/>
      <c r="Y18" s="18"/>
      <c r="Z18" s="91"/>
      <c r="AA18" s="39"/>
    </row>
    <row r="19">
      <c r="B19" s="102" t="str">
        <f t="shared" si="1"/>
        <v/>
      </c>
      <c r="C19" s="43"/>
      <c r="D19" s="129" t="str">
        <f>IFERROR(__xludf.DUMMYFUNCTION("if(isblank(indirect(""B""&amp;row())),,FILTER(SuperList,'Spell List'!$C$16:$C$246=indirect(""B""&amp;row())))"),"")</f>
        <v/>
      </c>
      <c r="E19" s="23"/>
      <c r="F19" s="104"/>
      <c r="G19" s="23"/>
      <c r="H19" s="104"/>
      <c r="I19" s="23"/>
      <c r="J19" s="104"/>
      <c r="K19" s="23"/>
      <c r="L19" s="104"/>
      <c r="M19" s="23"/>
      <c r="N19" s="104"/>
      <c r="O19" s="23"/>
      <c r="P19" s="104"/>
      <c r="Q19" s="23"/>
      <c r="R19" s="104"/>
      <c r="S19" s="23"/>
      <c r="T19" s="104"/>
      <c r="U19" s="23"/>
      <c r="V19" s="105"/>
      <c r="W19" s="10"/>
      <c r="X19" s="10"/>
      <c r="Y19" s="23"/>
      <c r="Z19" s="88"/>
      <c r="AA19" s="41"/>
    </row>
    <row r="20">
      <c r="B20" s="98" t="str">
        <f t="shared" si="1"/>
        <v/>
      </c>
      <c r="C20" s="25"/>
      <c r="D20" s="128" t="str">
        <f>IFERROR(__xludf.DUMMYFUNCTION("if(isblank(indirect(""B""&amp;row())),,FILTER(SuperList,'Spell List'!$C$16:$C$246=indirect(""B""&amp;row())))"),"")</f>
        <v/>
      </c>
      <c r="E20" s="18"/>
      <c r="F20" s="100"/>
      <c r="G20" s="18"/>
      <c r="H20" s="100"/>
      <c r="I20" s="18"/>
      <c r="J20" s="100"/>
      <c r="K20" s="18"/>
      <c r="L20" s="100"/>
      <c r="M20" s="18"/>
      <c r="N20" s="100"/>
      <c r="O20" s="18"/>
      <c r="P20" s="100"/>
      <c r="Q20" s="18"/>
      <c r="R20" s="100"/>
      <c r="S20" s="18"/>
      <c r="T20" s="100"/>
      <c r="U20" s="18"/>
      <c r="V20" s="101"/>
      <c r="W20" s="4"/>
      <c r="X20" s="4"/>
      <c r="Y20" s="18"/>
      <c r="Z20" s="91"/>
      <c r="AA20" s="41"/>
    </row>
    <row r="21">
      <c r="B21" s="102" t="str">
        <f t="shared" si="1"/>
        <v/>
      </c>
      <c r="C21" s="43"/>
      <c r="D21" s="129" t="str">
        <f>IFERROR(__xludf.DUMMYFUNCTION("if(isblank(indirect(""B""&amp;row())),,FILTER(SuperList,'Spell List'!$C$16:$C$246=indirect(""B""&amp;row())))"),"")</f>
        <v/>
      </c>
      <c r="E21" s="23"/>
      <c r="F21" s="104"/>
      <c r="G21" s="23"/>
      <c r="H21" s="104"/>
      <c r="I21" s="23"/>
      <c r="J21" s="104"/>
      <c r="K21" s="23"/>
      <c r="L21" s="104"/>
      <c r="M21" s="23"/>
      <c r="N21" s="104"/>
      <c r="O21" s="23"/>
      <c r="P21" s="104"/>
      <c r="Q21" s="23"/>
      <c r="R21" s="104"/>
      <c r="S21" s="23"/>
      <c r="T21" s="104"/>
      <c r="U21" s="23"/>
      <c r="V21" s="105"/>
      <c r="W21" s="10"/>
      <c r="X21" s="10"/>
      <c r="Y21" s="23"/>
      <c r="Z21" s="93"/>
      <c r="AA21" s="41"/>
    </row>
    <row r="23">
      <c r="B23" s="94" t="s">
        <v>28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0" t="s">
        <v>14</v>
      </c>
      <c r="W23" s="4"/>
      <c r="X23" s="18"/>
      <c r="Y23" s="127" t="str">
        <f>SUM(Z25:Z34)&amp;"/"&amp;if(dget(base_spells,"1st",F2:F3),dget(base_spells,"1st",F2:F3)+dget(bonus_spells,"1st",H2:H3),0)</f>
        <v>0/1</v>
      </c>
      <c r="Z23" s="120"/>
    </row>
    <row r="24">
      <c r="B24" s="95" t="s">
        <v>15</v>
      </c>
      <c r="C24" s="95"/>
      <c r="D24" s="96" t="s">
        <v>17</v>
      </c>
      <c r="E24" s="23"/>
      <c r="F24" s="96" t="s">
        <v>18</v>
      </c>
      <c r="G24" s="23"/>
      <c r="H24" s="96" t="s">
        <v>19</v>
      </c>
      <c r="I24" s="23"/>
      <c r="J24" s="96" t="s">
        <v>20</v>
      </c>
      <c r="K24" s="23"/>
      <c r="L24" s="96" t="s">
        <v>21</v>
      </c>
      <c r="M24" s="23"/>
      <c r="N24" s="96" t="s">
        <v>22</v>
      </c>
      <c r="O24" s="23"/>
      <c r="P24" s="96" t="s">
        <v>23</v>
      </c>
      <c r="Q24" s="23"/>
      <c r="R24" s="96" t="s">
        <v>24</v>
      </c>
      <c r="S24" s="23"/>
      <c r="T24" s="96" t="s">
        <v>25</v>
      </c>
      <c r="U24" s="23"/>
      <c r="V24" s="96" t="s">
        <v>26</v>
      </c>
      <c r="W24" s="10"/>
      <c r="X24" s="10"/>
      <c r="Y24" s="23"/>
      <c r="Z24" s="95" t="s">
        <v>986</v>
      </c>
    </row>
    <row r="25">
      <c r="B25" s="98" t="str">
        <f t="shared" ref="B25:B34" si="2">if(isblank(indirect("'Prepared Spells'!B"&amp;row())),,right(indirect("'Prepared Spells'!B"&amp;row()),len(indirect("'Prepared Spells'!B"&amp;row()))-2))</f>
        <v/>
      </c>
      <c r="C25" s="25"/>
      <c r="D25" s="128" t="str">
        <f>IFERROR(__xludf.DUMMYFUNCTION("if(isblank(indirect(""B""&amp;row())),,FILTER(SuperList,'Spell List'!$C$16:$C$246=indirect(""B""&amp;row())))"),"")</f>
        <v/>
      </c>
      <c r="E25" s="18"/>
      <c r="F25" s="100"/>
      <c r="G25" s="18"/>
      <c r="H25" s="108"/>
      <c r="I25" s="18"/>
      <c r="J25" s="100"/>
      <c r="K25" s="18"/>
      <c r="L25" s="100"/>
      <c r="M25" s="18"/>
      <c r="N25" s="100"/>
      <c r="O25" s="18"/>
      <c r="P25" s="100"/>
      <c r="Q25" s="18"/>
      <c r="R25" s="100"/>
      <c r="S25" s="18"/>
      <c r="T25" s="100"/>
      <c r="U25" s="18"/>
      <c r="V25" s="101"/>
      <c r="W25" s="4"/>
      <c r="X25" s="4"/>
      <c r="Y25" s="18"/>
      <c r="Z25" s="90"/>
    </row>
    <row r="26">
      <c r="B26" s="102" t="str">
        <f t="shared" si="2"/>
        <v/>
      </c>
      <c r="C26" s="43"/>
      <c r="D26" s="129" t="str">
        <f>IFERROR(__xludf.DUMMYFUNCTION("if(isblank(indirect(""B""&amp;row())),,FILTER(SuperList,'Spell List'!$C$16:$C$246=indirect(""B""&amp;row())))"),"")</f>
        <v/>
      </c>
      <c r="E26" s="23"/>
      <c r="F26" s="104"/>
      <c r="G26" s="23"/>
      <c r="H26" s="22"/>
      <c r="I26" s="23"/>
      <c r="J26" s="104"/>
      <c r="K26" s="23"/>
      <c r="L26" s="104"/>
      <c r="M26" s="23"/>
      <c r="N26" s="104"/>
      <c r="O26" s="23"/>
      <c r="P26" s="104"/>
      <c r="Q26" s="23"/>
      <c r="R26" s="104"/>
      <c r="S26" s="23"/>
      <c r="T26" s="104"/>
      <c r="U26" s="23"/>
      <c r="V26" s="105"/>
      <c r="W26" s="10"/>
      <c r="X26" s="10"/>
      <c r="Y26" s="23"/>
      <c r="Z26" s="88"/>
    </row>
    <row r="27">
      <c r="B27" s="98" t="str">
        <f t="shared" si="2"/>
        <v/>
      </c>
      <c r="C27" s="25"/>
      <c r="D27" s="128" t="str">
        <f>IFERROR(__xludf.DUMMYFUNCTION("if(isblank(indirect(""B""&amp;row())),,FILTER(SuperList,'Spell List'!$C$16:$C$246=indirect(""B""&amp;row())))"),"")</f>
        <v/>
      </c>
      <c r="E27" s="18"/>
      <c r="F27" s="100"/>
      <c r="G27" s="18"/>
      <c r="H27" s="108"/>
      <c r="I27" s="18"/>
      <c r="J27" s="100"/>
      <c r="K27" s="18"/>
      <c r="L27" s="100"/>
      <c r="M27" s="18"/>
      <c r="N27" s="100"/>
      <c r="O27" s="18"/>
      <c r="P27" s="100"/>
      <c r="Q27" s="18"/>
      <c r="R27" s="100"/>
      <c r="S27" s="18"/>
      <c r="T27" s="100"/>
      <c r="U27" s="18"/>
      <c r="V27" s="101"/>
      <c r="W27" s="4"/>
      <c r="X27" s="4"/>
      <c r="Y27" s="18"/>
      <c r="Z27" s="91"/>
    </row>
    <row r="28">
      <c r="B28" s="102" t="str">
        <f t="shared" si="2"/>
        <v/>
      </c>
      <c r="C28" s="43"/>
      <c r="D28" s="129" t="str">
        <f>IFERROR(__xludf.DUMMYFUNCTION("if(isblank(indirect(""B""&amp;row())),,FILTER(SuperList,'Spell List'!$C$16:$C$246=indirect(""B""&amp;row())))"),"")</f>
        <v/>
      </c>
      <c r="E28" s="23"/>
      <c r="F28" s="104"/>
      <c r="G28" s="23"/>
      <c r="H28" s="22"/>
      <c r="I28" s="23"/>
      <c r="J28" s="104"/>
      <c r="K28" s="23"/>
      <c r="L28" s="104"/>
      <c r="M28" s="23"/>
      <c r="N28" s="104"/>
      <c r="O28" s="23"/>
      <c r="P28" s="104"/>
      <c r="Q28" s="23"/>
      <c r="R28" s="104"/>
      <c r="S28" s="23"/>
      <c r="T28" s="104"/>
      <c r="U28" s="23"/>
      <c r="V28" s="105"/>
      <c r="W28" s="10"/>
      <c r="X28" s="10"/>
      <c r="Y28" s="23"/>
      <c r="Z28" s="88"/>
    </row>
    <row r="29">
      <c r="B29" s="98" t="str">
        <f t="shared" si="2"/>
        <v/>
      </c>
      <c r="C29" s="25"/>
      <c r="D29" s="128" t="str">
        <f>IFERROR(__xludf.DUMMYFUNCTION("if(isblank(indirect(""B""&amp;row())),,FILTER(SuperList,'Spell List'!$C$16:$C$246=indirect(""B""&amp;row())))"),"")</f>
        <v/>
      </c>
      <c r="E29" s="18"/>
      <c r="F29" s="100"/>
      <c r="G29" s="18"/>
      <c r="H29" s="108"/>
      <c r="I29" s="18"/>
      <c r="J29" s="100"/>
      <c r="K29" s="18"/>
      <c r="L29" s="100"/>
      <c r="M29" s="18"/>
      <c r="N29" s="100"/>
      <c r="O29" s="18"/>
      <c r="P29" s="100"/>
      <c r="Q29" s="18"/>
      <c r="R29" s="100"/>
      <c r="S29" s="18"/>
      <c r="T29" s="100"/>
      <c r="U29" s="18"/>
      <c r="V29" s="101"/>
      <c r="W29" s="4"/>
      <c r="X29" s="4"/>
      <c r="Y29" s="18"/>
      <c r="Z29" s="91"/>
    </row>
    <row r="30">
      <c r="B30" s="102" t="str">
        <f t="shared" si="2"/>
        <v/>
      </c>
      <c r="C30" s="43"/>
      <c r="D30" s="129" t="str">
        <f>IFERROR(__xludf.DUMMYFUNCTION("if(isblank(indirect(""B""&amp;row())),,FILTER(SuperList,'Spell List'!$C$16:$C$246=indirect(""B""&amp;row())))"),"")</f>
        <v/>
      </c>
      <c r="E30" s="23"/>
      <c r="F30" s="104"/>
      <c r="G30" s="23"/>
      <c r="H30" s="22"/>
      <c r="I30" s="23"/>
      <c r="J30" s="104"/>
      <c r="K30" s="23"/>
      <c r="L30" s="104"/>
      <c r="M30" s="23"/>
      <c r="N30" s="104"/>
      <c r="O30" s="23"/>
      <c r="P30" s="104"/>
      <c r="Q30" s="23"/>
      <c r="R30" s="104"/>
      <c r="S30" s="23"/>
      <c r="T30" s="104"/>
      <c r="U30" s="23"/>
      <c r="V30" s="105"/>
      <c r="W30" s="10"/>
      <c r="X30" s="10"/>
      <c r="Y30" s="23"/>
      <c r="Z30" s="88"/>
    </row>
    <row r="31">
      <c r="B31" s="98" t="str">
        <f t="shared" si="2"/>
        <v/>
      </c>
      <c r="C31" s="25"/>
      <c r="D31" s="128" t="str">
        <f>IFERROR(__xludf.DUMMYFUNCTION("if(isblank(indirect(""B""&amp;row())),,FILTER(SuperList,'Spell List'!$C$16:$C$246=indirect(""B""&amp;row())))"),"")</f>
        <v/>
      </c>
      <c r="E31" s="18"/>
      <c r="F31" s="100"/>
      <c r="G31" s="18"/>
      <c r="H31" s="108"/>
      <c r="I31" s="18"/>
      <c r="J31" s="100"/>
      <c r="K31" s="18"/>
      <c r="L31" s="100"/>
      <c r="M31" s="18"/>
      <c r="N31" s="100"/>
      <c r="O31" s="18"/>
      <c r="P31" s="100"/>
      <c r="Q31" s="18"/>
      <c r="R31" s="100"/>
      <c r="S31" s="18"/>
      <c r="T31" s="100"/>
      <c r="U31" s="18"/>
      <c r="V31" s="101"/>
      <c r="W31" s="4"/>
      <c r="X31" s="4"/>
      <c r="Y31" s="18"/>
      <c r="Z31" s="91"/>
    </row>
    <row r="32">
      <c r="B32" s="102" t="str">
        <f t="shared" si="2"/>
        <v/>
      </c>
      <c r="C32" s="43"/>
      <c r="D32" s="129" t="str">
        <f>IFERROR(__xludf.DUMMYFUNCTION("if(isblank(indirect(""B""&amp;row())),,FILTER(SuperList,'Spell List'!$C$16:$C$246=indirect(""B""&amp;row())))"),"")</f>
        <v/>
      </c>
      <c r="E32" s="23"/>
      <c r="F32" s="104"/>
      <c r="G32" s="23"/>
      <c r="H32" s="22"/>
      <c r="I32" s="23"/>
      <c r="J32" s="104"/>
      <c r="K32" s="23"/>
      <c r="L32" s="104"/>
      <c r="M32" s="23"/>
      <c r="N32" s="104"/>
      <c r="O32" s="23"/>
      <c r="P32" s="104"/>
      <c r="Q32" s="23"/>
      <c r="R32" s="104"/>
      <c r="S32" s="23"/>
      <c r="T32" s="104"/>
      <c r="U32" s="23"/>
      <c r="V32" s="105"/>
      <c r="W32" s="10"/>
      <c r="X32" s="10"/>
      <c r="Y32" s="23"/>
      <c r="Z32" s="88"/>
    </row>
    <row r="33">
      <c r="B33" s="98" t="str">
        <f t="shared" si="2"/>
        <v/>
      </c>
      <c r="C33" s="25"/>
      <c r="D33" s="128" t="str">
        <f>IFERROR(__xludf.DUMMYFUNCTION("if(isblank(indirect(""B""&amp;row())),,FILTER(SuperList,'Spell List'!$C$16:$C$246=indirect(""B""&amp;row())))"),"")</f>
        <v/>
      </c>
      <c r="E33" s="18"/>
      <c r="F33" s="100"/>
      <c r="G33" s="18"/>
      <c r="H33" s="108"/>
      <c r="I33" s="18"/>
      <c r="J33" s="100"/>
      <c r="K33" s="18"/>
      <c r="L33" s="100"/>
      <c r="M33" s="18"/>
      <c r="N33" s="100"/>
      <c r="O33" s="18"/>
      <c r="P33" s="100"/>
      <c r="Q33" s="18"/>
      <c r="R33" s="100"/>
      <c r="S33" s="18"/>
      <c r="T33" s="100"/>
      <c r="U33" s="18"/>
      <c r="V33" s="101"/>
      <c r="W33" s="4"/>
      <c r="X33" s="4"/>
      <c r="Y33" s="18"/>
      <c r="Z33" s="91"/>
    </row>
    <row r="34">
      <c r="B34" s="102" t="str">
        <f t="shared" si="2"/>
        <v/>
      </c>
      <c r="C34" s="43"/>
      <c r="D34" s="129" t="str">
        <f>IFERROR(__xludf.DUMMYFUNCTION("if(isblank(indirect(""B""&amp;row())),,FILTER(SuperList,'Spell List'!$C$16:$C$246=indirect(""B""&amp;row())))"),"")</f>
        <v/>
      </c>
      <c r="E34" s="23"/>
      <c r="F34" s="104"/>
      <c r="G34" s="23"/>
      <c r="H34" s="22"/>
      <c r="I34" s="23"/>
      <c r="J34" s="104"/>
      <c r="K34" s="23"/>
      <c r="L34" s="104"/>
      <c r="M34" s="23"/>
      <c r="N34" s="104"/>
      <c r="O34" s="23"/>
      <c r="P34" s="104"/>
      <c r="Q34" s="23"/>
      <c r="R34" s="104"/>
      <c r="S34" s="23"/>
      <c r="T34" s="104"/>
      <c r="U34" s="23"/>
      <c r="V34" s="105"/>
      <c r="W34" s="10"/>
      <c r="X34" s="10"/>
      <c r="Y34" s="23"/>
      <c r="Z34" s="88"/>
    </row>
    <row r="35">
      <c r="B35" s="94" t="s">
        <v>29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0" t="s">
        <v>14</v>
      </c>
      <c r="W35" s="4"/>
      <c r="X35" s="18"/>
      <c r="Y35" s="127" t="str">
        <f>SUM(Z37)&amp;"/"&amp;if(dget(base_spells,"1st",F2:F3),1,0)</f>
        <v>0/1</v>
      </c>
      <c r="Z35" s="120"/>
    </row>
    <row r="36">
      <c r="B36" s="95" t="s">
        <v>15</v>
      </c>
      <c r="C36" s="95"/>
      <c r="D36" s="96" t="s">
        <v>17</v>
      </c>
      <c r="E36" s="23"/>
      <c r="F36" s="96" t="s">
        <v>18</v>
      </c>
      <c r="G36" s="23"/>
      <c r="H36" s="96" t="s">
        <v>19</v>
      </c>
      <c r="I36" s="23"/>
      <c r="J36" s="96" t="s">
        <v>20</v>
      </c>
      <c r="K36" s="23"/>
      <c r="L36" s="96" t="s">
        <v>21</v>
      </c>
      <c r="M36" s="23"/>
      <c r="N36" s="96" t="s">
        <v>22</v>
      </c>
      <c r="O36" s="23"/>
      <c r="P36" s="96" t="s">
        <v>23</v>
      </c>
      <c r="Q36" s="23"/>
      <c r="R36" s="96" t="s">
        <v>24</v>
      </c>
      <c r="S36" s="23"/>
      <c r="T36" s="96" t="s">
        <v>25</v>
      </c>
      <c r="U36" s="23"/>
      <c r="V36" s="96" t="s">
        <v>26</v>
      </c>
      <c r="W36" s="10"/>
      <c r="X36" s="10"/>
      <c r="Y36" s="23"/>
      <c r="Z36" s="95" t="s">
        <v>986</v>
      </c>
    </row>
    <row r="37">
      <c r="B37" s="98" t="str">
        <f>if(isblank(indirect("'Prepared Spells'!B"&amp;row())),,right(indirect("'Prepared Spells'!B"&amp;row()),len(indirect("'Prepared Spells'!B"&amp;row()))-2))</f>
        <v/>
      </c>
      <c r="C37" s="25"/>
      <c r="D37" s="128" t="str">
        <f>IFERROR(__xludf.DUMMYFUNCTION("if(isblank(indirect(""B""&amp;row())),,FILTER(DSuperList,DList!$C$4:$C$21=indirect(""B""&amp;row())))"),"")</f>
        <v/>
      </c>
      <c r="E37" s="18"/>
      <c r="F37" s="100"/>
      <c r="G37" s="18"/>
      <c r="H37" s="108"/>
      <c r="I37" s="18"/>
      <c r="J37" s="100"/>
      <c r="K37" s="18"/>
      <c r="L37" s="100"/>
      <c r="M37" s="18"/>
      <c r="N37" s="100"/>
      <c r="O37" s="18"/>
      <c r="P37" s="100"/>
      <c r="Q37" s="18"/>
      <c r="R37" s="100"/>
      <c r="S37" s="18"/>
      <c r="T37" s="100"/>
      <c r="U37" s="18"/>
      <c r="V37" s="101"/>
      <c r="W37" s="4"/>
      <c r="X37" s="4"/>
      <c r="Y37" s="18"/>
      <c r="Z37" s="90"/>
    </row>
    <row r="39">
      <c r="B39" s="94" t="s">
        <v>30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0" t="s">
        <v>14</v>
      </c>
      <c r="W39" s="4"/>
      <c r="X39" s="18"/>
      <c r="Y39" s="127" t="str">
        <f>SUM(Z41:Z50)&amp;"/"&amp;if(dget(base_spells,"2nd",F2:F3),dget(base_spells,"2nd",F2:F3)+dget(bonus_spells,"2nd",H2:H3),0)</f>
        <v>0/0</v>
      </c>
      <c r="Z39" s="120"/>
    </row>
    <row r="40">
      <c r="B40" s="95" t="s">
        <v>15</v>
      </c>
      <c r="C40" s="95"/>
      <c r="D40" s="96" t="s">
        <v>17</v>
      </c>
      <c r="E40" s="23"/>
      <c r="F40" s="96" t="s">
        <v>18</v>
      </c>
      <c r="G40" s="23"/>
      <c r="H40" s="96" t="s">
        <v>19</v>
      </c>
      <c r="I40" s="23"/>
      <c r="J40" s="96" t="s">
        <v>20</v>
      </c>
      <c r="K40" s="23"/>
      <c r="L40" s="96" t="s">
        <v>21</v>
      </c>
      <c r="M40" s="23"/>
      <c r="N40" s="96" t="s">
        <v>22</v>
      </c>
      <c r="O40" s="23"/>
      <c r="P40" s="96" t="s">
        <v>23</v>
      </c>
      <c r="Q40" s="23"/>
      <c r="R40" s="96" t="s">
        <v>24</v>
      </c>
      <c r="S40" s="23"/>
      <c r="T40" s="96" t="s">
        <v>25</v>
      </c>
      <c r="U40" s="23"/>
      <c r="V40" s="96" t="s">
        <v>26</v>
      </c>
      <c r="W40" s="10"/>
      <c r="X40" s="10"/>
      <c r="Y40" s="23"/>
      <c r="Z40" s="95" t="s">
        <v>986</v>
      </c>
    </row>
    <row r="41">
      <c r="B41" s="98" t="str">
        <f t="shared" ref="B41:B50" si="3">if(isblank(indirect("'Prepared Spells'!B"&amp;row())),,right(indirect("'Prepared Spells'!B"&amp;row()),len(indirect("'Prepared Spells'!B"&amp;row()))-2))</f>
        <v/>
      </c>
      <c r="C41" s="25"/>
      <c r="D41" s="128" t="str">
        <f>IFERROR(__xludf.DUMMYFUNCTION("if(isblank(indirect(""B""&amp;row())),,FILTER(SuperList,'Spell List'!$C$16:$C$246=indirect(""B""&amp;row())))"),"")</f>
        <v/>
      </c>
      <c r="E41" s="18"/>
      <c r="F41" s="100"/>
      <c r="G41" s="18"/>
      <c r="H41" s="108"/>
      <c r="I41" s="18"/>
      <c r="J41" s="100"/>
      <c r="K41" s="18"/>
      <c r="L41" s="100"/>
      <c r="M41" s="18"/>
      <c r="N41" s="100"/>
      <c r="O41" s="18"/>
      <c r="P41" s="100"/>
      <c r="Q41" s="18"/>
      <c r="R41" s="100"/>
      <c r="S41" s="18"/>
      <c r="T41" s="100"/>
      <c r="U41" s="18"/>
      <c r="V41" s="101"/>
      <c r="W41" s="4"/>
      <c r="X41" s="4"/>
      <c r="Y41" s="18"/>
      <c r="Z41" s="91"/>
    </row>
    <row r="42">
      <c r="B42" s="102" t="str">
        <f t="shared" si="3"/>
        <v/>
      </c>
      <c r="C42" s="43"/>
      <c r="D42" s="129" t="str">
        <f>IFERROR(__xludf.DUMMYFUNCTION("if(isblank(indirect(""B""&amp;row())),,FILTER(SuperList,'Spell List'!$C$16:$C$246=indirect(""B""&amp;row())))"),"")</f>
        <v/>
      </c>
      <c r="E42" s="23"/>
      <c r="F42" s="104"/>
      <c r="G42" s="23"/>
      <c r="H42" s="22"/>
      <c r="I42" s="23"/>
      <c r="J42" s="104"/>
      <c r="K42" s="23"/>
      <c r="L42" s="104"/>
      <c r="M42" s="23"/>
      <c r="N42" s="104"/>
      <c r="O42" s="23"/>
      <c r="P42" s="104"/>
      <c r="Q42" s="23"/>
      <c r="R42" s="104"/>
      <c r="S42" s="23"/>
      <c r="T42" s="104"/>
      <c r="U42" s="23"/>
      <c r="V42" s="105"/>
      <c r="W42" s="10"/>
      <c r="X42" s="10"/>
      <c r="Y42" s="23"/>
      <c r="Z42" s="88"/>
    </row>
    <row r="43">
      <c r="B43" s="98" t="str">
        <f t="shared" si="3"/>
        <v/>
      </c>
      <c r="C43" s="25"/>
      <c r="D43" s="128" t="str">
        <f>IFERROR(__xludf.DUMMYFUNCTION("if(isblank(indirect(""B""&amp;row())),,FILTER(SuperList,'Spell List'!$C$16:$C$246=indirect(""B""&amp;row())))"),"")</f>
        <v/>
      </c>
      <c r="E43" s="18"/>
      <c r="F43" s="100"/>
      <c r="G43" s="18"/>
      <c r="H43" s="108"/>
      <c r="I43" s="18"/>
      <c r="J43" s="100"/>
      <c r="K43" s="18"/>
      <c r="L43" s="100"/>
      <c r="M43" s="18"/>
      <c r="N43" s="100"/>
      <c r="O43" s="18"/>
      <c r="P43" s="100"/>
      <c r="Q43" s="18"/>
      <c r="R43" s="100"/>
      <c r="S43" s="18"/>
      <c r="T43" s="100"/>
      <c r="U43" s="18"/>
      <c r="V43" s="101"/>
      <c r="W43" s="4"/>
      <c r="X43" s="4"/>
      <c r="Y43" s="18"/>
      <c r="Z43" s="91"/>
    </row>
    <row r="44">
      <c r="B44" s="102" t="str">
        <f t="shared" si="3"/>
        <v/>
      </c>
      <c r="C44" s="43"/>
      <c r="D44" s="129" t="str">
        <f>IFERROR(__xludf.DUMMYFUNCTION("if(isblank(indirect(""B""&amp;row())),,FILTER(SuperList,'Spell List'!$C$16:$C$246=indirect(""B""&amp;row())))"),"")</f>
        <v/>
      </c>
      <c r="E44" s="23"/>
      <c r="F44" s="104"/>
      <c r="G44" s="23"/>
      <c r="H44" s="22"/>
      <c r="I44" s="23"/>
      <c r="J44" s="104"/>
      <c r="K44" s="23"/>
      <c r="L44" s="104"/>
      <c r="M44" s="23"/>
      <c r="N44" s="104"/>
      <c r="O44" s="23"/>
      <c r="P44" s="104"/>
      <c r="Q44" s="23"/>
      <c r="R44" s="104"/>
      <c r="S44" s="23"/>
      <c r="T44" s="104"/>
      <c r="U44" s="23"/>
      <c r="V44" s="105"/>
      <c r="W44" s="10"/>
      <c r="X44" s="10"/>
      <c r="Y44" s="23"/>
      <c r="Z44" s="88"/>
    </row>
    <row r="45">
      <c r="B45" s="98" t="str">
        <f t="shared" si="3"/>
        <v/>
      </c>
      <c r="C45" s="25"/>
      <c r="D45" s="128" t="str">
        <f>IFERROR(__xludf.DUMMYFUNCTION("if(isblank(indirect(""B""&amp;row())),,FILTER(SuperList,'Spell List'!$C$16:$C$246=indirect(""B""&amp;row())))"),"")</f>
        <v/>
      </c>
      <c r="E45" s="18"/>
      <c r="F45" s="100"/>
      <c r="G45" s="18"/>
      <c r="H45" s="108"/>
      <c r="I45" s="18"/>
      <c r="J45" s="100"/>
      <c r="K45" s="18"/>
      <c r="L45" s="100"/>
      <c r="M45" s="18"/>
      <c r="N45" s="100"/>
      <c r="O45" s="18"/>
      <c r="P45" s="100"/>
      <c r="Q45" s="18"/>
      <c r="R45" s="100"/>
      <c r="S45" s="18"/>
      <c r="T45" s="100"/>
      <c r="U45" s="18"/>
      <c r="V45" s="101"/>
      <c r="W45" s="4"/>
      <c r="X45" s="4"/>
      <c r="Y45" s="18"/>
      <c r="Z45" s="91"/>
    </row>
    <row r="46">
      <c r="B46" s="102" t="str">
        <f t="shared" si="3"/>
        <v/>
      </c>
      <c r="C46" s="43"/>
      <c r="D46" s="129" t="str">
        <f>IFERROR(__xludf.DUMMYFUNCTION("if(isblank(indirect(""B""&amp;row())),,FILTER(SuperList,'Spell List'!$C$16:$C$246=indirect(""B""&amp;row())))"),"")</f>
        <v/>
      </c>
      <c r="E46" s="23"/>
      <c r="F46" s="104"/>
      <c r="G46" s="23"/>
      <c r="H46" s="22"/>
      <c r="I46" s="23"/>
      <c r="J46" s="104"/>
      <c r="K46" s="23"/>
      <c r="L46" s="104"/>
      <c r="M46" s="23"/>
      <c r="N46" s="104"/>
      <c r="O46" s="23"/>
      <c r="P46" s="104"/>
      <c r="Q46" s="23"/>
      <c r="R46" s="104"/>
      <c r="S46" s="23"/>
      <c r="T46" s="104"/>
      <c r="U46" s="23"/>
      <c r="V46" s="105"/>
      <c r="W46" s="10"/>
      <c r="X46" s="10"/>
      <c r="Y46" s="23"/>
      <c r="Z46" s="88"/>
    </row>
    <row r="47">
      <c r="B47" s="98" t="str">
        <f t="shared" si="3"/>
        <v/>
      </c>
      <c r="C47" s="25"/>
      <c r="D47" s="128" t="str">
        <f>IFERROR(__xludf.DUMMYFUNCTION("if(isblank(indirect(""B""&amp;row())),,FILTER(SuperList,'Spell List'!$C$16:$C$246=indirect(""B""&amp;row())))"),"")</f>
        <v/>
      </c>
      <c r="E47" s="18"/>
      <c r="F47" s="100"/>
      <c r="G47" s="18"/>
      <c r="H47" s="108"/>
      <c r="I47" s="18"/>
      <c r="J47" s="100"/>
      <c r="K47" s="18"/>
      <c r="L47" s="100"/>
      <c r="M47" s="18"/>
      <c r="N47" s="100"/>
      <c r="O47" s="18"/>
      <c r="P47" s="100"/>
      <c r="Q47" s="18"/>
      <c r="R47" s="100"/>
      <c r="S47" s="18"/>
      <c r="T47" s="100"/>
      <c r="U47" s="18"/>
      <c r="V47" s="101"/>
      <c r="W47" s="4"/>
      <c r="X47" s="4"/>
      <c r="Y47" s="18"/>
      <c r="Z47" s="91"/>
    </row>
    <row r="48">
      <c r="B48" s="102" t="str">
        <f t="shared" si="3"/>
        <v/>
      </c>
      <c r="C48" s="43"/>
      <c r="D48" s="129" t="str">
        <f>IFERROR(__xludf.DUMMYFUNCTION("if(isblank(indirect(""B""&amp;row())),,FILTER(SuperList,'Spell List'!$C$16:$C$246=indirect(""B""&amp;row())))"),"")</f>
        <v/>
      </c>
      <c r="E48" s="23"/>
      <c r="F48" s="104"/>
      <c r="G48" s="23"/>
      <c r="H48" s="22"/>
      <c r="I48" s="23"/>
      <c r="J48" s="104"/>
      <c r="K48" s="23"/>
      <c r="L48" s="104"/>
      <c r="M48" s="23"/>
      <c r="N48" s="104"/>
      <c r="O48" s="23"/>
      <c r="P48" s="104"/>
      <c r="Q48" s="23"/>
      <c r="R48" s="104"/>
      <c r="S48" s="23"/>
      <c r="T48" s="104"/>
      <c r="U48" s="23"/>
      <c r="V48" s="105"/>
      <c r="W48" s="10"/>
      <c r="X48" s="10"/>
      <c r="Y48" s="23"/>
      <c r="Z48" s="88"/>
    </row>
    <row r="49">
      <c r="B49" s="98" t="str">
        <f t="shared" si="3"/>
        <v/>
      </c>
      <c r="C49" s="25"/>
      <c r="D49" s="128" t="str">
        <f>IFERROR(__xludf.DUMMYFUNCTION("if(isblank(indirect(""B""&amp;row())),,FILTER(SuperList,'Spell List'!$C$16:$C$246=indirect(""B""&amp;row())))"),"")</f>
        <v/>
      </c>
      <c r="E49" s="18"/>
      <c r="F49" s="100"/>
      <c r="G49" s="18"/>
      <c r="H49" s="108"/>
      <c r="I49" s="18"/>
      <c r="J49" s="100"/>
      <c r="K49" s="18"/>
      <c r="L49" s="100"/>
      <c r="M49" s="18"/>
      <c r="N49" s="100"/>
      <c r="O49" s="18"/>
      <c r="P49" s="100"/>
      <c r="Q49" s="18"/>
      <c r="R49" s="100"/>
      <c r="S49" s="18"/>
      <c r="T49" s="100"/>
      <c r="U49" s="18"/>
      <c r="V49" s="101"/>
      <c r="W49" s="4"/>
      <c r="X49" s="4"/>
      <c r="Y49" s="18"/>
      <c r="Z49" s="91"/>
    </row>
    <row r="50">
      <c r="B50" s="102" t="str">
        <f t="shared" si="3"/>
        <v/>
      </c>
      <c r="C50" s="43"/>
      <c r="D50" s="129" t="str">
        <f>IFERROR(__xludf.DUMMYFUNCTION("if(isblank(indirect(""B""&amp;row())),,FILTER(SuperList,'Spell List'!$C$16:$C$246=indirect(""B""&amp;row())))"),"")</f>
        <v/>
      </c>
      <c r="E50" s="23"/>
      <c r="F50" s="104"/>
      <c r="G50" s="23"/>
      <c r="H50" s="22"/>
      <c r="I50" s="23"/>
      <c r="J50" s="104"/>
      <c r="K50" s="23"/>
      <c r="L50" s="104"/>
      <c r="M50" s="23"/>
      <c r="N50" s="104"/>
      <c r="O50" s="23"/>
      <c r="P50" s="104"/>
      <c r="Q50" s="23"/>
      <c r="R50" s="104"/>
      <c r="S50" s="23"/>
      <c r="T50" s="104"/>
      <c r="U50" s="23"/>
      <c r="V50" s="105"/>
      <c r="W50" s="10"/>
      <c r="X50" s="10"/>
      <c r="Y50" s="23"/>
      <c r="Z50" s="88"/>
    </row>
    <row r="51">
      <c r="B51" s="94" t="s">
        <v>31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0" t="s">
        <v>14</v>
      </c>
      <c r="W51" s="4"/>
      <c r="X51" s="18"/>
      <c r="Y51" s="127" t="str">
        <f>SUM(Z53)&amp;"/"&amp;if(dget(base_spells,"2nd",F2:F3),1,0)</f>
        <v>0/0</v>
      </c>
      <c r="Z51" s="120"/>
    </row>
    <row r="52">
      <c r="B52" s="95" t="s">
        <v>15</v>
      </c>
      <c r="C52" s="95"/>
      <c r="D52" s="96" t="s">
        <v>17</v>
      </c>
      <c r="E52" s="23"/>
      <c r="F52" s="96" t="s">
        <v>18</v>
      </c>
      <c r="G52" s="23"/>
      <c r="H52" s="96" t="s">
        <v>19</v>
      </c>
      <c r="I52" s="23"/>
      <c r="J52" s="96" t="s">
        <v>20</v>
      </c>
      <c r="K52" s="23"/>
      <c r="L52" s="96" t="s">
        <v>21</v>
      </c>
      <c r="M52" s="23"/>
      <c r="N52" s="96" t="s">
        <v>22</v>
      </c>
      <c r="O52" s="23"/>
      <c r="P52" s="96" t="s">
        <v>23</v>
      </c>
      <c r="Q52" s="23"/>
      <c r="R52" s="96" t="s">
        <v>24</v>
      </c>
      <c r="S52" s="23"/>
      <c r="T52" s="96" t="s">
        <v>25</v>
      </c>
      <c r="U52" s="23"/>
      <c r="V52" s="96" t="s">
        <v>26</v>
      </c>
      <c r="W52" s="10"/>
      <c r="X52" s="10"/>
      <c r="Y52" s="23"/>
      <c r="Z52" s="95" t="s">
        <v>986</v>
      </c>
    </row>
    <row r="53">
      <c r="B53" s="98" t="str">
        <f>if(isblank(indirect("'Prepared Spells'!B"&amp;row())),,right(indirect("'Prepared Spells'!B"&amp;row()),len(indirect("'Prepared Spells'!B"&amp;row()))-2))</f>
        <v/>
      </c>
      <c r="C53" s="25"/>
      <c r="D53" s="128" t="str">
        <f>IFERROR(__xludf.DUMMYFUNCTION("if(isblank(indirect(""B""&amp;row())),,FILTER(DSuperList,DList!$C$4:$C$21=indirect(""B""&amp;row())))"),"")</f>
        <v/>
      </c>
      <c r="E53" s="18"/>
      <c r="F53" s="100"/>
      <c r="G53" s="18"/>
      <c r="H53" s="108"/>
      <c r="I53" s="18"/>
      <c r="J53" s="100"/>
      <c r="K53" s="18"/>
      <c r="L53" s="100"/>
      <c r="M53" s="18"/>
      <c r="N53" s="100"/>
      <c r="O53" s="18"/>
      <c r="P53" s="100"/>
      <c r="Q53" s="18"/>
      <c r="R53" s="100"/>
      <c r="S53" s="18"/>
      <c r="T53" s="100"/>
      <c r="U53" s="18"/>
      <c r="V53" s="101"/>
      <c r="W53" s="4"/>
      <c r="X53" s="4"/>
      <c r="Y53" s="18"/>
      <c r="Z53" s="90"/>
    </row>
    <row r="55">
      <c r="B55" s="94" t="s">
        <v>32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0" t="s">
        <v>14</v>
      </c>
      <c r="W55" s="4"/>
      <c r="X55" s="18"/>
      <c r="Y55" s="127" t="str">
        <f>SUM(Z57:Z66)&amp;"/"&amp;if(dget(base_spells,"3rd",F2:F3),dget(base_spells,"3rd",F2:F3)+dget(bonus_spells,"3rd",H2:H3),0)</f>
        <v>0/0</v>
      </c>
      <c r="Z55" s="120"/>
    </row>
    <row r="56">
      <c r="B56" s="95" t="s">
        <v>15</v>
      </c>
      <c r="C56" s="95"/>
      <c r="D56" s="96" t="s">
        <v>17</v>
      </c>
      <c r="E56" s="23"/>
      <c r="F56" s="96" t="s">
        <v>18</v>
      </c>
      <c r="G56" s="23"/>
      <c r="H56" s="96" t="s">
        <v>19</v>
      </c>
      <c r="I56" s="23"/>
      <c r="J56" s="96" t="s">
        <v>20</v>
      </c>
      <c r="K56" s="23"/>
      <c r="L56" s="96" t="s">
        <v>21</v>
      </c>
      <c r="M56" s="23"/>
      <c r="N56" s="96" t="s">
        <v>22</v>
      </c>
      <c r="O56" s="23"/>
      <c r="P56" s="96" t="s">
        <v>23</v>
      </c>
      <c r="Q56" s="23"/>
      <c r="R56" s="96" t="s">
        <v>24</v>
      </c>
      <c r="S56" s="23"/>
      <c r="T56" s="96" t="s">
        <v>25</v>
      </c>
      <c r="U56" s="23"/>
      <c r="V56" s="96" t="s">
        <v>26</v>
      </c>
      <c r="W56" s="10"/>
      <c r="X56" s="10"/>
      <c r="Y56" s="23"/>
      <c r="Z56" s="95" t="s">
        <v>986</v>
      </c>
    </row>
    <row r="57">
      <c r="B57" s="98" t="str">
        <f t="shared" ref="B57:B66" si="4">if(isblank(indirect("'Prepared Spells'!B"&amp;row())),,right(indirect("'Prepared Spells'!B"&amp;row()),len(indirect("'Prepared Spells'!B"&amp;row()))-2))</f>
        <v/>
      </c>
      <c r="C57" s="25"/>
      <c r="D57" s="128" t="str">
        <f>IFERROR(__xludf.DUMMYFUNCTION("if(isblank(indirect(""B""&amp;row())),,FILTER(SuperList,'Spell List'!$C$16:$C$246=indirect(""B""&amp;row())))"),"")</f>
        <v/>
      </c>
      <c r="E57" s="18"/>
      <c r="F57" s="100"/>
      <c r="G57" s="18"/>
      <c r="H57" s="108"/>
      <c r="I57" s="18"/>
      <c r="J57" s="100"/>
      <c r="K57" s="18"/>
      <c r="L57" s="100"/>
      <c r="M57" s="18"/>
      <c r="N57" s="100"/>
      <c r="O57" s="18"/>
      <c r="P57" s="100"/>
      <c r="Q57" s="18"/>
      <c r="R57" s="100"/>
      <c r="S57" s="18"/>
      <c r="T57" s="100"/>
      <c r="U57" s="18"/>
      <c r="V57" s="101"/>
      <c r="W57" s="4"/>
      <c r="X57" s="4"/>
      <c r="Y57" s="18"/>
      <c r="Z57" s="91"/>
    </row>
    <row r="58">
      <c r="B58" s="102" t="str">
        <f t="shared" si="4"/>
        <v/>
      </c>
      <c r="C58" s="43"/>
      <c r="D58" s="129" t="str">
        <f>IFERROR(__xludf.DUMMYFUNCTION("if(isblank(indirect(""B""&amp;row())),,FILTER(SuperList,'Spell List'!$C$16:$C$246=indirect(""B""&amp;row())))"),"")</f>
        <v/>
      </c>
      <c r="E58" s="23"/>
      <c r="F58" s="104"/>
      <c r="G58" s="23"/>
      <c r="H58" s="22"/>
      <c r="I58" s="23"/>
      <c r="J58" s="104"/>
      <c r="K58" s="23"/>
      <c r="L58" s="104"/>
      <c r="M58" s="23"/>
      <c r="N58" s="104"/>
      <c r="O58" s="23"/>
      <c r="P58" s="104"/>
      <c r="Q58" s="23"/>
      <c r="R58" s="104"/>
      <c r="S58" s="23"/>
      <c r="T58" s="104"/>
      <c r="U58" s="23"/>
      <c r="V58" s="105"/>
      <c r="W58" s="10"/>
      <c r="X58" s="10"/>
      <c r="Y58" s="23"/>
      <c r="Z58" s="88"/>
    </row>
    <row r="59">
      <c r="B59" s="98" t="str">
        <f t="shared" si="4"/>
        <v/>
      </c>
      <c r="C59" s="25"/>
      <c r="D59" s="128" t="str">
        <f>IFERROR(__xludf.DUMMYFUNCTION("if(isblank(indirect(""B""&amp;row())),,FILTER(SuperList,'Spell List'!$C$16:$C$246=indirect(""B""&amp;row())))"),"")</f>
        <v/>
      </c>
      <c r="E59" s="18"/>
      <c r="F59" s="100"/>
      <c r="G59" s="18"/>
      <c r="H59" s="108"/>
      <c r="I59" s="18"/>
      <c r="J59" s="100"/>
      <c r="K59" s="18"/>
      <c r="L59" s="100"/>
      <c r="M59" s="18"/>
      <c r="N59" s="100"/>
      <c r="O59" s="18"/>
      <c r="P59" s="100"/>
      <c r="Q59" s="18"/>
      <c r="R59" s="100"/>
      <c r="S59" s="18"/>
      <c r="T59" s="100"/>
      <c r="U59" s="18"/>
      <c r="V59" s="101"/>
      <c r="W59" s="4"/>
      <c r="X59" s="4"/>
      <c r="Y59" s="18"/>
      <c r="Z59" s="91"/>
    </row>
    <row r="60">
      <c r="B60" s="102" t="str">
        <f t="shared" si="4"/>
        <v/>
      </c>
      <c r="C60" s="43"/>
      <c r="D60" s="129" t="str">
        <f>IFERROR(__xludf.DUMMYFUNCTION("if(isblank(indirect(""B""&amp;row())),,FILTER(SuperList,'Spell List'!$C$16:$C$246=indirect(""B""&amp;row())))"),"")</f>
        <v/>
      </c>
      <c r="E60" s="23"/>
      <c r="F60" s="104"/>
      <c r="G60" s="23"/>
      <c r="H60" s="22"/>
      <c r="I60" s="23"/>
      <c r="J60" s="104"/>
      <c r="K60" s="23"/>
      <c r="L60" s="104"/>
      <c r="M60" s="23"/>
      <c r="N60" s="104"/>
      <c r="O60" s="23"/>
      <c r="P60" s="104"/>
      <c r="Q60" s="23"/>
      <c r="R60" s="104"/>
      <c r="S60" s="23"/>
      <c r="T60" s="104"/>
      <c r="U60" s="23"/>
      <c r="V60" s="105"/>
      <c r="W60" s="10"/>
      <c r="X60" s="10"/>
      <c r="Y60" s="23"/>
      <c r="Z60" s="88"/>
    </row>
    <row r="61">
      <c r="B61" s="98" t="str">
        <f t="shared" si="4"/>
        <v/>
      </c>
      <c r="C61" s="25"/>
      <c r="D61" s="128" t="str">
        <f>IFERROR(__xludf.DUMMYFUNCTION("if(isblank(indirect(""B""&amp;row())),,FILTER(SuperList,'Spell List'!$C$16:$C$246=indirect(""B""&amp;row())))"),"")</f>
        <v/>
      </c>
      <c r="E61" s="18"/>
      <c r="F61" s="100"/>
      <c r="G61" s="18"/>
      <c r="H61" s="108"/>
      <c r="I61" s="18"/>
      <c r="J61" s="100"/>
      <c r="K61" s="18"/>
      <c r="L61" s="100"/>
      <c r="M61" s="18"/>
      <c r="N61" s="100"/>
      <c r="O61" s="18"/>
      <c r="P61" s="100"/>
      <c r="Q61" s="18"/>
      <c r="R61" s="100"/>
      <c r="S61" s="18"/>
      <c r="T61" s="100"/>
      <c r="U61" s="18"/>
      <c r="V61" s="101"/>
      <c r="W61" s="4"/>
      <c r="X61" s="4"/>
      <c r="Y61" s="18"/>
      <c r="Z61" s="91"/>
    </row>
    <row r="62">
      <c r="B62" s="102" t="str">
        <f t="shared" si="4"/>
        <v/>
      </c>
      <c r="C62" s="43"/>
      <c r="D62" s="129" t="str">
        <f>IFERROR(__xludf.DUMMYFUNCTION("if(isblank(indirect(""B""&amp;row())),,FILTER(SuperList,'Spell List'!$C$16:$C$246=indirect(""B""&amp;row())))"),"")</f>
        <v/>
      </c>
      <c r="E62" s="23"/>
      <c r="F62" s="104"/>
      <c r="G62" s="23"/>
      <c r="H62" s="22"/>
      <c r="I62" s="23"/>
      <c r="J62" s="104"/>
      <c r="K62" s="23"/>
      <c r="L62" s="104"/>
      <c r="M62" s="23"/>
      <c r="N62" s="104"/>
      <c r="O62" s="23"/>
      <c r="P62" s="104"/>
      <c r="Q62" s="23"/>
      <c r="R62" s="104"/>
      <c r="S62" s="23"/>
      <c r="T62" s="104"/>
      <c r="U62" s="23"/>
      <c r="V62" s="105"/>
      <c r="W62" s="10"/>
      <c r="X62" s="10"/>
      <c r="Y62" s="23"/>
      <c r="Z62" s="88"/>
    </row>
    <row r="63">
      <c r="B63" s="98" t="str">
        <f t="shared" si="4"/>
        <v/>
      </c>
      <c r="C63" s="25"/>
      <c r="D63" s="128" t="str">
        <f>IFERROR(__xludf.DUMMYFUNCTION("if(isblank(indirect(""B""&amp;row())),,FILTER(SuperList,'Spell List'!$C$16:$C$246=indirect(""B""&amp;row())))"),"")</f>
        <v/>
      </c>
      <c r="E63" s="18"/>
      <c r="F63" s="100"/>
      <c r="G63" s="18"/>
      <c r="H63" s="108"/>
      <c r="I63" s="18"/>
      <c r="J63" s="100"/>
      <c r="K63" s="18"/>
      <c r="L63" s="100"/>
      <c r="M63" s="18"/>
      <c r="N63" s="100"/>
      <c r="O63" s="18"/>
      <c r="P63" s="100"/>
      <c r="Q63" s="18"/>
      <c r="R63" s="100"/>
      <c r="S63" s="18"/>
      <c r="T63" s="100"/>
      <c r="U63" s="18"/>
      <c r="V63" s="101"/>
      <c r="W63" s="4"/>
      <c r="X63" s="4"/>
      <c r="Y63" s="18"/>
      <c r="Z63" s="91"/>
    </row>
    <row r="64">
      <c r="B64" s="102" t="str">
        <f t="shared" si="4"/>
        <v/>
      </c>
      <c r="C64" s="43"/>
      <c r="D64" s="129" t="str">
        <f>IFERROR(__xludf.DUMMYFUNCTION("if(isblank(indirect(""B""&amp;row())),,FILTER(SuperList,'Spell List'!$C$16:$C$246=indirect(""B""&amp;row())))"),"")</f>
        <v/>
      </c>
      <c r="E64" s="23"/>
      <c r="F64" s="104"/>
      <c r="G64" s="23"/>
      <c r="H64" s="22"/>
      <c r="I64" s="23"/>
      <c r="J64" s="104"/>
      <c r="K64" s="23"/>
      <c r="L64" s="104"/>
      <c r="M64" s="23"/>
      <c r="N64" s="104"/>
      <c r="O64" s="23"/>
      <c r="P64" s="104"/>
      <c r="Q64" s="23"/>
      <c r="R64" s="104"/>
      <c r="S64" s="23"/>
      <c r="T64" s="104"/>
      <c r="U64" s="23"/>
      <c r="V64" s="105"/>
      <c r="W64" s="10"/>
      <c r="X64" s="10"/>
      <c r="Y64" s="23"/>
      <c r="Z64" s="88"/>
    </row>
    <row r="65">
      <c r="B65" s="98" t="str">
        <f t="shared" si="4"/>
        <v/>
      </c>
      <c r="C65" s="25"/>
      <c r="D65" s="128" t="str">
        <f>IFERROR(__xludf.DUMMYFUNCTION("if(isblank(indirect(""B""&amp;row())),,FILTER(SuperList,'Spell List'!$C$16:$C$246=indirect(""B""&amp;row())))"),"")</f>
        <v/>
      </c>
      <c r="E65" s="18"/>
      <c r="F65" s="100"/>
      <c r="G65" s="18"/>
      <c r="H65" s="108"/>
      <c r="I65" s="18"/>
      <c r="J65" s="100"/>
      <c r="K65" s="18"/>
      <c r="L65" s="100"/>
      <c r="M65" s="18"/>
      <c r="N65" s="100"/>
      <c r="O65" s="18"/>
      <c r="P65" s="100"/>
      <c r="Q65" s="18"/>
      <c r="R65" s="100"/>
      <c r="S65" s="18"/>
      <c r="T65" s="100"/>
      <c r="U65" s="18"/>
      <c r="V65" s="101"/>
      <c r="W65" s="4"/>
      <c r="X65" s="4"/>
      <c r="Y65" s="18"/>
      <c r="Z65" s="91"/>
    </row>
    <row r="66">
      <c r="B66" s="102" t="str">
        <f t="shared" si="4"/>
        <v/>
      </c>
      <c r="C66" s="43"/>
      <c r="D66" s="129" t="str">
        <f>IFERROR(__xludf.DUMMYFUNCTION("if(isblank(indirect(""B""&amp;row())),,FILTER(SuperList,'Spell List'!$C$16:$C$246=indirect(""B""&amp;row())))"),"")</f>
        <v/>
      </c>
      <c r="E66" s="23"/>
      <c r="F66" s="104"/>
      <c r="G66" s="23"/>
      <c r="H66" s="22"/>
      <c r="I66" s="23"/>
      <c r="J66" s="104"/>
      <c r="K66" s="23"/>
      <c r="L66" s="104"/>
      <c r="M66" s="23"/>
      <c r="N66" s="104"/>
      <c r="O66" s="23"/>
      <c r="P66" s="104"/>
      <c r="Q66" s="23"/>
      <c r="R66" s="104"/>
      <c r="S66" s="23"/>
      <c r="T66" s="104"/>
      <c r="U66" s="23"/>
      <c r="V66" s="105"/>
      <c r="W66" s="10"/>
      <c r="X66" s="10"/>
      <c r="Y66" s="23"/>
      <c r="Z66" s="88"/>
    </row>
    <row r="67">
      <c r="B67" s="94" t="s">
        <v>33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0" t="s">
        <v>14</v>
      </c>
      <c r="W67" s="4"/>
      <c r="X67" s="18"/>
      <c r="Y67" s="127" t="str">
        <f>SUM(Z69)&amp;"/"&amp;if(dget(base_spells,"3rd",F2:F3),1,0)</f>
        <v>0/0</v>
      </c>
      <c r="Z67" s="120"/>
    </row>
    <row r="68">
      <c r="B68" s="95" t="s">
        <v>15</v>
      </c>
      <c r="C68" s="95"/>
      <c r="D68" s="96" t="s">
        <v>17</v>
      </c>
      <c r="E68" s="23"/>
      <c r="F68" s="96" t="s">
        <v>18</v>
      </c>
      <c r="G68" s="23"/>
      <c r="H68" s="96" t="s">
        <v>19</v>
      </c>
      <c r="I68" s="23"/>
      <c r="J68" s="96" t="s">
        <v>20</v>
      </c>
      <c r="K68" s="23"/>
      <c r="L68" s="96" t="s">
        <v>21</v>
      </c>
      <c r="M68" s="23"/>
      <c r="N68" s="96" t="s">
        <v>22</v>
      </c>
      <c r="O68" s="23"/>
      <c r="P68" s="96" t="s">
        <v>23</v>
      </c>
      <c r="Q68" s="23"/>
      <c r="R68" s="96" t="s">
        <v>24</v>
      </c>
      <c r="S68" s="23"/>
      <c r="T68" s="96" t="s">
        <v>25</v>
      </c>
      <c r="U68" s="23"/>
      <c r="V68" s="96" t="s">
        <v>26</v>
      </c>
      <c r="W68" s="10"/>
      <c r="X68" s="10"/>
      <c r="Y68" s="23"/>
      <c r="Z68" s="95" t="s">
        <v>986</v>
      </c>
    </row>
    <row r="69">
      <c r="B69" s="98" t="str">
        <f>if(isblank(indirect("'Prepared Spells'!B"&amp;row())),,right(indirect("'Prepared Spells'!B"&amp;row()),len(indirect("'Prepared Spells'!B"&amp;row()))-2))</f>
        <v/>
      </c>
      <c r="C69" s="25"/>
      <c r="D69" s="128" t="str">
        <f>IFERROR(__xludf.DUMMYFUNCTION("if(isblank(indirect(""B""&amp;row())),,FILTER(DSuperList,DList!$C$4:$C$21=indirect(""B""&amp;row())))"),"")</f>
        <v/>
      </c>
      <c r="E69" s="18"/>
      <c r="F69" s="100"/>
      <c r="G69" s="18"/>
      <c r="H69" s="108"/>
      <c r="I69" s="18"/>
      <c r="J69" s="100"/>
      <c r="K69" s="18"/>
      <c r="L69" s="100"/>
      <c r="M69" s="18"/>
      <c r="N69" s="100"/>
      <c r="O69" s="18"/>
      <c r="P69" s="100"/>
      <c r="Q69" s="18"/>
      <c r="R69" s="100"/>
      <c r="S69" s="18"/>
      <c r="T69" s="100"/>
      <c r="U69" s="18"/>
      <c r="V69" s="101"/>
      <c r="W69" s="4"/>
      <c r="X69" s="4"/>
      <c r="Y69" s="18"/>
      <c r="Z69" s="90"/>
    </row>
    <row r="71">
      <c r="B71" s="94" t="s">
        <v>34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0" t="s">
        <v>14</v>
      </c>
      <c r="W71" s="4"/>
      <c r="X71" s="18"/>
      <c r="Y71" s="127" t="str">
        <f>SUM(Z73:Z82)&amp;"/"&amp;if(dget(base_spells,"4th",F2:F3),dget(base_spells,"4th",F2:F3)+dget(bonus_spells,"4th",H2:H3),0)</f>
        <v>0/0</v>
      </c>
      <c r="Z71" s="120"/>
    </row>
    <row r="72">
      <c r="B72" s="95" t="s">
        <v>15</v>
      </c>
      <c r="C72" s="95"/>
      <c r="D72" s="96" t="s">
        <v>17</v>
      </c>
      <c r="E72" s="23"/>
      <c r="F72" s="96" t="s">
        <v>18</v>
      </c>
      <c r="G72" s="23"/>
      <c r="H72" s="96" t="s">
        <v>19</v>
      </c>
      <c r="I72" s="23"/>
      <c r="J72" s="96" t="s">
        <v>20</v>
      </c>
      <c r="K72" s="23"/>
      <c r="L72" s="96" t="s">
        <v>21</v>
      </c>
      <c r="M72" s="23"/>
      <c r="N72" s="96" t="s">
        <v>22</v>
      </c>
      <c r="O72" s="23"/>
      <c r="P72" s="96" t="s">
        <v>23</v>
      </c>
      <c r="Q72" s="23"/>
      <c r="R72" s="96" t="s">
        <v>24</v>
      </c>
      <c r="S72" s="23"/>
      <c r="T72" s="96" t="s">
        <v>25</v>
      </c>
      <c r="U72" s="23"/>
      <c r="V72" s="96" t="s">
        <v>26</v>
      </c>
      <c r="W72" s="10"/>
      <c r="X72" s="10"/>
      <c r="Y72" s="23"/>
      <c r="Z72" s="95" t="s">
        <v>986</v>
      </c>
    </row>
    <row r="73">
      <c r="B73" s="98" t="str">
        <f t="shared" ref="B73:B82" si="5">if(isblank(indirect("'Prepared Spells'!B"&amp;row())),,right(indirect("'Prepared Spells'!B"&amp;row()),len(indirect("'Prepared Spells'!B"&amp;row()))-2))</f>
        <v/>
      </c>
      <c r="C73" s="25"/>
      <c r="D73" s="128" t="str">
        <f>IFERROR(__xludf.DUMMYFUNCTION("if(isblank(indirect(""B""&amp;row())),,FILTER(SuperList,'Spell List'!$C$16:$C$246=indirect(""B""&amp;row())))"),"")</f>
        <v/>
      </c>
      <c r="E73" s="18"/>
      <c r="F73" s="100"/>
      <c r="G73" s="18"/>
      <c r="H73" s="108"/>
      <c r="I73" s="18"/>
      <c r="J73" s="100"/>
      <c r="K73" s="18"/>
      <c r="L73" s="100"/>
      <c r="M73" s="18"/>
      <c r="N73" s="100"/>
      <c r="O73" s="18"/>
      <c r="P73" s="100"/>
      <c r="Q73" s="18"/>
      <c r="R73" s="100"/>
      <c r="S73" s="18"/>
      <c r="T73" s="100"/>
      <c r="U73" s="18"/>
      <c r="V73" s="101"/>
      <c r="W73" s="4"/>
      <c r="X73" s="4"/>
      <c r="Y73" s="18"/>
      <c r="Z73" s="91"/>
    </row>
    <row r="74">
      <c r="B74" s="102" t="str">
        <f t="shared" si="5"/>
        <v/>
      </c>
      <c r="C74" s="43"/>
      <c r="D74" s="129" t="str">
        <f>IFERROR(__xludf.DUMMYFUNCTION("if(isblank(indirect(""B""&amp;row())),,FILTER(SuperList,'Spell List'!$C$16:$C$246=indirect(""B""&amp;row())))"),"")</f>
        <v/>
      </c>
      <c r="E74" s="23"/>
      <c r="F74" s="104"/>
      <c r="G74" s="23"/>
      <c r="H74" s="22"/>
      <c r="I74" s="23"/>
      <c r="J74" s="104"/>
      <c r="K74" s="23"/>
      <c r="L74" s="104"/>
      <c r="M74" s="23"/>
      <c r="N74" s="104"/>
      <c r="O74" s="23"/>
      <c r="P74" s="104"/>
      <c r="Q74" s="23"/>
      <c r="R74" s="104"/>
      <c r="S74" s="23"/>
      <c r="T74" s="104"/>
      <c r="U74" s="23"/>
      <c r="V74" s="105"/>
      <c r="W74" s="10"/>
      <c r="X74" s="10"/>
      <c r="Y74" s="23"/>
      <c r="Z74" s="88"/>
    </row>
    <row r="75">
      <c r="B75" s="98" t="str">
        <f t="shared" si="5"/>
        <v/>
      </c>
      <c r="C75" s="25"/>
      <c r="D75" s="128" t="str">
        <f>IFERROR(__xludf.DUMMYFUNCTION("if(isblank(indirect(""B""&amp;row())),,FILTER(SuperList,'Spell List'!$C$16:$C$246=indirect(""B""&amp;row())))"),"")</f>
        <v/>
      </c>
      <c r="E75" s="18"/>
      <c r="F75" s="100"/>
      <c r="G75" s="18"/>
      <c r="H75" s="108"/>
      <c r="I75" s="18"/>
      <c r="J75" s="100"/>
      <c r="K75" s="18"/>
      <c r="L75" s="100"/>
      <c r="M75" s="18"/>
      <c r="N75" s="100"/>
      <c r="O75" s="18"/>
      <c r="P75" s="100"/>
      <c r="Q75" s="18"/>
      <c r="R75" s="100"/>
      <c r="S75" s="18"/>
      <c r="T75" s="100"/>
      <c r="U75" s="18"/>
      <c r="V75" s="101"/>
      <c r="W75" s="4"/>
      <c r="X75" s="4"/>
      <c r="Y75" s="18"/>
      <c r="Z75" s="91"/>
    </row>
    <row r="76">
      <c r="B76" s="102" t="str">
        <f t="shared" si="5"/>
        <v/>
      </c>
      <c r="C76" s="43"/>
      <c r="D76" s="129" t="str">
        <f>IFERROR(__xludf.DUMMYFUNCTION("if(isblank(indirect(""B""&amp;row())),,FILTER(SuperList,'Spell List'!$C$16:$C$246=indirect(""B""&amp;row())))"),"")</f>
        <v/>
      </c>
      <c r="E76" s="23"/>
      <c r="F76" s="104"/>
      <c r="G76" s="23"/>
      <c r="H76" s="22"/>
      <c r="I76" s="23"/>
      <c r="J76" s="104"/>
      <c r="K76" s="23"/>
      <c r="L76" s="104"/>
      <c r="M76" s="23"/>
      <c r="N76" s="104"/>
      <c r="O76" s="23"/>
      <c r="P76" s="104"/>
      <c r="Q76" s="23"/>
      <c r="R76" s="104"/>
      <c r="S76" s="23"/>
      <c r="T76" s="104"/>
      <c r="U76" s="23"/>
      <c r="V76" s="105"/>
      <c r="W76" s="10"/>
      <c r="X76" s="10"/>
      <c r="Y76" s="23"/>
      <c r="Z76" s="88"/>
    </row>
    <row r="77">
      <c r="B77" s="98" t="str">
        <f t="shared" si="5"/>
        <v/>
      </c>
      <c r="C77" s="25"/>
      <c r="D77" s="128" t="str">
        <f>IFERROR(__xludf.DUMMYFUNCTION("if(isblank(indirect(""B""&amp;row())),,FILTER(SuperList,'Spell List'!$C$16:$C$246=indirect(""B""&amp;row())))"),"")</f>
        <v/>
      </c>
      <c r="E77" s="18"/>
      <c r="F77" s="100"/>
      <c r="G77" s="18"/>
      <c r="H77" s="108"/>
      <c r="I77" s="18"/>
      <c r="J77" s="100"/>
      <c r="K77" s="18"/>
      <c r="L77" s="100"/>
      <c r="M77" s="18"/>
      <c r="N77" s="100"/>
      <c r="O77" s="18"/>
      <c r="P77" s="100"/>
      <c r="Q77" s="18"/>
      <c r="R77" s="100"/>
      <c r="S77" s="18"/>
      <c r="T77" s="100"/>
      <c r="U77" s="18"/>
      <c r="V77" s="101"/>
      <c r="W77" s="4"/>
      <c r="X77" s="4"/>
      <c r="Y77" s="18"/>
      <c r="Z77" s="91"/>
    </row>
    <row r="78">
      <c r="B78" s="102" t="str">
        <f t="shared" si="5"/>
        <v/>
      </c>
      <c r="C78" s="43"/>
      <c r="D78" s="129" t="str">
        <f>IFERROR(__xludf.DUMMYFUNCTION("if(isblank(indirect(""B""&amp;row())),,FILTER(SuperList,'Spell List'!$C$16:$C$246=indirect(""B""&amp;row())))"),"")</f>
        <v/>
      </c>
      <c r="E78" s="23"/>
      <c r="F78" s="104"/>
      <c r="G78" s="23"/>
      <c r="H78" s="22"/>
      <c r="I78" s="23"/>
      <c r="J78" s="104"/>
      <c r="K78" s="23"/>
      <c r="L78" s="104"/>
      <c r="M78" s="23"/>
      <c r="N78" s="104"/>
      <c r="O78" s="23"/>
      <c r="P78" s="104"/>
      <c r="Q78" s="23"/>
      <c r="R78" s="104"/>
      <c r="S78" s="23"/>
      <c r="T78" s="104"/>
      <c r="U78" s="23"/>
      <c r="V78" s="105"/>
      <c r="W78" s="10"/>
      <c r="X78" s="10"/>
      <c r="Y78" s="23"/>
      <c r="Z78" s="88"/>
    </row>
    <row r="79">
      <c r="B79" s="98" t="str">
        <f t="shared" si="5"/>
        <v/>
      </c>
      <c r="C79" s="25"/>
      <c r="D79" s="128" t="str">
        <f>IFERROR(__xludf.DUMMYFUNCTION("if(isblank(indirect(""B""&amp;row())),,FILTER(SuperList,'Spell List'!$C$16:$C$246=indirect(""B""&amp;row())))"),"")</f>
        <v/>
      </c>
      <c r="E79" s="18"/>
      <c r="F79" s="100"/>
      <c r="G79" s="18"/>
      <c r="H79" s="108"/>
      <c r="I79" s="18"/>
      <c r="J79" s="100"/>
      <c r="K79" s="18"/>
      <c r="L79" s="100"/>
      <c r="M79" s="18"/>
      <c r="N79" s="100"/>
      <c r="O79" s="18"/>
      <c r="P79" s="100"/>
      <c r="Q79" s="18"/>
      <c r="R79" s="100"/>
      <c r="S79" s="18"/>
      <c r="T79" s="100"/>
      <c r="U79" s="18"/>
      <c r="V79" s="101"/>
      <c r="W79" s="4"/>
      <c r="X79" s="4"/>
      <c r="Y79" s="18"/>
      <c r="Z79" s="91"/>
    </row>
    <row r="80">
      <c r="B80" s="102" t="str">
        <f t="shared" si="5"/>
        <v/>
      </c>
      <c r="C80" s="43"/>
      <c r="D80" s="129" t="str">
        <f>IFERROR(__xludf.DUMMYFUNCTION("if(isblank(indirect(""B""&amp;row())),,FILTER(SuperList,'Spell List'!$C$16:$C$246=indirect(""B""&amp;row())))"),"")</f>
        <v/>
      </c>
      <c r="E80" s="23"/>
      <c r="F80" s="104"/>
      <c r="G80" s="23"/>
      <c r="H80" s="22"/>
      <c r="I80" s="23"/>
      <c r="J80" s="104"/>
      <c r="K80" s="23"/>
      <c r="L80" s="104"/>
      <c r="M80" s="23"/>
      <c r="N80" s="104"/>
      <c r="O80" s="23"/>
      <c r="P80" s="104"/>
      <c r="Q80" s="23"/>
      <c r="R80" s="104"/>
      <c r="S80" s="23"/>
      <c r="T80" s="104"/>
      <c r="U80" s="23"/>
      <c r="V80" s="105"/>
      <c r="W80" s="10"/>
      <c r="X80" s="10"/>
      <c r="Y80" s="23"/>
      <c r="Z80" s="88"/>
    </row>
    <row r="81">
      <c r="B81" s="98" t="str">
        <f t="shared" si="5"/>
        <v/>
      </c>
      <c r="C81" s="25"/>
      <c r="D81" s="128" t="str">
        <f>IFERROR(__xludf.DUMMYFUNCTION("if(isblank(indirect(""B""&amp;row())),,FILTER(SuperList,'Spell List'!$C$16:$C$246=indirect(""B""&amp;row())))"),"")</f>
        <v/>
      </c>
      <c r="E81" s="18"/>
      <c r="F81" s="100"/>
      <c r="G81" s="18"/>
      <c r="H81" s="108"/>
      <c r="I81" s="18"/>
      <c r="J81" s="100"/>
      <c r="K81" s="18"/>
      <c r="L81" s="100"/>
      <c r="M81" s="18"/>
      <c r="N81" s="100"/>
      <c r="O81" s="18"/>
      <c r="P81" s="100"/>
      <c r="Q81" s="18"/>
      <c r="R81" s="100"/>
      <c r="S81" s="18"/>
      <c r="T81" s="100"/>
      <c r="U81" s="18"/>
      <c r="V81" s="101"/>
      <c r="W81" s="4"/>
      <c r="X81" s="4"/>
      <c r="Y81" s="18"/>
      <c r="Z81" s="91"/>
    </row>
    <row r="82">
      <c r="B82" s="102" t="str">
        <f t="shared" si="5"/>
        <v/>
      </c>
      <c r="C82" s="43"/>
      <c r="D82" s="129" t="str">
        <f>IFERROR(__xludf.DUMMYFUNCTION("if(isblank(indirect(""B""&amp;row())),,FILTER(SuperList,'Spell List'!$C$16:$C$246=indirect(""B""&amp;row())))"),"")</f>
        <v/>
      </c>
      <c r="E82" s="23"/>
      <c r="F82" s="104"/>
      <c r="G82" s="23"/>
      <c r="H82" s="22"/>
      <c r="I82" s="23"/>
      <c r="J82" s="104"/>
      <c r="K82" s="23"/>
      <c r="L82" s="104"/>
      <c r="M82" s="23"/>
      <c r="N82" s="104"/>
      <c r="O82" s="23"/>
      <c r="P82" s="104"/>
      <c r="Q82" s="23"/>
      <c r="R82" s="104"/>
      <c r="S82" s="23"/>
      <c r="T82" s="104"/>
      <c r="U82" s="23"/>
      <c r="V82" s="105"/>
      <c r="W82" s="10"/>
      <c r="X82" s="10"/>
      <c r="Y82" s="23"/>
      <c r="Z82" s="88"/>
    </row>
    <row r="83">
      <c r="B83" s="94" t="s">
        <v>35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50" t="s">
        <v>14</v>
      </c>
      <c r="W83" s="4"/>
      <c r="X83" s="18"/>
      <c r="Y83" s="127" t="str">
        <f>SUM(Z85)&amp;"/"&amp;if(dget(base_spells,"4th",F2:F3),1,0)</f>
        <v>0/0</v>
      </c>
      <c r="Z83" s="120"/>
    </row>
    <row r="84">
      <c r="B84" s="95" t="s">
        <v>15</v>
      </c>
      <c r="C84" s="95"/>
      <c r="D84" s="96" t="s">
        <v>17</v>
      </c>
      <c r="E84" s="23"/>
      <c r="F84" s="96" t="s">
        <v>18</v>
      </c>
      <c r="G84" s="23"/>
      <c r="H84" s="96" t="s">
        <v>19</v>
      </c>
      <c r="I84" s="23"/>
      <c r="J84" s="96" t="s">
        <v>20</v>
      </c>
      <c r="K84" s="23"/>
      <c r="L84" s="96" t="s">
        <v>21</v>
      </c>
      <c r="M84" s="23"/>
      <c r="N84" s="96" t="s">
        <v>22</v>
      </c>
      <c r="O84" s="23"/>
      <c r="P84" s="96" t="s">
        <v>23</v>
      </c>
      <c r="Q84" s="23"/>
      <c r="R84" s="96" t="s">
        <v>24</v>
      </c>
      <c r="S84" s="23"/>
      <c r="T84" s="96" t="s">
        <v>25</v>
      </c>
      <c r="U84" s="23"/>
      <c r="V84" s="96" t="s">
        <v>26</v>
      </c>
      <c r="W84" s="10"/>
      <c r="X84" s="10"/>
      <c r="Y84" s="23"/>
      <c r="Z84" s="95" t="s">
        <v>986</v>
      </c>
    </row>
    <row r="85">
      <c r="B85" s="98" t="str">
        <f>if(isblank(indirect("'Prepared Spells'!B"&amp;row())),,right(indirect("'Prepared Spells'!B"&amp;row()),len(indirect("'Prepared Spells'!B"&amp;row()))-2))</f>
        <v/>
      </c>
      <c r="C85" s="25"/>
      <c r="D85" s="128" t="str">
        <f>IFERROR(__xludf.DUMMYFUNCTION("if(isblank(indirect(""B""&amp;row())),,FILTER(DSuperList,DList!$C$4:$C$21=indirect(""B""&amp;row())))"),"")</f>
        <v/>
      </c>
      <c r="E85" s="18"/>
      <c r="F85" s="100"/>
      <c r="G85" s="18"/>
      <c r="H85" s="108"/>
      <c r="I85" s="18"/>
      <c r="J85" s="100"/>
      <c r="K85" s="18"/>
      <c r="L85" s="100"/>
      <c r="M85" s="18"/>
      <c r="N85" s="100"/>
      <c r="O85" s="18"/>
      <c r="P85" s="100"/>
      <c r="Q85" s="18"/>
      <c r="R85" s="100"/>
      <c r="S85" s="18"/>
      <c r="T85" s="100"/>
      <c r="U85" s="18"/>
      <c r="V85" s="101"/>
      <c r="W85" s="4"/>
      <c r="X85" s="4"/>
      <c r="Y85" s="18"/>
      <c r="Z85" s="90"/>
    </row>
    <row r="87">
      <c r="B87" s="94" t="s">
        <v>36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0" t="s">
        <v>14</v>
      </c>
      <c r="W87" s="4"/>
      <c r="X87" s="18"/>
      <c r="Y87" s="127" t="str">
        <f>SUM(Z89:Z98)&amp;"/"&amp;if(dget(base_spells,"5th",F2:F3),dget(base_spells,"5th",F2:F3)+dget(bonus_spells,"5th",H2:H3),0)</f>
        <v>0/0</v>
      </c>
      <c r="Z87" s="120"/>
    </row>
    <row r="88">
      <c r="B88" s="95" t="s">
        <v>15</v>
      </c>
      <c r="C88" s="95"/>
      <c r="D88" s="96" t="s">
        <v>17</v>
      </c>
      <c r="E88" s="23"/>
      <c r="F88" s="96" t="s">
        <v>18</v>
      </c>
      <c r="G88" s="23"/>
      <c r="H88" s="96" t="s">
        <v>19</v>
      </c>
      <c r="I88" s="23"/>
      <c r="J88" s="96" t="s">
        <v>20</v>
      </c>
      <c r="K88" s="23"/>
      <c r="L88" s="96" t="s">
        <v>21</v>
      </c>
      <c r="M88" s="23"/>
      <c r="N88" s="96" t="s">
        <v>22</v>
      </c>
      <c r="O88" s="23"/>
      <c r="P88" s="96" t="s">
        <v>23</v>
      </c>
      <c r="Q88" s="23"/>
      <c r="R88" s="96" t="s">
        <v>24</v>
      </c>
      <c r="S88" s="23"/>
      <c r="T88" s="96" t="s">
        <v>25</v>
      </c>
      <c r="U88" s="23"/>
      <c r="V88" s="96" t="s">
        <v>26</v>
      </c>
      <c r="W88" s="10"/>
      <c r="X88" s="10"/>
      <c r="Y88" s="23"/>
      <c r="Z88" s="95" t="s">
        <v>986</v>
      </c>
    </row>
    <row r="89">
      <c r="B89" s="98" t="str">
        <f t="shared" ref="B89:B98" si="6">if(isblank(indirect("'Prepared Spells'!B"&amp;row())),,right(indirect("'Prepared Spells'!B"&amp;row()),len(indirect("'Prepared Spells'!B"&amp;row()))-2))</f>
        <v/>
      </c>
      <c r="C89" s="25"/>
      <c r="D89" s="128" t="str">
        <f>IFERROR(__xludf.DUMMYFUNCTION("if(isblank(indirect(""B""&amp;row())),,FILTER(SuperList,'Spell List'!$C$16:$C$246=indirect(""B""&amp;row())))"),"")</f>
        <v/>
      </c>
      <c r="E89" s="18"/>
      <c r="F89" s="100"/>
      <c r="G89" s="18"/>
      <c r="H89" s="108"/>
      <c r="I89" s="18"/>
      <c r="J89" s="100"/>
      <c r="K89" s="18"/>
      <c r="L89" s="100"/>
      <c r="M89" s="18"/>
      <c r="N89" s="100"/>
      <c r="O89" s="18"/>
      <c r="P89" s="100"/>
      <c r="Q89" s="18"/>
      <c r="R89" s="100"/>
      <c r="S89" s="18"/>
      <c r="T89" s="100"/>
      <c r="U89" s="18"/>
      <c r="V89" s="101"/>
      <c r="W89" s="4"/>
      <c r="X89" s="4"/>
      <c r="Y89" s="18"/>
      <c r="Z89" s="91"/>
    </row>
    <row r="90">
      <c r="B90" s="102" t="str">
        <f t="shared" si="6"/>
        <v/>
      </c>
      <c r="C90" s="43"/>
      <c r="D90" s="129" t="str">
        <f>IFERROR(__xludf.DUMMYFUNCTION("if(isblank(indirect(""B""&amp;row())),,FILTER(SuperList,'Spell List'!$C$16:$C$246=indirect(""B""&amp;row())))"),"")</f>
        <v/>
      </c>
      <c r="E90" s="23"/>
      <c r="F90" s="104"/>
      <c r="G90" s="23"/>
      <c r="H90" s="22"/>
      <c r="I90" s="23"/>
      <c r="J90" s="104"/>
      <c r="K90" s="23"/>
      <c r="L90" s="104"/>
      <c r="M90" s="23"/>
      <c r="N90" s="104"/>
      <c r="O90" s="23"/>
      <c r="P90" s="104"/>
      <c r="Q90" s="23"/>
      <c r="R90" s="104"/>
      <c r="S90" s="23"/>
      <c r="T90" s="104"/>
      <c r="U90" s="23"/>
      <c r="V90" s="105"/>
      <c r="W90" s="10"/>
      <c r="X90" s="10"/>
      <c r="Y90" s="23"/>
      <c r="Z90" s="88"/>
    </row>
    <row r="91">
      <c r="B91" s="98" t="str">
        <f t="shared" si="6"/>
        <v/>
      </c>
      <c r="C91" s="25"/>
      <c r="D91" s="128" t="str">
        <f>IFERROR(__xludf.DUMMYFUNCTION("if(isblank(indirect(""B""&amp;row())),,FILTER(SuperList,'Spell List'!$C$16:$C$246=indirect(""B""&amp;row())))"),"")</f>
        <v/>
      </c>
      <c r="E91" s="18"/>
      <c r="F91" s="100"/>
      <c r="G91" s="18"/>
      <c r="H91" s="108"/>
      <c r="I91" s="18"/>
      <c r="J91" s="100"/>
      <c r="K91" s="18"/>
      <c r="L91" s="100"/>
      <c r="M91" s="18"/>
      <c r="N91" s="100"/>
      <c r="O91" s="18"/>
      <c r="P91" s="100"/>
      <c r="Q91" s="18"/>
      <c r="R91" s="100"/>
      <c r="S91" s="18"/>
      <c r="T91" s="100"/>
      <c r="U91" s="18"/>
      <c r="V91" s="101"/>
      <c r="W91" s="4"/>
      <c r="X91" s="4"/>
      <c r="Y91" s="18"/>
      <c r="Z91" s="91"/>
    </row>
    <row r="92">
      <c r="B92" s="102" t="str">
        <f t="shared" si="6"/>
        <v/>
      </c>
      <c r="C92" s="43"/>
      <c r="D92" s="129" t="str">
        <f>IFERROR(__xludf.DUMMYFUNCTION("if(isblank(indirect(""B""&amp;row())),,FILTER(SuperList,'Spell List'!$C$16:$C$246=indirect(""B""&amp;row())))"),"")</f>
        <v/>
      </c>
      <c r="E92" s="23"/>
      <c r="F92" s="104"/>
      <c r="G92" s="23"/>
      <c r="H92" s="22"/>
      <c r="I92" s="23"/>
      <c r="J92" s="104"/>
      <c r="K92" s="23"/>
      <c r="L92" s="104"/>
      <c r="M92" s="23"/>
      <c r="N92" s="104"/>
      <c r="O92" s="23"/>
      <c r="P92" s="104"/>
      <c r="Q92" s="23"/>
      <c r="R92" s="104"/>
      <c r="S92" s="23"/>
      <c r="T92" s="104"/>
      <c r="U92" s="23"/>
      <c r="V92" s="105"/>
      <c r="W92" s="10"/>
      <c r="X92" s="10"/>
      <c r="Y92" s="23"/>
      <c r="Z92" s="88"/>
    </row>
    <row r="93">
      <c r="B93" s="98" t="str">
        <f t="shared" si="6"/>
        <v/>
      </c>
      <c r="C93" s="25"/>
      <c r="D93" s="128" t="str">
        <f>IFERROR(__xludf.DUMMYFUNCTION("if(isblank(indirect(""B""&amp;row())),,FILTER(SuperList,'Spell List'!$C$16:$C$246=indirect(""B""&amp;row())))"),"")</f>
        <v/>
      </c>
      <c r="E93" s="18"/>
      <c r="F93" s="100"/>
      <c r="G93" s="18"/>
      <c r="H93" s="108"/>
      <c r="I93" s="18"/>
      <c r="J93" s="100"/>
      <c r="K93" s="18"/>
      <c r="L93" s="100"/>
      <c r="M93" s="18"/>
      <c r="N93" s="100"/>
      <c r="O93" s="18"/>
      <c r="P93" s="100"/>
      <c r="Q93" s="18"/>
      <c r="R93" s="100"/>
      <c r="S93" s="18"/>
      <c r="T93" s="100"/>
      <c r="U93" s="18"/>
      <c r="V93" s="101"/>
      <c r="W93" s="4"/>
      <c r="X93" s="4"/>
      <c r="Y93" s="18"/>
      <c r="Z93" s="91"/>
    </row>
    <row r="94">
      <c r="B94" s="102" t="str">
        <f t="shared" si="6"/>
        <v/>
      </c>
      <c r="C94" s="43"/>
      <c r="D94" s="129" t="str">
        <f>IFERROR(__xludf.DUMMYFUNCTION("if(isblank(indirect(""B""&amp;row())),,FILTER(SuperList,'Spell List'!$C$16:$C$246=indirect(""B""&amp;row())))"),"")</f>
        <v/>
      </c>
      <c r="E94" s="23"/>
      <c r="F94" s="104"/>
      <c r="G94" s="23"/>
      <c r="H94" s="22"/>
      <c r="I94" s="23"/>
      <c r="J94" s="104"/>
      <c r="K94" s="23"/>
      <c r="L94" s="104"/>
      <c r="M94" s="23"/>
      <c r="N94" s="104"/>
      <c r="O94" s="23"/>
      <c r="P94" s="104"/>
      <c r="Q94" s="23"/>
      <c r="R94" s="104"/>
      <c r="S94" s="23"/>
      <c r="T94" s="104"/>
      <c r="U94" s="23"/>
      <c r="V94" s="105"/>
      <c r="W94" s="10"/>
      <c r="X94" s="10"/>
      <c r="Y94" s="23"/>
      <c r="Z94" s="88"/>
    </row>
    <row r="95">
      <c r="B95" s="98" t="str">
        <f t="shared" si="6"/>
        <v/>
      </c>
      <c r="C95" s="25"/>
      <c r="D95" s="128" t="str">
        <f>IFERROR(__xludf.DUMMYFUNCTION("if(isblank(indirect(""B""&amp;row())),,FILTER(SuperList,'Spell List'!$C$16:$C$246=indirect(""B""&amp;row())))"),"")</f>
        <v/>
      </c>
      <c r="E95" s="18"/>
      <c r="F95" s="100"/>
      <c r="G95" s="18"/>
      <c r="H95" s="108"/>
      <c r="I95" s="18"/>
      <c r="J95" s="100"/>
      <c r="K95" s="18"/>
      <c r="L95" s="100"/>
      <c r="M95" s="18"/>
      <c r="N95" s="100"/>
      <c r="O95" s="18"/>
      <c r="P95" s="100"/>
      <c r="Q95" s="18"/>
      <c r="R95" s="100"/>
      <c r="S95" s="18"/>
      <c r="T95" s="100"/>
      <c r="U95" s="18"/>
      <c r="V95" s="101"/>
      <c r="W95" s="4"/>
      <c r="X95" s="4"/>
      <c r="Y95" s="18"/>
      <c r="Z95" s="91"/>
    </row>
    <row r="96">
      <c r="B96" s="102" t="str">
        <f t="shared" si="6"/>
        <v/>
      </c>
      <c r="C96" s="43"/>
      <c r="D96" s="129" t="str">
        <f>IFERROR(__xludf.DUMMYFUNCTION("if(isblank(indirect(""B""&amp;row())),,FILTER(SuperList,'Spell List'!$C$16:$C$246=indirect(""B""&amp;row())))"),"")</f>
        <v/>
      </c>
      <c r="E96" s="23"/>
      <c r="F96" s="104"/>
      <c r="G96" s="23"/>
      <c r="H96" s="22"/>
      <c r="I96" s="23"/>
      <c r="J96" s="104"/>
      <c r="K96" s="23"/>
      <c r="L96" s="104"/>
      <c r="M96" s="23"/>
      <c r="N96" s="104"/>
      <c r="O96" s="23"/>
      <c r="P96" s="104"/>
      <c r="Q96" s="23"/>
      <c r="R96" s="104"/>
      <c r="S96" s="23"/>
      <c r="T96" s="104"/>
      <c r="U96" s="23"/>
      <c r="V96" s="105"/>
      <c r="W96" s="10"/>
      <c r="X96" s="10"/>
      <c r="Y96" s="23"/>
      <c r="Z96" s="88"/>
    </row>
    <row r="97">
      <c r="B97" s="98" t="str">
        <f t="shared" si="6"/>
        <v/>
      </c>
      <c r="C97" s="25"/>
      <c r="D97" s="128" t="str">
        <f>IFERROR(__xludf.DUMMYFUNCTION("if(isblank(indirect(""B""&amp;row())),,FILTER(SuperList,'Spell List'!$C$16:$C$246=indirect(""B""&amp;row())))"),"")</f>
        <v/>
      </c>
      <c r="E97" s="18"/>
      <c r="F97" s="100"/>
      <c r="G97" s="18"/>
      <c r="H97" s="108"/>
      <c r="I97" s="18"/>
      <c r="J97" s="100"/>
      <c r="K97" s="18"/>
      <c r="L97" s="100"/>
      <c r="M97" s="18"/>
      <c r="N97" s="100"/>
      <c r="O97" s="18"/>
      <c r="P97" s="100"/>
      <c r="Q97" s="18"/>
      <c r="R97" s="100"/>
      <c r="S97" s="18"/>
      <c r="T97" s="100"/>
      <c r="U97" s="18"/>
      <c r="V97" s="101"/>
      <c r="W97" s="4"/>
      <c r="X97" s="4"/>
      <c r="Y97" s="18"/>
      <c r="Z97" s="91"/>
    </row>
    <row r="98">
      <c r="B98" s="102" t="str">
        <f t="shared" si="6"/>
        <v/>
      </c>
      <c r="C98" s="43"/>
      <c r="D98" s="129" t="str">
        <f>IFERROR(__xludf.DUMMYFUNCTION("if(isblank(indirect(""B""&amp;row())),,FILTER(SuperList,'Spell List'!$C$16:$C$246=indirect(""B""&amp;row())))"),"")</f>
        <v/>
      </c>
      <c r="E98" s="23"/>
      <c r="F98" s="104"/>
      <c r="G98" s="23"/>
      <c r="H98" s="22"/>
      <c r="I98" s="23"/>
      <c r="J98" s="104"/>
      <c r="K98" s="23"/>
      <c r="L98" s="104"/>
      <c r="M98" s="23"/>
      <c r="N98" s="104"/>
      <c r="O98" s="23"/>
      <c r="P98" s="104"/>
      <c r="Q98" s="23"/>
      <c r="R98" s="104"/>
      <c r="S98" s="23"/>
      <c r="T98" s="104"/>
      <c r="U98" s="23"/>
      <c r="V98" s="105"/>
      <c r="W98" s="10"/>
      <c r="X98" s="10"/>
      <c r="Y98" s="23"/>
      <c r="Z98" s="88"/>
    </row>
    <row r="99">
      <c r="B99" s="94" t="s">
        <v>37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50" t="s">
        <v>14</v>
      </c>
      <c r="W99" s="4"/>
      <c r="X99" s="18"/>
      <c r="Y99" s="127" t="str">
        <f>SUM(Z101)&amp;"/"&amp;if(dget(base_spells,"5th",F2:F3),1,0)</f>
        <v>0/0</v>
      </c>
      <c r="Z99" s="120"/>
    </row>
    <row r="100">
      <c r="B100" s="95" t="s">
        <v>15</v>
      </c>
      <c r="C100" s="95"/>
      <c r="D100" s="96" t="s">
        <v>17</v>
      </c>
      <c r="E100" s="23"/>
      <c r="F100" s="96" t="s">
        <v>18</v>
      </c>
      <c r="G100" s="23"/>
      <c r="H100" s="96" t="s">
        <v>19</v>
      </c>
      <c r="I100" s="23"/>
      <c r="J100" s="96" t="s">
        <v>20</v>
      </c>
      <c r="K100" s="23"/>
      <c r="L100" s="96" t="s">
        <v>21</v>
      </c>
      <c r="M100" s="23"/>
      <c r="N100" s="96" t="s">
        <v>22</v>
      </c>
      <c r="O100" s="23"/>
      <c r="P100" s="96" t="s">
        <v>23</v>
      </c>
      <c r="Q100" s="23"/>
      <c r="R100" s="96" t="s">
        <v>24</v>
      </c>
      <c r="S100" s="23"/>
      <c r="T100" s="96" t="s">
        <v>25</v>
      </c>
      <c r="U100" s="23"/>
      <c r="V100" s="96" t="s">
        <v>26</v>
      </c>
      <c r="W100" s="10"/>
      <c r="X100" s="10"/>
      <c r="Y100" s="23"/>
      <c r="Z100" s="95" t="s">
        <v>986</v>
      </c>
    </row>
    <row r="101">
      <c r="B101" s="98" t="str">
        <f>if(isblank(indirect("'Prepared Spells'!B"&amp;row())),,right(indirect("'Prepared Spells'!B"&amp;row()),len(indirect("'Prepared Spells'!B"&amp;row()))-2))</f>
        <v/>
      </c>
      <c r="C101" s="25"/>
      <c r="D101" s="128" t="str">
        <f>IFERROR(__xludf.DUMMYFUNCTION("if(isblank(indirect(""B""&amp;row())),,FILTER(DSuperList,DList!$C$4:$C$21=indirect(""B""&amp;row())))"),"")</f>
        <v/>
      </c>
      <c r="E101" s="18"/>
      <c r="F101" s="100"/>
      <c r="G101" s="18"/>
      <c r="H101" s="108"/>
      <c r="I101" s="18"/>
      <c r="J101" s="100"/>
      <c r="K101" s="18"/>
      <c r="L101" s="100"/>
      <c r="M101" s="18"/>
      <c r="N101" s="100"/>
      <c r="O101" s="18"/>
      <c r="P101" s="100"/>
      <c r="Q101" s="18"/>
      <c r="R101" s="100"/>
      <c r="S101" s="18"/>
      <c r="T101" s="100"/>
      <c r="U101" s="18"/>
      <c r="V101" s="101"/>
      <c r="W101" s="4"/>
      <c r="X101" s="4"/>
      <c r="Y101" s="18"/>
      <c r="Z101" s="90"/>
    </row>
    <row r="103">
      <c r="B103" s="94" t="s">
        <v>38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0" t="s">
        <v>14</v>
      </c>
      <c r="W103" s="4"/>
      <c r="X103" s="18"/>
      <c r="Y103" s="127" t="str">
        <f>SUM(Z105:Z114)&amp;"/"&amp;if(dget(base_spells,"6th",F2:F3),dget(base_spells,"6th",F2:F3)+dget(bonus_spells,"6th",H2:H3),0)</f>
        <v>0/0</v>
      </c>
      <c r="Z103" s="120"/>
    </row>
    <row r="104">
      <c r="B104" s="95" t="s">
        <v>15</v>
      </c>
      <c r="C104" s="95"/>
      <c r="D104" s="96" t="s">
        <v>17</v>
      </c>
      <c r="E104" s="23"/>
      <c r="F104" s="96" t="s">
        <v>18</v>
      </c>
      <c r="G104" s="23"/>
      <c r="H104" s="96" t="s">
        <v>19</v>
      </c>
      <c r="I104" s="23"/>
      <c r="J104" s="96" t="s">
        <v>20</v>
      </c>
      <c r="K104" s="23"/>
      <c r="L104" s="96" t="s">
        <v>21</v>
      </c>
      <c r="M104" s="23"/>
      <c r="N104" s="96" t="s">
        <v>22</v>
      </c>
      <c r="O104" s="23"/>
      <c r="P104" s="96" t="s">
        <v>23</v>
      </c>
      <c r="Q104" s="23"/>
      <c r="R104" s="96" t="s">
        <v>24</v>
      </c>
      <c r="S104" s="23"/>
      <c r="T104" s="96" t="s">
        <v>25</v>
      </c>
      <c r="U104" s="23"/>
      <c r="V104" s="96" t="s">
        <v>26</v>
      </c>
      <c r="W104" s="10"/>
      <c r="X104" s="10"/>
      <c r="Y104" s="23"/>
      <c r="Z104" s="95" t="s">
        <v>986</v>
      </c>
    </row>
    <row r="105">
      <c r="B105" s="98" t="str">
        <f t="shared" ref="B105:B114" si="7">if(isblank(indirect("'Prepared Spells'!B"&amp;row())),,right(indirect("'Prepared Spells'!B"&amp;row()),len(indirect("'Prepared Spells'!B"&amp;row()))-2))</f>
        <v/>
      </c>
      <c r="C105" s="25"/>
      <c r="D105" s="128" t="str">
        <f>IFERROR(__xludf.DUMMYFUNCTION("if(isblank(indirect(""B""&amp;row())),,FILTER(SuperList,'Spell List'!$C$16:$C$246=indirect(""B""&amp;row())))"),"")</f>
        <v/>
      </c>
      <c r="E105" s="18"/>
      <c r="F105" s="100"/>
      <c r="G105" s="18"/>
      <c r="H105" s="108"/>
      <c r="I105" s="18"/>
      <c r="J105" s="100"/>
      <c r="K105" s="18"/>
      <c r="L105" s="100"/>
      <c r="M105" s="18"/>
      <c r="N105" s="100"/>
      <c r="O105" s="18"/>
      <c r="P105" s="100"/>
      <c r="Q105" s="18"/>
      <c r="R105" s="100"/>
      <c r="S105" s="18"/>
      <c r="T105" s="100"/>
      <c r="U105" s="18"/>
      <c r="V105" s="101"/>
      <c r="W105" s="4"/>
      <c r="X105" s="4"/>
      <c r="Y105" s="18"/>
      <c r="Z105" s="91"/>
    </row>
    <row r="106">
      <c r="B106" s="102" t="str">
        <f t="shared" si="7"/>
        <v/>
      </c>
      <c r="C106" s="43"/>
      <c r="D106" s="129" t="str">
        <f>IFERROR(__xludf.DUMMYFUNCTION("if(isblank(indirect(""B""&amp;row())),,FILTER(SuperList,'Spell List'!$C$16:$C$246=indirect(""B""&amp;row())))"),"")</f>
        <v/>
      </c>
      <c r="E106" s="23"/>
      <c r="F106" s="104"/>
      <c r="G106" s="23"/>
      <c r="H106" s="22"/>
      <c r="I106" s="23"/>
      <c r="J106" s="104"/>
      <c r="K106" s="23"/>
      <c r="L106" s="104"/>
      <c r="M106" s="23"/>
      <c r="N106" s="104"/>
      <c r="O106" s="23"/>
      <c r="P106" s="104"/>
      <c r="Q106" s="23"/>
      <c r="R106" s="104"/>
      <c r="S106" s="23"/>
      <c r="T106" s="104"/>
      <c r="U106" s="23"/>
      <c r="V106" s="105"/>
      <c r="W106" s="10"/>
      <c r="X106" s="10"/>
      <c r="Y106" s="23"/>
      <c r="Z106" s="88"/>
    </row>
    <row r="107">
      <c r="B107" s="98" t="str">
        <f t="shared" si="7"/>
        <v/>
      </c>
      <c r="C107" s="25"/>
      <c r="D107" s="128" t="str">
        <f>IFERROR(__xludf.DUMMYFUNCTION("if(isblank(indirect(""B""&amp;row())),,FILTER(SuperList,'Spell List'!$C$16:$C$246=indirect(""B""&amp;row())))"),"")</f>
        <v/>
      </c>
      <c r="E107" s="18"/>
      <c r="F107" s="100"/>
      <c r="G107" s="18"/>
      <c r="H107" s="108"/>
      <c r="I107" s="18"/>
      <c r="J107" s="100"/>
      <c r="K107" s="18"/>
      <c r="L107" s="100"/>
      <c r="M107" s="18"/>
      <c r="N107" s="100"/>
      <c r="O107" s="18"/>
      <c r="P107" s="100"/>
      <c r="Q107" s="18"/>
      <c r="R107" s="100"/>
      <c r="S107" s="18"/>
      <c r="T107" s="100"/>
      <c r="U107" s="18"/>
      <c r="V107" s="101"/>
      <c r="W107" s="4"/>
      <c r="X107" s="4"/>
      <c r="Y107" s="18"/>
      <c r="Z107" s="91"/>
    </row>
    <row r="108">
      <c r="B108" s="102" t="str">
        <f t="shared" si="7"/>
        <v/>
      </c>
      <c r="C108" s="43"/>
      <c r="D108" s="129" t="str">
        <f>IFERROR(__xludf.DUMMYFUNCTION("if(isblank(indirect(""B""&amp;row())),,FILTER(SuperList,'Spell List'!$C$16:$C$246=indirect(""B""&amp;row())))"),"")</f>
        <v/>
      </c>
      <c r="E108" s="23"/>
      <c r="F108" s="104"/>
      <c r="G108" s="23"/>
      <c r="H108" s="22"/>
      <c r="I108" s="23"/>
      <c r="J108" s="104"/>
      <c r="K108" s="23"/>
      <c r="L108" s="104"/>
      <c r="M108" s="23"/>
      <c r="N108" s="104"/>
      <c r="O108" s="23"/>
      <c r="P108" s="104"/>
      <c r="Q108" s="23"/>
      <c r="R108" s="104"/>
      <c r="S108" s="23"/>
      <c r="T108" s="104"/>
      <c r="U108" s="23"/>
      <c r="V108" s="105"/>
      <c r="W108" s="10"/>
      <c r="X108" s="10"/>
      <c r="Y108" s="23"/>
      <c r="Z108" s="88"/>
    </row>
    <row r="109">
      <c r="B109" s="98" t="str">
        <f t="shared" si="7"/>
        <v/>
      </c>
      <c r="C109" s="25"/>
      <c r="D109" s="128" t="str">
        <f>IFERROR(__xludf.DUMMYFUNCTION("if(isblank(indirect(""B""&amp;row())),,FILTER(SuperList,'Spell List'!$C$16:$C$246=indirect(""B""&amp;row())))"),"")</f>
        <v/>
      </c>
      <c r="E109" s="18"/>
      <c r="F109" s="100"/>
      <c r="G109" s="18"/>
      <c r="H109" s="108"/>
      <c r="I109" s="18"/>
      <c r="J109" s="100"/>
      <c r="K109" s="18"/>
      <c r="L109" s="100"/>
      <c r="M109" s="18"/>
      <c r="N109" s="100"/>
      <c r="O109" s="18"/>
      <c r="P109" s="100"/>
      <c r="Q109" s="18"/>
      <c r="R109" s="100"/>
      <c r="S109" s="18"/>
      <c r="T109" s="100"/>
      <c r="U109" s="18"/>
      <c r="V109" s="101"/>
      <c r="W109" s="4"/>
      <c r="X109" s="4"/>
      <c r="Y109" s="18"/>
      <c r="Z109" s="91"/>
    </row>
    <row r="110">
      <c r="B110" s="102" t="str">
        <f t="shared" si="7"/>
        <v/>
      </c>
      <c r="C110" s="43"/>
      <c r="D110" s="129" t="str">
        <f>IFERROR(__xludf.DUMMYFUNCTION("if(isblank(indirect(""B""&amp;row())),,FILTER(SuperList,'Spell List'!$C$16:$C$246=indirect(""B""&amp;row())))"),"")</f>
        <v/>
      </c>
      <c r="E110" s="23"/>
      <c r="F110" s="104"/>
      <c r="G110" s="23"/>
      <c r="H110" s="22"/>
      <c r="I110" s="23"/>
      <c r="J110" s="104"/>
      <c r="K110" s="23"/>
      <c r="L110" s="104"/>
      <c r="M110" s="23"/>
      <c r="N110" s="104"/>
      <c r="O110" s="23"/>
      <c r="P110" s="104"/>
      <c r="Q110" s="23"/>
      <c r="R110" s="104"/>
      <c r="S110" s="23"/>
      <c r="T110" s="104"/>
      <c r="U110" s="23"/>
      <c r="V110" s="105"/>
      <c r="W110" s="10"/>
      <c r="X110" s="10"/>
      <c r="Y110" s="23"/>
      <c r="Z110" s="88"/>
    </row>
    <row r="111">
      <c r="B111" s="98" t="str">
        <f t="shared" si="7"/>
        <v/>
      </c>
      <c r="C111" s="25"/>
      <c r="D111" s="128" t="str">
        <f>IFERROR(__xludf.DUMMYFUNCTION("if(isblank(indirect(""B""&amp;row())),,FILTER(SuperList,'Spell List'!$C$16:$C$246=indirect(""B""&amp;row())))"),"")</f>
        <v/>
      </c>
      <c r="E111" s="18"/>
      <c r="F111" s="100"/>
      <c r="G111" s="18"/>
      <c r="H111" s="108"/>
      <c r="I111" s="18"/>
      <c r="J111" s="100"/>
      <c r="K111" s="18"/>
      <c r="L111" s="100"/>
      <c r="M111" s="18"/>
      <c r="N111" s="100"/>
      <c r="O111" s="18"/>
      <c r="P111" s="100"/>
      <c r="Q111" s="18"/>
      <c r="R111" s="100"/>
      <c r="S111" s="18"/>
      <c r="T111" s="100"/>
      <c r="U111" s="18"/>
      <c r="V111" s="101"/>
      <c r="W111" s="4"/>
      <c r="X111" s="4"/>
      <c r="Y111" s="18"/>
      <c r="Z111" s="91"/>
    </row>
    <row r="112">
      <c r="B112" s="102" t="str">
        <f t="shared" si="7"/>
        <v/>
      </c>
      <c r="C112" s="43"/>
      <c r="D112" s="129" t="str">
        <f>IFERROR(__xludf.DUMMYFUNCTION("if(isblank(indirect(""B""&amp;row())),,FILTER(SuperList,'Spell List'!$C$16:$C$246=indirect(""B""&amp;row())))"),"")</f>
        <v/>
      </c>
      <c r="E112" s="23"/>
      <c r="F112" s="104"/>
      <c r="G112" s="23"/>
      <c r="H112" s="22"/>
      <c r="I112" s="23"/>
      <c r="J112" s="104"/>
      <c r="K112" s="23"/>
      <c r="L112" s="104"/>
      <c r="M112" s="23"/>
      <c r="N112" s="104"/>
      <c r="O112" s="23"/>
      <c r="P112" s="104"/>
      <c r="Q112" s="23"/>
      <c r="R112" s="104"/>
      <c r="S112" s="23"/>
      <c r="T112" s="104"/>
      <c r="U112" s="23"/>
      <c r="V112" s="105"/>
      <c r="W112" s="10"/>
      <c r="X112" s="10"/>
      <c r="Y112" s="23"/>
      <c r="Z112" s="88"/>
    </row>
    <row r="113">
      <c r="B113" s="98" t="str">
        <f t="shared" si="7"/>
        <v/>
      </c>
      <c r="C113" s="25"/>
      <c r="D113" s="128" t="str">
        <f>IFERROR(__xludf.DUMMYFUNCTION("if(isblank(indirect(""B""&amp;row())),,FILTER(SuperList,'Spell List'!$C$16:$C$246=indirect(""B""&amp;row())))"),"")</f>
        <v/>
      </c>
      <c r="E113" s="18"/>
      <c r="F113" s="100"/>
      <c r="G113" s="18"/>
      <c r="H113" s="108"/>
      <c r="I113" s="18"/>
      <c r="J113" s="100"/>
      <c r="K113" s="18"/>
      <c r="L113" s="100"/>
      <c r="M113" s="18"/>
      <c r="N113" s="100"/>
      <c r="O113" s="18"/>
      <c r="P113" s="100"/>
      <c r="Q113" s="18"/>
      <c r="R113" s="100"/>
      <c r="S113" s="18"/>
      <c r="T113" s="100"/>
      <c r="U113" s="18"/>
      <c r="V113" s="101"/>
      <c r="W113" s="4"/>
      <c r="X113" s="4"/>
      <c r="Y113" s="18"/>
      <c r="Z113" s="91"/>
    </row>
    <row r="114">
      <c r="B114" s="102" t="str">
        <f t="shared" si="7"/>
        <v/>
      </c>
      <c r="C114" s="43"/>
      <c r="D114" s="129" t="str">
        <f>IFERROR(__xludf.DUMMYFUNCTION("if(isblank(indirect(""B""&amp;row())),,FILTER(SuperList,'Spell List'!$C$16:$C$246=indirect(""B""&amp;row())))"),"")</f>
        <v/>
      </c>
      <c r="E114" s="23"/>
      <c r="F114" s="104"/>
      <c r="G114" s="23"/>
      <c r="H114" s="22"/>
      <c r="I114" s="23"/>
      <c r="J114" s="104"/>
      <c r="K114" s="23"/>
      <c r="L114" s="104"/>
      <c r="M114" s="23"/>
      <c r="N114" s="104"/>
      <c r="O114" s="23"/>
      <c r="P114" s="104"/>
      <c r="Q114" s="23"/>
      <c r="R114" s="104"/>
      <c r="S114" s="23"/>
      <c r="T114" s="104"/>
      <c r="U114" s="23"/>
      <c r="V114" s="105"/>
      <c r="W114" s="10"/>
      <c r="X114" s="10"/>
      <c r="Y114" s="23"/>
      <c r="Z114" s="88"/>
    </row>
    <row r="115">
      <c r="B115" s="94" t="s">
        <v>39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0" t="s">
        <v>14</v>
      </c>
      <c r="W115" s="4"/>
      <c r="X115" s="18"/>
      <c r="Y115" s="127" t="str">
        <f>SUM(Z117)&amp;"/"&amp;if(dget(base_spells,"6th",F2:F3),1,0)</f>
        <v>0/0</v>
      </c>
      <c r="Z115" s="120"/>
    </row>
    <row r="116">
      <c r="B116" s="95" t="s">
        <v>15</v>
      </c>
      <c r="C116" s="95"/>
      <c r="D116" s="96" t="s">
        <v>17</v>
      </c>
      <c r="E116" s="23"/>
      <c r="F116" s="96" t="s">
        <v>18</v>
      </c>
      <c r="G116" s="23"/>
      <c r="H116" s="96" t="s">
        <v>19</v>
      </c>
      <c r="I116" s="23"/>
      <c r="J116" s="96" t="s">
        <v>20</v>
      </c>
      <c r="K116" s="23"/>
      <c r="L116" s="96" t="s">
        <v>21</v>
      </c>
      <c r="M116" s="23"/>
      <c r="N116" s="96" t="s">
        <v>22</v>
      </c>
      <c r="O116" s="23"/>
      <c r="P116" s="96" t="s">
        <v>23</v>
      </c>
      <c r="Q116" s="23"/>
      <c r="R116" s="96" t="s">
        <v>24</v>
      </c>
      <c r="S116" s="23"/>
      <c r="T116" s="96" t="s">
        <v>25</v>
      </c>
      <c r="U116" s="23"/>
      <c r="V116" s="96" t="s">
        <v>26</v>
      </c>
      <c r="W116" s="10"/>
      <c r="X116" s="10"/>
      <c r="Y116" s="23"/>
      <c r="Z116" s="95" t="s">
        <v>986</v>
      </c>
    </row>
    <row r="117">
      <c r="B117" s="98" t="str">
        <f>if(isblank(indirect("'Prepared Spells'!B"&amp;row())),,right(indirect("'Prepared Spells'!B"&amp;row()),len(indirect("'Prepared Spells'!B"&amp;row()))-2))</f>
        <v/>
      </c>
      <c r="C117" s="25"/>
      <c r="D117" s="128" t="str">
        <f>IFERROR(__xludf.DUMMYFUNCTION("if(isblank(indirect(""B""&amp;row())),,FILTER(DSuperList,DList!$C$4:$C$21=indirect(""B""&amp;row())))"),"")</f>
        <v/>
      </c>
      <c r="E117" s="18"/>
      <c r="F117" s="100"/>
      <c r="G117" s="18"/>
      <c r="H117" s="108"/>
      <c r="I117" s="18"/>
      <c r="J117" s="100"/>
      <c r="K117" s="18"/>
      <c r="L117" s="100"/>
      <c r="M117" s="18"/>
      <c r="N117" s="100"/>
      <c r="O117" s="18"/>
      <c r="P117" s="100"/>
      <c r="Q117" s="18"/>
      <c r="R117" s="100"/>
      <c r="S117" s="18"/>
      <c r="T117" s="100"/>
      <c r="U117" s="18"/>
      <c r="V117" s="101"/>
      <c r="W117" s="4"/>
      <c r="X117" s="4"/>
      <c r="Y117" s="18"/>
      <c r="Z117" s="90"/>
    </row>
    <row r="119">
      <c r="B119" s="94" t="s">
        <v>40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0" t="s">
        <v>14</v>
      </c>
      <c r="W119" s="4"/>
      <c r="X119" s="18"/>
      <c r="Y119" s="127" t="str">
        <f>SUM(Z121:Z130)&amp;"/"&amp;if(dget(base_spells,"7th",F2:F3),dget(base_spells,"7th",F2:F3)+dget(bonus_spells,"7th",H2:H3),0)</f>
        <v>0/0</v>
      </c>
      <c r="Z119" s="120"/>
    </row>
    <row r="120">
      <c r="B120" s="95" t="s">
        <v>15</v>
      </c>
      <c r="C120" s="95"/>
      <c r="D120" s="96" t="s">
        <v>17</v>
      </c>
      <c r="E120" s="23"/>
      <c r="F120" s="96" t="s">
        <v>18</v>
      </c>
      <c r="G120" s="23"/>
      <c r="H120" s="96" t="s">
        <v>19</v>
      </c>
      <c r="I120" s="23"/>
      <c r="J120" s="96" t="s">
        <v>20</v>
      </c>
      <c r="K120" s="23"/>
      <c r="L120" s="96" t="s">
        <v>21</v>
      </c>
      <c r="M120" s="23"/>
      <c r="N120" s="96" t="s">
        <v>22</v>
      </c>
      <c r="O120" s="23"/>
      <c r="P120" s="96" t="s">
        <v>23</v>
      </c>
      <c r="Q120" s="23"/>
      <c r="R120" s="96" t="s">
        <v>24</v>
      </c>
      <c r="S120" s="23"/>
      <c r="T120" s="96" t="s">
        <v>25</v>
      </c>
      <c r="U120" s="23"/>
      <c r="V120" s="96" t="s">
        <v>26</v>
      </c>
      <c r="W120" s="10"/>
      <c r="X120" s="10"/>
      <c r="Y120" s="23"/>
      <c r="Z120" s="95" t="s">
        <v>986</v>
      </c>
    </row>
    <row r="121">
      <c r="B121" s="98" t="str">
        <f t="shared" ref="B121:B130" si="8">if(isblank(indirect("'Prepared Spells'!B"&amp;row())),,right(indirect("'Prepared Spells'!B"&amp;row()),len(indirect("'Prepared Spells'!B"&amp;row()))-2))</f>
        <v/>
      </c>
      <c r="C121" s="25"/>
      <c r="D121" s="128" t="str">
        <f>IFERROR(__xludf.DUMMYFUNCTION("if(isblank(indirect(""B""&amp;row())),,FILTER(SuperList,'Spell List'!$C$16:$C$246=indirect(""B""&amp;row())))"),"")</f>
        <v/>
      </c>
      <c r="E121" s="18"/>
      <c r="F121" s="100"/>
      <c r="G121" s="18"/>
      <c r="H121" s="108"/>
      <c r="I121" s="18"/>
      <c r="J121" s="100"/>
      <c r="K121" s="18"/>
      <c r="L121" s="100"/>
      <c r="M121" s="18"/>
      <c r="N121" s="100"/>
      <c r="O121" s="18"/>
      <c r="P121" s="100"/>
      <c r="Q121" s="18"/>
      <c r="R121" s="100"/>
      <c r="S121" s="18"/>
      <c r="T121" s="100"/>
      <c r="U121" s="18"/>
      <c r="V121" s="101"/>
      <c r="W121" s="4"/>
      <c r="X121" s="4"/>
      <c r="Y121" s="18"/>
      <c r="Z121" s="90"/>
    </row>
    <row r="122">
      <c r="B122" s="102" t="str">
        <f t="shared" si="8"/>
        <v/>
      </c>
      <c r="C122" s="43"/>
      <c r="D122" s="129" t="str">
        <f>IFERROR(__xludf.DUMMYFUNCTION("if(isblank(indirect(""B""&amp;row())),,FILTER(SuperList,'Spell List'!$C$16:$C$246=indirect(""B""&amp;row())))"),"")</f>
        <v/>
      </c>
      <c r="E122" s="23"/>
      <c r="F122" s="104"/>
      <c r="G122" s="23"/>
      <c r="H122" s="22"/>
      <c r="I122" s="23"/>
      <c r="J122" s="104"/>
      <c r="K122" s="23"/>
      <c r="L122" s="104"/>
      <c r="M122" s="23"/>
      <c r="N122" s="104"/>
      <c r="O122" s="23"/>
      <c r="P122" s="104"/>
      <c r="Q122" s="23"/>
      <c r="R122" s="104"/>
      <c r="S122" s="23"/>
      <c r="T122" s="104"/>
      <c r="U122" s="23"/>
      <c r="V122" s="105"/>
      <c r="W122" s="10"/>
      <c r="X122" s="10"/>
      <c r="Y122" s="23"/>
      <c r="Z122" s="88"/>
    </row>
    <row r="123">
      <c r="B123" s="98" t="str">
        <f t="shared" si="8"/>
        <v/>
      </c>
      <c r="C123" s="25"/>
      <c r="D123" s="128" t="str">
        <f>IFERROR(__xludf.DUMMYFUNCTION("if(isblank(indirect(""B""&amp;row())),,FILTER(SuperList,'Spell List'!$C$16:$C$246=indirect(""B""&amp;row())))"),"")</f>
        <v/>
      </c>
      <c r="E123" s="18"/>
      <c r="F123" s="100"/>
      <c r="G123" s="18"/>
      <c r="H123" s="108"/>
      <c r="I123" s="18"/>
      <c r="J123" s="100"/>
      <c r="K123" s="18"/>
      <c r="L123" s="100"/>
      <c r="M123" s="18"/>
      <c r="N123" s="100"/>
      <c r="O123" s="18"/>
      <c r="P123" s="100"/>
      <c r="Q123" s="18"/>
      <c r="R123" s="100"/>
      <c r="S123" s="18"/>
      <c r="T123" s="100"/>
      <c r="U123" s="18"/>
      <c r="V123" s="101"/>
      <c r="W123" s="4"/>
      <c r="X123" s="4"/>
      <c r="Y123" s="18"/>
      <c r="Z123" s="91"/>
    </row>
    <row r="124">
      <c r="B124" s="102" t="str">
        <f t="shared" si="8"/>
        <v/>
      </c>
      <c r="C124" s="43"/>
      <c r="D124" s="129" t="str">
        <f>IFERROR(__xludf.DUMMYFUNCTION("if(isblank(indirect(""B""&amp;row())),,FILTER(SuperList,'Spell List'!$C$16:$C$246=indirect(""B""&amp;row())))"),"")</f>
        <v/>
      </c>
      <c r="E124" s="23"/>
      <c r="F124" s="104"/>
      <c r="G124" s="23"/>
      <c r="H124" s="22"/>
      <c r="I124" s="23"/>
      <c r="J124" s="104"/>
      <c r="K124" s="23"/>
      <c r="L124" s="104"/>
      <c r="M124" s="23"/>
      <c r="N124" s="104"/>
      <c r="O124" s="23"/>
      <c r="P124" s="104"/>
      <c r="Q124" s="23"/>
      <c r="R124" s="104"/>
      <c r="S124" s="23"/>
      <c r="T124" s="104"/>
      <c r="U124" s="23"/>
      <c r="V124" s="105"/>
      <c r="W124" s="10"/>
      <c r="X124" s="10"/>
      <c r="Y124" s="23"/>
      <c r="Z124" s="88"/>
    </row>
    <row r="125">
      <c r="B125" s="98" t="str">
        <f t="shared" si="8"/>
        <v/>
      </c>
      <c r="C125" s="25"/>
      <c r="D125" s="128" t="str">
        <f>IFERROR(__xludf.DUMMYFUNCTION("if(isblank(indirect(""B""&amp;row())),,FILTER(SuperList,'Spell List'!$C$16:$C$246=indirect(""B""&amp;row())))"),"")</f>
        <v/>
      </c>
      <c r="E125" s="18"/>
      <c r="F125" s="100"/>
      <c r="G125" s="18"/>
      <c r="H125" s="108"/>
      <c r="I125" s="18"/>
      <c r="J125" s="100"/>
      <c r="K125" s="18"/>
      <c r="L125" s="100"/>
      <c r="M125" s="18"/>
      <c r="N125" s="100"/>
      <c r="O125" s="18"/>
      <c r="P125" s="100"/>
      <c r="Q125" s="18"/>
      <c r="R125" s="100"/>
      <c r="S125" s="18"/>
      <c r="T125" s="100"/>
      <c r="U125" s="18"/>
      <c r="V125" s="101"/>
      <c r="W125" s="4"/>
      <c r="X125" s="4"/>
      <c r="Y125" s="18"/>
      <c r="Z125" s="91"/>
    </row>
    <row r="126">
      <c r="B126" s="102" t="str">
        <f t="shared" si="8"/>
        <v/>
      </c>
      <c r="C126" s="43"/>
      <c r="D126" s="129" t="str">
        <f>IFERROR(__xludf.DUMMYFUNCTION("if(isblank(indirect(""B""&amp;row())),,FILTER(SuperList,'Spell List'!$C$16:$C$246=indirect(""B""&amp;row())))"),"")</f>
        <v/>
      </c>
      <c r="E126" s="23"/>
      <c r="F126" s="104"/>
      <c r="G126" s="23"/>
      <c r="H126" s="22"/>
      <c r="I126" s="23"/>
      <c r="J126" s="104"/>
      <c r="K126" s="23"/>
      <c r="L126" s="104"/>
      <c r="M126" s="23"/>
      <c r="N126" s="104"/>
      <c r="O126" s="23"/>
      <c r="P126" s="104"/>
      <c r="Q126" s="23"/>
      <c r="R126" s="104"/>
      <c r="S126" s="23"/>
      <c r="T126" s="104"/>
      <c r="U126" s="23"/>
      <c r="V126" s="105"/>
      <c r="W126" s="10"/>
      <c r="X126" s="10"/>
      <c r="Y126" s="23"/>
      <c r="Z126" s="88"/>
    </row>
    <row r="127">
      <c r="B127" s="98" t="str">
        <f t="shared" si="8"/>
        <v/>
      </c>
      <c r="C127" s="25"/>
      <c r="D127" s="128" t="str">
        <f>IFERROR(__xludf.DUMMYFUNCTION("if(isblank(indirect(""B""&amp;row())),,FILTER(SuperList,'Spell List'!$C$16:$C$246=indirect(""B""&amp;row())))"),"")</f>
        <v/>
      </c>
      <c r="E127" s="18"/>
      <c r="F127" s="100"/>
      <c r="G127" s="18"/>
      <c r="H127" s="108"/>
      <c r="I127" s="18"/>
      <c r="J127" s="100"/>
      <c r="K127" s="18"/>
      <c r="L127" s="100"/>
      <c r="M127" s="18"/>
      <c r="N127" s="100"/>
      <c r="O127" s="18"/>
      <c r="P127" s="100"/>
      <c r="Q127" s="18"/>
      <c r="R127" s="100"/>
      <c r="S127" s="18"/>
      <c r="T127" s="100"/>
      <c r="U127" s="18"/>
      <c r="V127" s="101"/>
      <c r="W127" s="4"/>
      <c r="X127" s="4"/>
      <c r="Y127" s="18"/>
      <c r="Z127" s="91"/>
    </row>
    <row r="128">
      <c r="B128" s="102" t="str">
        <f t="shared" si="8"/>
        <v/>
      </c>
      <c r="C128" s="43"/>
      <c r="D128" s="129" t="str">
        <f>IFERROR(__xludf.DUMMYFUNCTION("if(isblank(indirect(""B""&amp;row())),,FILTER(SuperList,'Spell List'!$C$16:$C$246=indirect(""B""&amp;row())))"),"")</f>
        <v/>
      </c>
      <c r="E128" s="23"/>
      <c r="F128" s="104"/>
      <c r="G128" s="23"/>
      <c r="H128" s="22"/>
      <c r="I128" s="23"/>
      <c r="J128" s="104"/>
      <c r="K128" s="23"/>
      <c r="L128" s="104"/>
      <c r="M128" s="23"/>
      <c r="N128" s="104"/>
      <c r="O128" s="23"/>
      <c r="P128" s="104"/>
      <c r="Q128" s="23"/>
      <c r="R128" s="104"/>
      <c r="S128" s="23"/>
      <c r="T128" s="104"/>
      <c r="U128" s="23"/>
      <c r="V128" s="105"/>
      <c r="W128" s="10"/>
      <c r="X128" s="10"/>
      <c r="Y128" s="23"/>
      <c r="Z128" s="88"/>
    </row>
    <row r="129">
      <c r="B129" s="98" t="str">
        <f t="shared" si="8"/>
        <v/>
      </c>
      <c r="C129" s="25"/>
      <c r="D129" s="128" t="str">
        <f>IFERROR(__xludf.DUMMYFUNCTION("if(isblank(indirect(""B""&amp;row())),,FILTER(SuperList,'Spell List'!$C$16:$C$246=indirect(""B""&amp;row())))"),"")</f>
        <v/>
      </c>
      <c r="E129" s="18"/>
      <c r="F129" s="100"/>
      <c r="G129" s="18"/>
      <c r="H129" s="108"/>
      <c r="I129" s="18"/>
      <c r="J129" s="100"/>
      <c r="K129" s="18"/>
      <c r="L129" s="100"/>
      <c r="M129" s="18"/>
      <c r="N129" s="100"/>
      <c r="O129" s="18"/>
      <c r="P129" s="100"/>
      <c r="Q129" s="18"/>
      <c r="R129" s="100"/>
      <c r="S129" s="18"/>
      <c r="T129" s="100"/>
      <c r="U129" s="18"/>
      <c r="V129" s="101"/>
      <c r="W129" s="4"/>
      <c r="X129" s="4"/>
      <c r="Y129" s="18"/>
      <c r="Z129" s="91"/>
    </row>
    <row r="130">
      <c r="B130" s="102" t="str">
        <f t="shared" si="8"/>
        <v/>
      </c>
      <c r="C130" s="43"/>
      <c r="D130" s="129" t="str">
        <f>IFERROR(__xludf.DUMMYFUNCTION("if(isblank(indirect(""B""&amp;row())),,FILTER(SuperList,'Spell List'!$C$16:$C$246=indirect(""B""&amp;row())))"),"")</f>
        <v/>
      </c>
      <c r="E130" s="23"/>
      <c r="F130" s="104"/>
      <c r="G130" s="23"/>
      <c r="H130" s="22"/>
      <c r="I130" s="23"/>
      <c r="J130" s="104"/>
      <c r="K130" s="23"/>
      <c r="L130" s="104"/>
      <c r="M130" s="23"/>
      <c r="N130" s="104"/>
      <c r="O130" s="23"/>
      <c r="P130" s="104"/>
      <c r="Q130" s="23"/>
      <c r="R130" s="104"/>
      <c r="S130" s="23"/>
      <c r="T130" s="104"/>
      <c r="U130" s="23"/>
      <c r="V130" s="105"/>
      <c r="W130" s="10"/>
      <c r="X130" s="10"/>
      <c r="Y130" s="23"/>
      <c r="Z130" s="88"/>
    </row>
    <row r="131">
      <c r="B131" s="94" t="s">
        <v>41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0" t="s">
        <v>14</v>
      </c>
      <c r="W131" s="4"/>
      <c r="X131" s="18"/>
      <c r="Y131" s="127" t="str">
        <f>SUM(Z133)&amp;"/"&amp;if(dget(base_spells,"7th",F2:F3),1,0)</f>
        <v>0/0</v>
      </c>
      <c r="Z131" s="120"/>
    </row>
    <row r="132">
      <c r="B132" s="95" t="s">
        <v>15</v>
      </c>
      <c r="C132" s="95"/>
      <c r="D132" s="96" t="s">
        <v>17</v>
      </c>
      <c r="E132" s="23"/>
      <c r="F132" s="96" t="s">
        <v>18</v>
      </c>
      <c r="G132" s="23"/>
      <c r="H132" s="96" t="s">
        <v>19</v>
      </c>
      <c r="I132" s="23"/>
      <c r="J132" s="96" t="s">
        <v>20</v>
      </c>
      <c r="K132" s="23"/>
      <c r="L132" s="96" t="s">
        <v>21</v>
      </c>
      <c r="M132" s="23"/>
      <c r="N132" s="96" t="s">
        <v>22</v>
      </c>
      <c r="O132" s="23"/>
      <c r="P132" s="96" t="s">
        <v>23</v>
      </c>
      <c r="Q132" s="23"/>
      <c r="R132" s="96" t="s">
        <v>24</v>
      </c>
      <c r="S132" s="23"/>
      <c r="T132" s="96" t="s">
        <v>25</v>
      </c>
      <c r="U132" s="23"/>
      <c r="V132" s="96" t="s">
        <v>26</v>
      </c>
      <c r="W132" s="10"/>
      <c r="X132" s="10"/>
      <c r="Y132" s="23"/>
      <c r="Z132" s="95" t="s">
        <v>986</v>
      </c>
    </row>
    <row r="133">
      <c r="B133" s="98" t="str">
        <f>if(isblank(indirect("'Prepared Spells'!B"&amp;row())),,right(indirect("'Prepared Spells'!B"&amp;row()),len(indirect("'Prepared Spells'!B"&amp;row()))-2))</f>
        <v/>
      </c>
      <c r="C133" s="25"/>
      <c r="D133" s="128" t="str">
        <f>IFERROR(__xludf.DUMMYFUNCTION("if(isblank(indirect(""B""&amp;row())),,FILTER(DSuperList,DList!$C$4:$C$21=indirect(""B""&amp;row())))"),"")</f>
        <v/>
      </c>
      <c r="E133" s="18"/>
      <c r="F133" s="100"/>
      <c r="G133" s="18"/>
      <c r="H133" s="108"/>
      <c r="I133" s="18"/>
      <c r="J133" s="100"/>
      <c r="K133" s="18"/>
      <c r="L133" s="100"/>
      <c r="M133" s="18"/>
      <c r="N133" s="100"/>
      <c r="O133" s="18"/>
      <c r="P133" s="100"/>
      <c r="Q133" s="18"/>
      <c r="R133" s="100"/>
      <c r="S133" s="18"/>
      <c r="T133" s="100"/>
      <c r="U133" s="18"/>
      <c r="V133" s="101"/>
      <c r="W133" s="4"/>
      <c r="X133" s="4"/>
      <c r="Y133" s="18"/>
      <c r="Z133" s="90"/>
    </row>
    <row r="135">
      <c r="B135" s="94" t="s">
        <v>42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0" t="s">
        <v>14</v>
      </c>
      <c r="W135" s="4"/>
      <c r="X135" s="18"/>
      <c r="Y135" s="127" t="str">
        <f>SUM(Z137:Z146)&amp;"/"&amp;if(dget(base_spells,"8th",F2:F3),dget(base_spells,"8th",F2:F3)+dget(bonus_spells,"8th",H2:H3),0)</f>
        <v>0/0</v>
      </c>
      <c r="Z135" s="120"/>
    </row>
    <row r="136">
      <c r="B136" s="95" t="s">
        <v>15</v>
      </c>
      <c r="C136" s="95"/>
      <c r="D136" s="96" t="s">
        <v>17</v>
      </c>
      <c r="E136" s="23"/>
      <c r="F136" s="96" t="s">
        <v>18</v>
      </c>
      <c r="G136" s="23"/>
      <c r="H136" s="96" t="s">
        <v>19</v>
      </c>
      <c r="I136" s="23"/>
      <c r="J136" s="96" t="s">
        <v>20</v>
      </c>
      <c r="K136" s="23"/>
      <c r="L136" s="96" t="s">
        <v>21</v>
      </c>
      <c r="M136" s="23"/>
      <c r="N136" s="96" t="s">
        <v>22</v>
      </c>
      <c r="O136" s="23"/>
      <c r="P136" s="96" t="s">
        <v>23</v>
      </c>
      <c r="Q136" s="23"/>
      <c r="R136" s="96" t="s">
        <v>24</v>
      </c>
      <c r="S136" s="23"/>
      <c r="T136" s="96" t="s">
        <v>25</v>
      </c>
      <c r="U136" s="23"/>
      <c r="V136" s="96" t="s">
        <v>26</v>
      </c>
      <c r="W136" s="10"/>
      <c r="X136" s="10"/>
      <c r="Y136" s="23"/>
      <c r="Z136" s="95" t="s">
        <v>986</v>
      </c>
    </row>
    <row r="137">
      <c r="B137" s="98" t="str">
        <f t="shared" ref="B137:B146" si="9">if(isblank(indirect("'Prepared Spells'!B"&amp;row())),,right(indirect("'Prepared Spells'!B"&amp;row()),len(indirect("'Prepared Spells'!B"&amp;row()))-2))</f>
        <v/>
      </c>
      <c r="C137" s="25"/>
      <c r="D137" s="128" t="str">
        <f>IFERROR(__xludf.DUMMYFUNCTION("if(isblank(indirect(""B""&amp;row())),,FILTER(SuperList,'Spell List'!$C$16:$C$246=indirect(""B""&amp;row())))"),"")</f>
        <v/>
      </c>
      <c r="E137" s="18"/>
      <c r="F137" s="100"/>
      <c r="G137" s="18"/>
      <c r="H137" s="108"/>
      <c r="I137" s="18"/>
      <c r="J137" s="100"/>
      <c r="K137" s="18"/>
      <c r="L137" s="100"/>
      <c r="M137" s="18"/>
      <c r="N137" s="100"/>
      <c r="O137" s="18"/>
      <c r="P137" s="100"/>
      <c r="Q137" s="18"/>
      <c r="R137" s="100"/>
      <c r="S137" s="18"/>
      <c r="T137" s="100"/>
      <c r="U137" s="18"/>
      <c r="V137" s="101"/>
      <c r="W137" s="4"/>
      <c r="X137" s="4"/>
      <c r="Y137" s="18"/>
      <c r="Z137" s="90"/>
    </row>
    <row r="138">
      <c r="B138" s="102" t="str">
        <f t="shared" si="9"/>
        <v/>
      </c>
      <c r="C138" s="43"/>
      <c r="D138" s="129" t="str">
        <f>IFERROR(__xludf.DUMMYFUNCTION("if(isblank(indirect(""B""&amp;row())),,FILTER(SuperList,'Spell List'!$C$16:$C$246=indirect(""B""&amp;row())))"),"")</f>
        <v/>
      </c>
      <c r="E138" s="23"/>
      <c r="F138" s="104"/>
      <c r="G138" s="23"/>
      <c r="H138" s="22"/>
      <c r="I138" s="23"/>
      <c r="J138" s="104"/>
      <c r="K138" s="23"/>
      <c r="L138" s="104"/>
      <c r="M138" s="23"/>
      <c r="N138" s="104"/>
      <c r="O138" s="23"/>
      <c r="P138" s="104"/>
      <c r="Q138" s="23"/>
      <c r="R138" s="104"/>
      <c r="S138" s="23"/>
      <c r="T138" s="104"/>
      <c r="U138" s="23"/>
      <c r="V138" s="105"/>
      <c r="W138" s="10"/>
      <c r="X138" s="10"/>
      <c r="Y138" s="23"/>
      <c r="Z138" s="88"/>
    </row>
    <row r="139">
      <c r="B139" s="98" t="str">
        <f t="shared" si="9"/>
        <v/>
      </c>
      <c r="C139" s="25"/>
      <c r="D139" s="128" t="str">
        <f>IFERROR(__xludf.DUMMYFUNCTION("if(isblank(indirect(""B""&amp;row())),,FILTER(SuperList,'Spell List'!$C$16:$C$246=indirect(""B""&amp;row())))"),"")</f>
        <v/>
      </c>
      <c r="E139" s="18"/>
      <c r="F139" s="100"/>
      <c r="G139" s="18"/>
      <c r="H139" s="108"/>
      <c r="I139" s="18"/>
      <c r="J139" s="100"/>
      <c r="K139" s="18"/>
      <c r="L139" s="100"/>
      <c r="M139" s="18"/>
      <c r="N139" s="100"/>
      <c r="O139" s="18"/>
      <c r="P139" s="100"/>
      <c r="Q139" s="18"/>
      <c r="R139" s="100"/>
      <c r="S139" s="18"/>
      <c r="T139" s="100"/>
      <c r="U139" s="18"/>
      <c r="V139" s="101"/>
      <c r="W139" s="4"/>
      <c r="X139" s="4"/>
      <c r="Y139" s="18"/>
      <c r="Z139" s="91"/>
    </row>
    <row r="140">
      <c r="B140" s="102" t="str">
        <f t="shared" si="9"/>
        <v/>
      </c>
      <c r="C140" s="43"/>
      <c r="D140" s="129" t="str">
        <f>IFERROR(__xludf.DUMMYFUNCTION("if(isblank(indirect(""B""&amp;row())),,FILTER(SuperList,'Spell List'!$C$16:$C$246=indirect(""B""&amp;row())))"),"")</f>
        <v/>
      </c>
      <c r="E140" s="23"/>
      <c r="F140" s="104"/>
      <c r="G140" s="23"/>
      <c r="H140" s="22"/>
      <c r="I140" s="23"/>
      <c r="J140" s="104"/>
      <c r="K140" s="23"/>
      <c r="L140" s="104"/>
      <c r="M140" s="23"/>
      <c r="N140" s="104"/>
      <c r="O140" s="23"/>
      <c r="P140" s="104"/>
      <c r="Q140" s="23"/>
      <c r="R140" s="104"/>
      <c r="S140" s="23"/>
      <c r="T140" s="104"/>
      <c r="U140" s="23"/>
      <c r="V140" s="105"/>
      <c r="W140" s="10"/>
      <c r="X140" s="10"/>
      <c r="Y140" s="23"/>
      <c r="Z140" s="88"/>
    </row>
    <row r="141">
      <c r="B141" s="98" t="str">
        <f t="shared" si="9"/>
        <v/>
      </c>
      <c r="C141" s="25"/>
      <c r="D141" s="128" t="str">
        <f>IFERROR(__xludf.DUMMYFUNCTION("if(isblank(indirect(""B""&amp;row())),,FILTER(SuperList,'Spell List'!$C$16:$C$246=indirect(""B""&amp;row())))"),"")</f>
        <v/>
      </c>
      <c r="E141" s="18"/>
      <c r="F141" s="100"/>
      <c r="G141" s="18"/>
      <c r="H141" s="108"/>
      <c r="I141" s="18"/>
      <c r="J141" s="100"/>
      <c r="K141" s="18"/>
      <c r="L141" s="100"/>
      <c r="M141" s="18"/>
      <c r="N141" s="100"/>
      <c r="O141" s="18"/>
      <c r="P141" s="100"/>
      <c r="Q141" s="18"/>
      <c r="R141" s="100"/>
      <c r="S141" s="18"/>
      <c r="T141" s="100"/>
      <c r="U141" s="18"/>
      <c r="V141" s="101"/>
      <c r="W141" s="4"/>
      <c r="X141" s="4"/>
      <c r="Y141" s="18"/>
      <c r="Z141" s="91"/>
    </row>
    <row r="142">
      <c r="B142" s="102" t="str">
        <f t="shared" si="9"/>
        <v/>
      </c>
      <c r="C142" s="43"/>
      <c r="D142" s="129" t="str">
        <f>IFERROR(__xludf.DUMMYFUNCTION("if(isblank(indirect(""B""&amp;row())),,FILTER(SuperList,'Spell List'!$C$16:$C$246=indirect(""B""&amp;row())))"),"")</f>
        <v/>
      </c>
      <c r="E142" s="23"/>
      <c r="F142" s="104"/>
      <c r="G142" s="23"/>
      <c r="H142" s="22"/>
      <c r="I142" s="23"/>
      <c r="J142" s="104"/>
      <c r="K142" s="23"/>
      <c r="L142" s="104"/>
      <c r="M142" s="23"/>
      <c r="N142" s="104"/>
      <c r="O142" s="23"/>
      <c r="P142" s="104"/>
      <c r="Q142" s="23"/>
      <c r="R142" s="104"/>
      <c r="S142" s="23"/>
      <c r="T142" s="104"/>
      <c r="U142" s="23"/>
      <c r="V142" s="105"/>
      <c r="W142" s="10"/>
      <c r="X142" s="10"/>
      <c r="Y142" s="23"/>
      <c r="Z142" s="88"/>
    </row>
    <row r="143">
      <c r="B143" s="98" t="str">
        <f t="shared" si="9"/>
        <v/>
      </c>
      <c r="C143" s="25"/>
      <c r="D143" s="128" t="str">
        <f>IFERROR(__xludf.DUMMYFUNCTION("if(isblank(indirect(""B""&amp;row())),,FILTER(SuperList,'Spell List'!$C$16:$C$246=indirect(""B""&amp;row())))"),"")</f>
        <v/>
      </c>
      <c r="E143" s="18"/>
      <c r="F143" s="100"/>
      <c r="G143" s="18"/>
      <c r="H143" s="108"/>
      <c r="I143" s="18"/>
      <c r="J143" s="100"/>
      <c r="K143" s="18"/>
      <c r="L143" s="100"/>
      <c r="M143" s="18"/>
      <c r="N143" s="100"/>
      <c r="O143" s="18"/>
      <c r="P143" s="100"/>
      <c r="Q143" s="18"/>
      <c r="R143" s="100"/>
      <c r="S143" s="18"/>
      <c r="T143" s="100"/>
      <c r="U143" s="18"/>
      <c r="V143" s="101"/>
      <c r="W143" s="4"/>
      <c r="X143" s="4"/>
      <c r="Y143" s="18"/>
      <c r="Z143" s="91"/>
    </row>
    <row r="144">
      <c r="B144" s="102" t="str">
        <f t="shared" si="9"/>
        <v/>
      </c>
      <c r="C144" s="43"/>
      <c r="D144" s="129" t="str">
        <f>IFERROR(__xludf.DUMMYFUNCTION("if(isblank(indirect(""B""&amp;row())),,FILTER(SuperList,'Spell List'!$C$16:$C$246=indirect(""B""&amp;row())))"),"")</f>
        <v/>
      </c>
      <c r="E144" s="23"/>
      <c r="F144" s="104"/>
      <c r="G144" s="23"/>
      <c r="H144" s="22"/>
      <c r="I144" s="23"/>
      <c r="J144" s="104"/>
      <c r="K144" s="23"/>
      <c r="L144" s="104"/>
      <c r="M144" s="23"/>
      <c r="N144" s="104"/>
      <c r="O144" s="23"/>
      <c r="P144" s="104"/>
      <c r="Q144" s="23"/>
      <c r="R144" s="104"/>
      <c r="S144" s="23"/>
      <c r="T144" s="104"/>
      <c r="U144" s="23"/>
      <c r="V144" s="105"/>
      <c r="W144" s="10"/>
      <c r="X144" s="10"/>
      <c r="Y144" s="23"/>
      <c r="Z144" s="88"/>
    </row>
    <row r="145">
      <c r="B145" s="98" t="str">
        <f t="shared" si="9"/>
        <v/>
      </c>
      <c r="C145" s="25"/>
      <c r="D145" s="128" t="str">
        <f>IFERROR(__xludf.DUMMYFUNCTION("if(isblank(indirect(""B""&amp;row())),,FILTER(SuperList,'Spell List'!$C$16:$C$246=indirect(""B""&amp;row())))"),"")</f>
        <v/>
      </c>
      <c r="E145" s="18"/>
      <c r="F145" s="100"/>
      <c r="G145" s="18"/>
      <c r="H145" s="108"/>
      <c r="I145" s="18"/>
      <c r="J145" s="100"/>
      <c r="K145" s="18"/>
      <c r="L145" s="100"/>
      <c r="M145" s="18"/>
      <c r="N145" s="100"/>
      <c r="O145" s="18"/>
      <c r="P145" s="100"/>
      <c r="Q145" s="18"/>
      <c r="R145" s="100"/>
      <c r="S145" s="18"/>
      <c r="T145" s="100"/>
      <c r="U145" s="18"/>
      <c r="V145" s="101"/>
      <c r="W145" s="4"/>
      <c r="X145" s="4"/>
      <c r="Y145" s="18"/>
      <c r="Z145" s="91"/>
    </row>
    <row r="146">
      <c r="B146" s="102" t="str">
        <f t="shared" si="9"/>
        <v/>
      </c>
      <c r="C146" s="43"/>
      <c r="D146" s="129" t="str">
        <f>IFERROR(__xludf.DUMMYFUNCTION("if(isblank(indirect(""B""&amp;row())),,FILTER(SuperList,'Spell List'!$C$16:$C$246=indirect(""B""&amp;row())))"),"")</f>
        <v/>
      </c>
      <c r="E146" s="23"/>
      <c r="F146" s="104"/>
      <c r="G146" s="23"/>
      <c r="H146" s="22"/>
      <c r="I146" s="23"/>
      <c r="J146" s="104"/>
      <c r="K146" s="23"/>
      <c r="L146" s="104"/>
      <c r="M146" s="23"/>
      <c r="N146" s="104"/>
      <c r="O146" s="23"/>
      <c r="P146" s="104"/>
      <c r="Q146" s="23"/>
      <c r="R146" s="104"/>
      <c r="S146" s="23"/>
      <c r="T146" s="104"/>
      <c r="U146" s="23"/>
      <c r="V146" s="105"/>
      <c r="W146" s="10"/>
      <c r="X146" s="10"/>
      <c r="Y146" s="23"/>
      <c r="Z146" s="88"/>
    </row>
    <row r="147">
      <c r="B147" s="94" t="s">
        <v>43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0" t="s">
        <v>14</v>
      </c>
      <c r="W147" s="4"/>
      <c r="X147" s="18"/>
      <c r="Y147" s="127" t="str">
        <f>SUM(Z149)&amp;"/"&amp;if(dget(base_spells,"8th",F2:F3),1,0)</f>
        <v>0/0</v>
      </c>
      <c r="Z147" s="120"/>
    </row>
    <row r="148">
      <c r="B148" s="95" t="s">
        <v>15</v>
      </c>
      <c r="C148" s="95"/>
      <c r="D148" s="96" t="s">
        <v>17</v>
      </c>
      <c r="E148" s="23"/>
      <c r="F148" s="96" t="s">
        <v>18</v>
      </c>
      <c r="G148" s="23"/>
      <c r="H148" s="96" t="s">
        <v>19</v>
      </c>
      <c r="I148" s="23"/>
      <c r="J148" s="96" t="s">
        <v>20</v>
      </c>
      <c r="K148" s="23"/>
      <c r="L148" s="96" t="s">
        <v>21</v>
      </c>
      <c r="M148" s="23"/>
      <c r="N148" s="96" t="s">
        <v>22</v>
      </c>
      <c r="O148" s="23"/>
      <c r="P148" s="96" t="s">
        <v>23</v>
      </c>
      <c r="Q148" s="23"/>
      <c r="R148" s="96" t="s">
        <v>24</v>
      </c>
      <c r="S148" s="23"/>
      <c r="T148" s="96" t="s">
        <v>25</v>
      </c>
      <c r="U148" s="23"/>
      <c r="V148" s="96" t="s">
        <v>26</v>
      </c>
      <c r="W148" s="10"/>
      <c r="X148" s="10"/>
      <c r="Y148" s="23"/>
      <c r="Z148" s="95" t="s">
        <v>986</v>
      </c>
    </row>
    <row r="149">
      <c r="B149" s="98" t="str">
        <f>if(isblank(indirect("'Prepared Spells'!B"&amp;row())),,right(indirect("'Prepared Spells'!B"&amp;row()),len(indirect("'Prepared Spells'!B"&amp;row()))-2))</f>
        <v/>
      </c>
      <c r="C149" s="25"/>
      <c r="D149" s="128" t="str">
        <f>IFERROR(__xludf.DUMMYFUNCTION("if(isblank(indirect(""B""&amp;row())),,FILTER(DSuperList,DList!$C$4:$C$21=indirect(""B""&amp;row())))"),"")</f>
        <v/>
      </c>
      <c r="E149" s="18"/>
      <c r="F149" s="100"/>
      <c r="G149" s="18"/>
      <c r="H149" s="108"/>
      <c r="I149" s="18"/>
      <c r="J149" s="100"/>
      <c r="K149" s="18"/>
      <c r="L149" s="100"/>
      <c r="M149" s="18"/>
      <c r="N149" s="100"/>
      <c r="O149" s="18"/>
      <c r="P149" s="100"/>
      <c r="Q149" s="18"/>
      <c r="R149" s="100"/>
      <c r="S149" s="18"/>
      <c r="T149" s="100"/>
      <c r="U149" s="18"/>
      <c r="V149" s="101"/>
      <c r="W149" s="4"/>
      <c r="X149" s="4"/>
      <c r="Y149" s="18"/>
      <c r="Z149" s="90"/>
    </row>
    <row r="151">
      <c r="B151" s="94" t="s">
        <v>44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0" t="s">
        <v>14</v>
      </c>
      <c r="W151" s="4"/>
      <c r="X151" s="18"/>
      <c r="Y151" s="127" t="str">
        <f>SUM(Z153:Z162)&amp;"/"&amp;if(dget(base_spells,"9th",F2:F3),dget(base_spells,"9th",F2:F3)+dget(bonus_spells,"9th",H2:H3),0)</f>
        <v>0/0</v>
      </c>
      <c r="Z151" s="120"/>
    </row>
    <row r="152">
      <c r="B152" s="95" t="s">
        <v>15</v>
      </c>
      <c r="C152" s="95"/>
      <c r="D152" s="96" t="s">
        <v>17</v>
      </c>
      <c r="E152" s="23"/>
      <c r="F152" s="96" t="s">
        <v>18</v>
      </c>
      <c r="G152" s="23"/>
      <c r="H152" s="96" t="s">
        <v>19</v>
      </c>
      <c r="I152" s="23"/>
      <c r="J152" s="96" t="s">
        <v>20</v>
      </c>
      <c r="K152" s="23"/>
      <c r="L152" s="96" t="s">
        <v>21</v>
      </c>
      <c r="M152" s="23"/>
      <c r="N152" s="96" t="s">
        <v>22</v>
      </c>
      <c r="O152" s="23"/>
      <c r="P152" s="96" t="s">
        <v>23</v>
      </c>
      <c r="Q152" s="23"/>
      <c r="R152" s="96" t="s">
        <v>24</v>
      </c>
      <c r="S152" s="23"/>
      <c r="T152" s="96" t="s">
        <v>25</v>
      </c>
      <c r="U152" s="23"/>
      <c r="V152" s="96" t="s">
        <v>26</v>
      </c>
      <c r="W152" s="10"/>
      <c r="X152" s="10"/>
      <c r="Y152" s="23"/>
      <c r="Z152" s="95" t="s">
        <v>986</v>
      </c>
    </row>
    <row r="153">
      <c r="B153" s="98" t="str">
        <f t="shared" ref="B153:B162" si="10">if(isblank(indirect("'Prepared Spells'!B"&amp;row())),,right(indirect("'Prepared Spells'!B"&amp;row()),len(indirect("'Prepared Spells'!B"&amp;row()))-2))</f>
        <v/>
      </c>
      <c r="C153" s="25"/>
      <c r="D153" s="128" t="str">
        <f>IFERROR(__xludf.DUMMYFUNCTION("if(isblank(indirect(""B""&amp;row())),,FILTER(SuperList,'Spell List'!$C$16:$C$246=indirect(""B""&amp;row())))"),"")</f>
        <v/>
      </c>
      <c r="E153" s="18"/>
      <c r="F153" s="100"/>
      <c r="G153" s="18"/>
      <c r="H153" s="108"/>
      <c r="I153" s="18"/>
      <c r="J153" s="100"/>
      <c r="K153" s="18"/>
      <c r="L153" s="100"/>
      <c r="M153" s="18"/>
      <c r="N153" s="100"/>
      <c r="O153" s="18"/>
      <c r="P153" s="100"/>
      <c r="Q153" s="18"/>
      <c r="R153" s="100"/>
      <c r="S153" s="18"/>
      <c r="T153" s="100"/>
      <c r="U153" s="18"/>
      <c r="V153" s="101"/>
      <c r="W153" s="4"/>
      <c r="X153" s="4"/>
      <c r="Y153" s="18"/>
      <c r="Z153" s="90"/>
    </row>
    <row r="154">
      <c r="B154" s="102" t="str">
        <f t="shared" si="10"/>
        <v/>
      </c>
      <c r="C154" s="43"/>
      <c r="D154" s="129" t="str">
        <f>IFERROR(__xludf.DUMMYFUNCTION("if(isblank(indirect(""B""&amp;row())),,FILTER(SuperList,'Spell List'!$C$16:$C$246=indirect(""B""&amp;row())))"),"")</f>
        <v/>
      </c>
      <c r="E154" s="23"/>
      <c r="F154" s="104"/>
      <c r="G154" s="23"/>
      <c r="H154" s="22"/>
      <c r="I154" s="23"/>
      <c r="J154" s="104"/>
      <c r="K154" s="23"/>
      <c r="L154" s="104"/>
      <c r="M154" s="23"/>
      <c r="N154" s="104"/>
      <c r="O154" s="23"/>
      <c r="P154" s="104"/>
      <c r="Q154" s="23"/>
      <c r="R154" s="104"/>
      <c r="S154" s="23"/>
      <c r="T154" s="104"/>
      <c r="U154" s="23"/>
      <c r="V154" s="105"/>
      <c r="W154" s="10"/>
      <c r="X154" s="10"/>
      <c r="Y154" s="23"/>
      <c r="Z154" s="88"/>
    </row>
    <row r="155">
      <c r="B155" s="98" t="str">
        <f t="shared" si="10"/>
        <v/>
      </c>
      <c r="C155" s="25"/>
      <c r="D155" s="128" t="str">
        <f>IFERROR(__xludf.DUMMYFUNCTION("if(isblank(indirect(""B""&amp;row())),,FILTER(SuperList,'Spell List'!$C$16:$C$246=indirect(""B""&amp;row())))"),"")</f>
        <v/>
      </c>
      <c r="E155" s="18"/>
      <c r="F155" s="100"/>
      <c r="G155" s="18"/>
      <c r="H155" s="108"/>
      <c r="I155" s="18"/>
      <c r="J155" s="100"/>
      <c r="K155" s="18"/>
      <c r="L155" s="100"/>
      <c r="M155" s="18"/>
      <c r="N155" s="100"/>
      <c r="O155" s="18"/>
      <c r="P155" s="100"/>
      <c r="Q155" s="18"/>
      <c r="R155" s="100"/>
      <c r="S155" s="18"/>
      <c r="T155" s="100"/>
      <c r="U155" s="18"/>
      <c r="V155" s="101"/>
      <c r="W155" s="4"/>
      <c r="X155" s="4"/>
      <c r="Y155" s="18"/>
      <c r="Z155" s="91"/>
    </row>
    <row r="156">
      <c r="B156" s="102" t="str">
        <f t="shared" si="10"/>
        <v/>
      </c>
      <c r="C156" s="43"/>
      <c r="D156" s="129" t="str">
        <f>IFERROR(__xludf.DUMMYFUNCTION("if(isblank(indirect(""B""&amp;row())),,FILTER(SuperList,'Spell List'!$C$16:$C$246=indirect(""B""&amp;row())))"),"")</f>
        <v/>
      </c>
      <c r="E156" s="23"/>
      <c r="F156" s="104"/>
      <c r="G156" s="23"/>
      <c r="H156" s="22"/>
      <c r="I156" s="23"/>
      <c r="J156" s="104"/>
      <c r="K156" s="23"/>
      <c r="L156" s="104"/>
      <c r="M156" s="23"/>
      <c r="N156" s="104"/>
      <c r="O156" s="23"/>
      <c r="P156" s="104"/>
      <c r="Q156" s="23"/>
      <c r="R156" s="104"/>
      <c r="S156" s="23"/>
      <c r="T156" s="104"/>
      <c r="U156" s="23"/>
      <c r="V156" s="105"/>
      <c r="W156" s="10"/>
      <c r="X156" s="10"/>
      <c r="Y156" s="23"/>
      <c r="Z156" s="88"/>
    </row>
    <row r="157">
      <c r="B157" s="98" t="str">
        <f t="shared" si="10"/>
        <v/>
      </c>
      <c r="C157" s="25"/>
      <c r="D157" s="128" t="str">
        <f>IFERROR(__xludf.DUMMYFUNCTION("if(isblank(indirect(""B""&amp;row())),,FILTER(SuperList,'Spell List'!$C$16:$C$246=indirect(""B""&amp;row())))"),"")</f>
        <v/>
      </c>
      <c r="E157" s="18"/>
      <c r="F157" s="100"/>
      <c r="G157" s="18"/>
      <c r="H157" s="108"/>
      <c r="I157" s="18"/>
      <c r="J157" s="100"/>
      <c r="K157" s="18"/>
      <c r="L157" s="100"/>
      <c r="M157" s="18"/>
      <c r="N157" s="100"/>
      <c r="O157" s="18"/>
      <c r="P157" s="100"/>
      <c r="Q157" s="18"/>
      <c r="R157" s="100"/>
      <c r="S157" s="18"/>
      <c r="T157" s="100"/>
      <c r="U157" s="18"/>
      <c r="V157" s="101"/>
      <c r="W157" s="4"/>
      <c r="X157" s="4"/>
      <c r="Y157" s="18"/>
      <c r="Z157" s="91"/>
    </row>
    <row r="158">
      <c r="B158" s="102" t="str">
        <f t="shared" si="10"/>
        <v/>
      </c>
      <c r="C158" s="43"/>
      <c r="D158" s="129" t="str">
        <f>IFERROR(__xludf.DUMMYFUNCTION("if(isblank(indirect(""B""&amp;row())),,FILTER(SuperList,'Spell List'!$C$16:$C$246=indirect(""B""&amp;row())))"),"")</f>
        <v/>
      </c>
      <c r="E158" s="23"/>
      <c r="F158" s="104"/>
      <c r="G158" s="23"/>
      <c r="H158" s="22"/>
      <c r="I158" s="23"/>
      <c r="J158" s="104"/>
      <c r="K158" s="23"/>
      <c r="L158" s="104"/>
      <c r="M158" s="23"/>
      <c r="N158" s="104"/>
      <c r="O158" s="23"/>
      <c r="P158" s="104"/>
      <c r="Q158" s="23"/>
      <c r="R158" s="104"/>
      <c r="S158" s="23"/>
      <c r="T158" s="104"/>
      <c r="U158" s="23"/>
      <c r="V158" s="105"/>
      <c r="W158" s="10"/>
      <c r="X158" s="10"/>
      <c r="Y158" s="23"/>
      <c r="Z158" s="88"/>
    </row>
    <row r="159">
      <c r="B159" s="98" t="str">
        <f t="shared" si="10"/>
        <v/>
      </c>
      <c r="C159" s="25"/>
      <c r="D159" s="128" t="str">
        <f>IFERROR(__xludf.DUMMYFUNCTION("if(isblank(indirect(""B""&amp;row())),,FILTER(SuperList,'Spell List'!$C$16:$C$246=indirect(""B""&amp;row())))"),"")</f>
        <v/>
      </c>
      <c r="E159" s="18"/>
      <c r="F159" s="100"/>
      <c r="G159" s="18"/>
      <c r="H159" s="108"/>
      <c r="I159" s="18"/>
      <c r="J159" s="100"/>
      <c r="K159" s="18"/>
      <c r="L159" s="100"/>
      <c r="M159" s="18"/>
      <c r="N159" s="100"/>
      <c r="O159" s="18"/>
      <c r="P159" s="100"/>
      <c r="Q159" s="18"/>
      <c r="R159" s="100"/>
      <c r="S159" s="18"/>
      <c r="T159" s="100"/>
      <c r="U159" s="18"/>
      <c r="V159" s="101"/>
      <c r="W159" s="4"/>
      <c r="X159" s="4"/>
      <c r="Y159" s="18"/>
      <c r="Z159" s="91"/>
    </row>
    <row r="160">
      <c r="B160" s="102" t="str">
        <f t="shared" si="10"/>
        <v/>
      </c>
      <c r="C160" s="43"/>
      <c r="D160" s="129" t="str">
        <f>IFERROR(__xludf.DUMMYFUNCTION("if(isblank(indirect(""B""&amp;row())),,FILTER(SuperList,'Spell List'!$C$16:$C$246=indirect(""B""&amp;row())))"),"")</f>
        <v/>
      </c>
      <c r="E160" s="23"/>
      <c r="F160" s="104"/>
      <c r="G160" s="23"/>
      <c r="H160" s="22"/>
      <c r="I160" s="23"/>
      <c r="J160" s="104"/>
      <c r="K160" s="23"/>
      <c r="L160" s="104"/>
      <c r="M160" s="23"/>
      <c r="N160" s="104"/>
      <c r="O160" s="23"/>
      <c r="P160" s="104"/>
      <c r="Q160" s="23"/>
      <c r="R160" s="104"/>
      <c r="S160" s="23"/>
      <c r="T160" s="104"/>
      <c r="U160" s="23"/>
      <c r="V160" s="105"/>
      <c r="W160" s="10"/>
      <c r="X160" s="10"/>
      <c r="Y160" s="23"/>
      <c r="Z160" s="88"/>
    </row>
    <row r="161">
      <c r="B161" s="98" t="str">
        <f t="shared" si="10"/>
        <v/>
      </c>
      <c r="C161" s="25"/>
      <c r="D161" s="128" t="str">
        <f>IFERROR(__xludf.DUMMYFUNCTION("if(isblank(indirect(""B""&amp;row())),,FILTER(SuperList,'Spell List'!$C$16:$C$246=indirect(""B""&amp;row())))"),"")</f>
        <v/>
      </c>
      <c r="E161" s="18"/>
      <c r="F161" s="100"/>
      <c r="G161" s="18"/>
      <c r="H161" s="108"/>
      <c r="I161" s="18"/>
      <c r="J161" s="100"/>
      <c r="K161" s="18"/>
      <c r="L161" s="100"/>
      <c r="M161" s="18"/>
      <c r="N161" s="100"/>
      <c r="O161" s="18"/>
      <c r="P161" s="100"/>
      <c r="Q161" s="18"/>
      <c r="R161" s="100"/>
      <c r="S161" s="18"/>
      <c r="T161" s="100"/>
      <c r="U161" s="18"/>
      <c r="V161" s="101"/>
      <c r="W161" s="4"/>
      <c r="X161" s="4"/>
      <c r="Y161" s="18"/>
      <c r="Z161" s="91"/>
    </row>
    <row r="162">
      <c r="B162" s="102" t="str">
        <f t="shared" si="10"/>
        <v/>
      </c>
      <c r="C162" s="43"/>
      <c r="D162" s="129" t="str">
        <f>IFERROR(__xludf.DUMMYFUNCTION("if(isblank(indirect(""B""&amp;row())),,FILTER(SuperList,'Spell List'!$C$16:$C$246=indirect(""B""&amp;row())))"),"")</f>
        <v/>
      </c>
      <c r="E162" s="23"/>
      <c r="F162" s="104"/>
      <c r="G162" s="23"/>
      <c r="H162" s="22"/>
      <c r="I162" s="23"/>
      <c r="J162" s="104"/>
      <c r="K162" s="23"/>
      <c r="L162" s="104"/>
      <c r="M162" s="23"/>
      <c r="N162" s="104"/>
      <c r="O162" s="23"/>
      <c r="P162" s="104"/>
      <c r="Q162" s="23"/>
      <c r="R162" s="104"/>
      <c r="S162" s="23"/>
      <c r="T162" s="104"/>
      <c r="U162" s="23"/>
      <c r="V162" s="105"/>
      <c r="W162" s="10"/>
      <c r="X162" s="10"/>
      <c r="Y162" s="23"/>
      <c r="Z162" s="88"/>
    </row>
    <row r="163">
      <c r="B163" s="94" t="s">
        <v>45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0" t="s">
        <v>14</v>
      </c>
      <c r="W163" s="4"/>
      <c r="X163" s="18"/>
      <c r="Y163" s="127" t="str">
        <f>SUM(Z165)&amp;"/"&amp;if(dget(base_spells,"9th",F2:F3),1,0)</f>
        <v>0/0</v>
      </c>
      <c r="Z163" s="120"/>
    </row>
    <row r="164">
      <c r="B164" s="95" t="s">
        <v>15</v>
      </c>
      <c r="C164" s="95"/>
      <c r="D164" s="96" t="s">
        <v>17</v>
      </c>
      <c r="E164" s="23"/>
      <c r="F164" s="96" t="s">
        <v>18</v>
      </c>
      <c r="G164" s="23"/>
      <c r="H164" s="96" t="s">
        <v>19</v>
      </c>
      <c r="I164" s="23"/>
      <c r="J164" s="96" t="s">
        <v>20</v>
      </c>
      <c r="K164" s="23"/>
      <c r="L164" s="96" t="s">
        <v>21</v>
      </c>
      <c r="M164" s="23"/>
      <c r="N164" s="96" t="s">
        <v>22</v>
      </c>
      <c r="O164" s="23"/>
      <c r="P164" s="96" t="s">
        <v>23</v>
      </c>
      <c r="Q164" s="23"/>
      <c r="R164" s="96" t="s">
        <v>24</v>
      </c>
      <c r="S164" s="23"/>
      <c r="T164" s="96" t="s">
        <v>25</v>
      </c>
      <c r="U164" s="23"/>
      <c r="V164" s="96" t="s">
        <v>26</v>
      </c>
      <c r="W164" s="10"/>
      <c r="X164" s="10"/>
      <c r="Y164" s="23"/>
      <c r="Z164" s="95" t="s">
        <v>986</v>
      </c>
    </row>
    <row r="165">
      <c r="B165" s="98" t="str">
        <f>if(isblank(indirect("'Prepared Spells'!B"&amp;row())),,right(indirect("'Prepared Spells'!B"&amp;row()),len(indirect("'Prepared Spells'!B"&amp;row()))-2))</f>
        <v/>
      </c>
      <c r="C165" s="25"/>
      <c r="D165" s="128" t="str">
        <f>IFERROR(__xludf.DUMMYFUNCTION("if(isblank(indirect(""B""&amp;row())),,FILTER(DSuperList,DList!$C$4:$C$21=indirect(""B""&amp;row())))"),"")</f>
        <v/>
      </c>
      <c r="E165" s="18"/>
      <c r="F165" s="100"/>
      <c r="G165" s="18"/>
      <c r="H165" s="108"/>
      <c r="I165" s="18"/>
      <c r="J165" s="100"/>
      <c r="K165" s="18"/>
      <c r="L165" s="100"/>
      <c r="M165" s="18"/>
      <c r="N165" s="100"/>
      <c r="O165" s="18"/>
      <c r="P165" s="100"/>
      <c r="Q165" s="18"/>
      <c r="R165" s="100"/>
      <c r="S165" s="18"/>
      <c r="T165" s="100"/>
      <c r="U165" s="18"/>
      <c r="V165" s="101"/>
      <c r="W165" s="4"/>
      <c r="X165" s="4"/>
      <c r="Y165" s="18"/>
      <c r="Z165" s="90"/>
    </row>
  </sheetData>
  <mergeCells count="1289">
    <mergeCell ref="R97:S97"/>
    <mergeCell ref="T97:U97"/>
    <mergeCell ref="V97:Y97"/>
    <mergeCell ref="D97:E97"/>
    <mergeCell ref="F97:G97"/>
    <mergeCell ref="H97:I97"/>
    <mergeCell ref="J97:K97"/>
    <mergeCell ref="L97:M97"/>
    <mergeCell ref="N97:O97"/>
    <mergeCell ref="P97:Q97"/>
    <mergeCell ref="R98:S98"/>
    <mergeCell ref="T98:U98"/>
    <mergeCell ref="V98:Y98"/>
    <mergeCell ref="D98:E98"/>
    <mergeCell ref="F98:G98"/>
    <mergeCell ref="H98:I98"/>
    <mergeCell ref="J98:K98"/>
    <mergeCell ref="L98:M98"/>
    <mergeCell ref="N98:O98"/>
    <mergeCell ref="P98:Q98"/>
    <mergeCell ref="R100:S100"/>
    <mergeCell ref="T100:U100"/>
    <mergeCell ref="B99:U99"/>
    <mergeCell ref="V99:X99"/>
    <mergeCell ref="D100:E100"/>
    <mergeCell ref="F100:G100"/>
    <mergeCell ref="H100:I100"/>
    <mergeCell ref="J100:K100"/>
    <mergeCell ref="L100:M100"/>
    <mergeCell ref="R91:S91"/>
    <mergeCell ref="T91:U91"/>
    <mergeCell ref="V91:Y91"/>
    <mergeCell ref="D91:E91"/>
    <mergeCell ref="F91:G91"/>
    <mergeCell ref="H91:I91"/>
    <mergeCell ref="J91:K91"/>
    <mergeCell ref="L91:M91"/>
    <mergeCell ref="N91:O91"/>
    <mergeCell ref="P91:Q91"/>
    <mergeCell ref="R92:S92"/>
    <mergeCell ref="T92:U92"/>
    <mergeCell ref="V92:Y92"/>
    <mergeCell ref="D92:E92"/>
    <mergeCell ref="F92:G92"/>
    <mergeCell ref="H92:I92"/>
    <mergeCell ref="J92:K92"/>
    <mergeCell ref="L92:M92"/>
    <mergeCell ref="N92:O92"/>
    <mergeCell ref="P92:Q92"/>
    <mergeCell ref="R93:S93"/>
    <mergeCell ref="T93:U93"/>
    <mergeCell ref="V93:Y93"/>
    <mergeCell ref="D93:E93"/>
    <mergeCell ref="F93:G93"/>
    <mergeCell ref="H93:I93"/>
    <mergeCell ref="J93:K93"/>
    <mergeCell ref="L93:M93"/>
    <mergeCell ref="N93:O93"/>
    <mergeCell ref="P93:Q93"/>
    <mergeCell ref="L101:M101"/>
    <mergeCell ref="N101:O101"/>
    <mergeCell ref="R106:S106"/>
    <mergeCell ref="T106:U106"/>
    <mergeCell ref="V106:Y106"/>
    <mergeCell ref="D106:E106"/>
    <mergeCell ref="F106:G106"/>
    <mergeCell ref="H106:I106"/>
    <mergeCell ref="J106:K106"/>
    <mergeCell ref="L106:M106"/>
    <mergeCell ref="N106:O106"/>
    <mergeCell ref="P106:Q106"/>
    <mergeCell ref="R107:S107"/>
    <mergeCell ref="T107:U107"/>
    <mergeCell ref="V107:Y107"/>
    <mergeCell ref="D107:E107"/>
    <mergeCell ref="F107:G107"/>
    <mergeCell ref="H107:I107"/>
    <mergeCell ref="J107:K107"/>
    <mergeCell ref="L107:M107"/>
    <mergeCell ref="N107:O107"/>
    <mergeCell ref="P107:Q107"/>
    <mergeCell ref="R108:S108"/>
    <mergeCell ref="T108:U108"/>
    <mergeCell ref="V108:Y108"/>
    <mergeCell ref="D108:E108"/>
    <mergeCell ref="F108:G108"/>
    <mergeCell ref="H108:I108"/>
    <mergeCell ref="J108:K108"/>
    <mergeCell ref="L108:M108"/>
    <mergeCell ref="N108:O108"/>
    <mergeCell ref="P108:Q108"/>
    <mergeCell ref="B103:U103"/>
    <mergeCell ref="V103:X103"/>
    <mergeCell ref="F104:G104"/>
    <mergeCell ref="H104:I104"/>
    <mergeCell ref="J104:K104"/>
    <mergeCell ref="L104:M104"/>
    <mergeCell ref="V104:Y104"/>
    <mergeCell ref="D104:E104"/>
    <mergeCell ref="D105:E105"/>
    <mergeCell ref="F105:G105"/>
    <mergeCell ref="H105:I105"/>
    <mergeCell ref="J105:K105"/>
    <mergeCell ref="L105:M105"/>
    <mergeCell ref="N105:O105"/>
    <mergeCell ref="R109:S109"/>
    <mergeCell ref="T109:U109"/>
    <mergeCell ref="V109:Y109"/>
    <mergeCell ref="D109:E109"/>
    <mergeCell ref="F109:G109"/>
    <mergeCell ref="H109:I109"/>
    <mergeCell ref="J109:K109"/>
    <mergeCell ref="L109:M109"/>
    <mergeCell ref="N109:O109"/>
    <mergeCell ref="P109:Q109"/>
    <mergeCell ref="R110:S110"/>
    <mergeCell ref="T110:U110"/>
    <mergeCell ref="V110:Y110"/>
    <mergeCell ref="D110:E110"/>
    <mergeCell ref="F110:G110"/>
    <mergeCell ref="H110:I110"/>
    <mergeCell ref="J110:K110"/>
    <mergeCell ref="L110:M110"/>
    <mergeCell ref="N110:O110"/>
    <mergeCell ref="P110:Q110"/>
    <mergeCell ref="R111:S111"/>
    <mergeCell ref="T111:U111"/>
    <mergeCell ref="V111:Y111"/>
    <mergeCell ref="D111:E111"/>
    <mergeCell ref="F111:G111"/>
    <mergeCell ref="H111:I111"/>
    <mergeCell ref="J111:K111"/>
    <mergeCell ref="L111:M111"/>
    <mergeCell ref="N111:O111"/>
    <mergeCell ref="P111:Q111"/>
    <mergeCell ref="R112:S112"/>
    <mergeCell ref="T112:U112"/>
    <mergeCell ref="V112:Y112"/>
    <mergeCell ref="D112:E112"/>
    <mergeCell ref="F112:G112"/>
    <mergeCell ref="H112:I112"/>
    <mergeCell ref="J112:K112"/>
    <mergeCell ref="L112:M112"/>
    <mergeCell ref="N112:O112"/>
    <mergeCell ref="P112:Q112"/>
    <mergeCell ref="P101:Q101"/>
    <mergeCell ref="R101:S101"/>
    <mergeCell ref="T101:U101"/>
    <mergeCell ref="V101:Y101"/>
    <mergeCell ref="N100:O100"/>
    <mergeCell ref="P100:Q100"/>
    <mergeCell ref="V100:Y100"/>
    <mergeCell ref="D101:E101"/>
    <mergeCell ref="F101:G101"/>
    <mergeCell ref="H101:I101"/>
    <mergeCell ref="J101:K101"/>
    <mergeCell ref="N104:O104"/>
    <mergeCell ref="P104:Q104"/>
    <mergeCell ref="R104:S104"/>
    <mergeCell ref="T104:U104"/>
    <mergeCell ref="P105:Q105"/>
    <mergeCell ref="R105:S105"/>
    <mergeCell ref="T105:U105"/>
    <mergeCell ref="V105:Y105"/>
    <mergeCell ref="R114:S114"/>
    <mergeCell ref="T114:U114"/>
    <mergeCell ref="V114:Y114"/>
    <mergeCell ref="D114:E114"/>
    <mergeCell ref="F114:G114"/>
    <mergeCell ref="H114:I114"/>
    <mergeCell ref="J114:K114"/>
    <mergeCell ref="L114:M114"/>
    <mergeCell ref="N114:O114"/>
    <mergeCell ref="P114:Q114"/>
    <mergeCell ref="R113:S113"/>
    <mergeCell ref="T113:U113"/>
    <mergeCell ref="V113:Y113"/>
    <mergeCell ref="D113:E113"/>
    <mergeCell ref="F113:G113"/>
    <mergeCell ref="H113:I113"/>
    <mergeCell ref="J113:K113"/>
    <mergeCell ref="L113:M113"/>
    <mergeCell ref="N113:O113"/>
    <mergeCell ref="P113:Q113"/>
    <mergeCell ref="N116:O116"/>
    <mergeCell ref="P116:Q116"/>
    <mergeCell ref="R116:S116"/>
    <mergeCell ref="T116:U116"/>
    <mergeCell ref="B115:U115"/>
    <mergeCell ref="V115:X115"/>
    <mergeCell ref="F116:G116"/>
    <mergeCell ref="H116:I116"/>
    <mergeCell ref="J116:K116"/>
    <mergeCell ref="L116:M116"/>
    <mergeCell ref="V116:Y116"/>
    <mergeCell ref="P117:Q117"/>
    <mergeCell ref="R117:S117"/>
    <mergeCell ref="T117:U117"/>
    <mergeCell ref="V117:Y117"/>
    <mergeCell ref="D116:E116"/>
    <mergeCell ref="D117:E117"/>
    <mergeCell ref="F117:G117"/>
    <mergeCell ref="H117:I117"/>
    <mergeCell ref="J117:K117"/>
    <mergeCell ref="L117:M117"/>
    <mergeCell ref="N117:O117"/>
    <mergeCell ref="R123:S123"/>
    <mergeCell ref="T123:U123"/>
    <mergeCell ref="V123:Y123"/>
    <mergeCell ref="D123:E123"/>
    <mergeCell ref="F123:G123"/>
    <mergeCell ref="H123:I123"/>
    <mergeCell ref="J123:K123"/>
    <mergeCell ref="L123:M123"/>
    <mergeCell ref="N123:O123"/>
    <mergeCell ref="P123:Q123"/>
    <mergeCell ref="R124:S124"/>
    <mergeCell ref="T124:U124"/>
    <mergeCell ref="V124:Y124"/>
    <mergeCell ref="D124:E124"/>
    <mergeCell ref="F124:G124"/>
    <mergeCell ref="H124:I124"/>
    <mergeCell ref="J124:K124"/>
    <mergeCell ref="L124:M124"/>
    <mergeCell ref="N124:O124"/>
    <mergeCell ref="P124:Q124"/>
    <mergeCell ref="R125:S125"/>
    <mergeCell ref="T125:U125"/>
    <mergeCell ref="V125:Y125"/>
    <mergeCell ref="D125:E125"/>
    <mergeCell ref="F125:G125"/>
    <mergeCell ref="H125:I125"/>
    <mergeCell ref="J125:K125"/>
    <mergeCell ref="L125:M125"/>
    <mergeCell ref="N125:O125"/>
    <mergeCell ref="P125:Q125"/>
    <mergeCell ref="L133:M133"/>
    <mergeCell ref="N133:O133"/>
    <mergeCell ref="R138:S138"/>
    <mergeCell ref="T138:U138"/>
    <mergeCell ref="V138:Y138"/>
    <mergeCell ref="D138:E138"/>
    <mergeCell ref="F138:G138"/>
    <mergeCell ref="H138:I138"/>
    <mergeCell ref="J138:K138"/>
    <mergeCell ref="L138:M138"/>
    <mergeCell ref="N138:O138"/>
    <mergeCell ref="P138:Q138"/>
    <mergeCell ref="R139:S139"/>
    <mergeCell ref="T139:U139"/>
    <mergeCell ref="V139:Y139"/>
    <mergeCell ref="D139:E139"/>
    <mergeCell ref="F139:G139"/>
    <mergeCell ref="H139:I139"/>
    <mergeCell ref="J139:K139"/>
    <mergeCell ref="L139:M139"/>
    <mergeCell ref="N139:O139"/>
    <mergeCell ref="P139:Q139"/>
    <mergeCell ref="R140:S140"/>
    <mergeCell ref="T140:U140"/>
    <mergeCell ref="V140:Y140"/>
    <mergeCell ref="D140:E140"/>
    <mergeCell ref="F140:G140"/>
    <mergeCell ref="H140:I140"/>
    <mergeCell ref="J140:K140"/>
    <mergeCell ref="L140:M140"/>
    <mergeCell ref="N140:O140"/>
    <mergeCell ref="P140:Q140"/>
    <mergeCell ref="R141:S141"/>
    <mergeCell ref="T141:U141"/>
    <mergeCell ref="V141:Y141"/>
    <mergeCell ref="D141:E141"/>
    <mergeCell ref="F141:G141"/>
    <mergeCell ref="H141:I141"/>
    <mergeCell ref="J141:K141"/>
    <mergeCell ref="L141:M141"/>
    <mergeCell ref="N141:O141"/>
    <mergeCell ref="P141:Q141"/>
    <mergeCell ref="R142:S142"/>
    <mergeCell ref="T142:U142"/>
    <mergeCell ref="V142:Y142"/>
    <mergeCell ref="D142:E142"/>
    <mergeCell ref="F142:G142"/>
    <mergeCell ref="H142:I142"/>
    <mergeCell ref="J142:K142"/>
    <mergeCell ref="L142:M142"/>
    <mergeCell ref="N142:O142"/>
    <mergeCell ref="P142:Q142"/>
    <mergeCell ref="R143:S143"/>
    <mergeCell ref="T143:U143"/>
    <mergeCell ref="V143:Y143"/>
    <mergeCell ref="D143:E143"/>
    <mergeCell ref="F143:G143"/>
    <mergeCell ref="H143:I143"/>
    <mergeCell ref="J143:K143"/>
    <mergeCell ref="L143:M143"/>
    <mergeCell ref="N143:O143"/>
    <mergeCell ref="P143:Q143"/>
    <mergeCell ref="R160:S160"/>
    <mergeCell ref="T160:U160"/>
    <mergeCell ref="V160:Y160"/>
    <mergeCell ref="D160:E160"/>
    <mergeCell ref="F160:G160"/>
    <mergeCell ref="H160:I160"/>
    <mergeCell ref="J160:K160"/>
    <mergeCell ref="L160:M160"/>
    <mergeCell ref="N160:O160"/>
    <mergeCell ref="P160:Q160"/>
    <mergeCell ref="R161:S161"/>
    <mergeCell ref="T161:U161"/>
    <mergeCell ref="V161:Y161"/>
    <mergeCell ref="D161:E161"/>
    <mergeCell ref="F161:G161"/>
    <mergeCell ref="H161:I161"/>
    <mergeCell ref="J161:K161"/>
    <mergeCell ref="L161:M161"/>
    <mergeCell ref="N161:O161"/>
    <mergeCell ref="P161:Q161"/>
    <mergeCell ref="R162:S162"/>
    <mergeCell ref="T162:U162"/>
    <mergeCell ref="V162:Y162"/>
    <mergeCell ref="D162:E162"/>
    <mergeCell ref="F162:G162"/>
    <mergeCell ref="H162:I162"/>
    <mergeCell ref="J162:K162"/>
    <mergeCell ref="L162:M162"/>
    <mergeCell ref="N162:O162"/>
    <mergeCell ref="P162:Q162"/>
    <mergeCell ref="R164:S164"/>
    <mergeCell ref="T164:U164"/>
    <mergeCell ref="B163:U163"/>
    <mergeCell ref="V163:X163"/>
    <mergeCell ref="D164:E164"/>
    <mergeCell ref="F164:G164"/>
    <mergeCell ref="H164:I164"/>
    <mergeCell ref="J164:K164"/>
    <mergeCell ref="L164:M164"/>
    <mergeCell ref="P165:Q165"/>
    <mergeCell ref="R165:S165"/>
    <mergeCell ref="T165:U165"/>
    <mergeCell ref="V165:Y165"/>
    <mergeCell ref="N164:O164"/>
    <mergeCell ref="P164:Q164"/>
    <mergeCell ref="V164:Y164"/>
    <mergeCell ref="D165:E165"/>
    <mergeCell ref="F165:G165"/>
    <mergeCell ref="H165:I165"/>
    <mergeCell ref="J165:K165"/>
    <mergeCell ref="R155:S155"/>
    <mergeCell ref="T155:U155"/>
    <mergeCell ref="V155:Y155"/>
    <mergeCell ref="D155:E155"/>
    <mergeCell ref="F155:G155"/>
    <mergeCell ref="H155:I155"/>
    <mergeCell ref="J155:K155"/>
    <mergeCell ref="L155:M155"/>
    <mergeCell ref="N155:O155"/>
    <mergeCell ref="P155:Q155"/>
    <mergeCell ref="R156:S156"/>
    <mergeCell ref="T156:U156"/>
    <mergeCell ref="V156:Y156"/>
    <mergeCell ref="D156:E156"/>
    <mergeCell ref="F156:G156"/>
    <mergeCell ref="H156:I156"/>
    <mergeCell ref="J156:K156"/>
    <mergeCell ref="L156:M156"/>
    <mergeCell ref="N156:O156"/>
    <mergeCell ref="P156:Q156"/>
    <mergeCell ref="R157:S157"/>
    <mergeCell ref="T157:U157"/>
    <mergeCell ref="V157:Y157"/>
    <mergeCell ref="D157:E157"/>
    <mergeCell ref="F157:G157"/>
    <mergeCell ref="H157:I157"/>
    <mergeCell ref="J157:K157"/>
    <mergeCell ref="L157:M157"/>
    <mergeCell ref="N157:O157"/>
    <mergeCell ref="P157:Q157"/>
    <mergeCell ref="L165:M165"/>
    <mergeCell ref="N165:O165"/>
    <mergeCell ref="B135:U135"/>
    <mergeCell ref="V135:X135"/>
    <mergeCell ref="F136:G136"/>
    <mergeCell ref="H136:I136"/>
    <mergeCell ref="J136:K136"/>
    <mergeCell ref="L136:M136"/>
    <mergeCell ref="V136:Y136"/>
    <mergeCell ref="D136:E136"/>
    <mergeCell ref="D137:E137"/>
    <mergeCell ref="F137:G137"/>
    <mergeCell ref="H137:I137"/>
    <mergeCell ref="J137:K137"/>
    <mergeCell ref="L137:M137"/>
    <mergeCell ref="N137:O137"/>
    <mergeCell ref="R144:S144"/>
    <mergeCell ref="T144:U144"/>
    <mergeCell ref="V144:Y144"/>
    <mergeCell ref="D144:E144"/>
    <mergeCell ref="F144:G144"/>
    <mergeCell ref="H144:I144"/>
    <mergeCell ref="J144:K144"/>
    <mergeCell ref="L144:M144"/>
    <mergeCell ref="N144:O144"/>
    <mergeCell ref="P144:Q144"/>
    <mergeCell ref="P133:Q133"/>
    <mergeCell ref="R133:S133"/>
    <mergeCell ref="T133:U133"/>
    <mergeCell ref="V133:Y133"/>
    <mergeCell ref="N132:O132"/>
    <mergeCell ref="P132:Q132"/>
    <mergeCell ref="V132:Y132"/>
    <mergeCell ref="D133:E133"/>
    <mergeCell ref="F133:G133"/>
    <mergeCell ref="H133:I133"/>
    <mergeCell ref="J133:K133"/>
    <mergeCell ref="N136:O136"/>
    <mergeCell ref="P136:Q136"/>
    <mergeCell ref="R136:S136"/>
    <mergeCell ref="T136:U136"/>
    <mergeCell ref="P137:Q137"/>
    <mergeCell ref="R137:S137"/>
    <mergeCell ref="T137:U137"/>
    <mergeCell ref="V137:Y137"/>
    <mergeCell ref="R146:S146"/>
    <mergeCell ref="T146:U146"/>
    <mergeCell ref="V146:Y146"/>
    <mergeCell ref="D146:E146"/>
    <mergeCell ref="F146:G146"/>
    <mergeCell ref="H146:I146"/>
    <mergeCell ref="J146:K146"/>
    <mergeCell ref="L146:M146"/>
    <mergeCell ref="N146:O146"/>
    <mergeCell ref="P146:Q146"/>
    <mergeCell ref="R145:S145"/>
    <mergeCell ref="T145:U145"/>
    <mergeCell ref="V145:Y145"/>
    <mergeCell ref="D145:E145"/>
    <mergeCell ref="F145:G145"/>
    <mergeCell ref="H145:I145"/>
    <mergeCell ref="J145:K145"/>
    <mergeCell ref="L145:M145"/>
    <mergeCell ref="N145:O145"/>
    <mergeCell ref="P145:Q145"/>
    <mergeCell ref="N148:O148"/>
    <mergeCell ref="P148:Q148"/>
    <mergeCell ref="R148:S148"/>
    <mergeCell ref="T148:U148"/>
    <mergeCell ref="B147:U147"/>
    <mergeCell ref="V147:X147"/>
    <mergeCell ref="F148:G148"/>
    <mergeCell ref="H148:I148"/>
    <mergeCell ref="J148:K148"/>
    <mergeCell ref="L148:M148"/>
    <mergeCell ref="V148:Y148"/>
    <mergeCell ref="P149:Q149"/>
    <mergeCell ref="R149:S149"/>
    <mergeCell ref="T149:U149"/>
    <mergeCell ref="V149:Y149"/>
    <mergeCell ref="D148:E148"/>
    <mergeCell ref="D149:E149"/>
    <mergeCell ref="F149:G149"/>
    <mergeCell ref="H149:I149"/>
    <mergeCell ref="J149:K149"/>
    <mergeCell ref="L149:M149"/>
    <mergeCell ref="N149:O149"/>
    <mergeCell ref="N152:O152"/>
    <mergeCell ref="P152:Q152"/>
    <mergeCell ref="R152:S152"/>
    <mergeCell ref="T152:U152"/>
    <mergeCell ref="B151:U151"/>
    <mergeCell ref="V151:X151"/>
    <mergeCell ref="F152:G152"/>
    <mergeCell ref="H152:I152"/>
    <mergeCell ref="J152:K152"/>
    <mergeCell ref="L152:M152"/>
    <mergeCell ref="V152:Y152"/>
    <mergeCell ref="P153:Q153"/>
    <mergeCell ref="R153:S153"/>
    <mergeCell ref="T153:U153"/>
    <mergeCell ref="V153:Y153"/>
    <mergeCell ref="D152:E152"/>
    <mergeCell ref="D153:E153"/>
    <mergeCell ref="F153:G153"/>
    <mergeCell ref="H153:I153"/>
    <mergeCell ref="J153:K153"/>
    <mergeCell ref="L153:M153"/>
    <mergeCell ref="N153:O153"/>
    <mergeCell ref="R154:S154"/>
    <mergeCell ref="T154:U154"/>
    <mergeCell ref="V154:Y154"/>
    <mergeCell ref="D154:E154"/>
    <mergeCell ref="F154:G154"/>
    <mergeCell ref="H154:I154"/>
    <mergeCell ref="J154:K154"/>
    <mergeCell ref="L154:M154"/>
    <mergeCell ref="N154:O154"/>
    <mergeCell ref="P154:Q154"/>
    <mergeCell ref="R158:S158"/>
    <mergeCell ref="T158:U158"/>
    <mergeCell ref="V158:Y158"/>
    <mergeCell ref="D158:E158"/>
    <mergeCell ref="F158:G158"/>
    <mergeCell ref="H158:I158"/>
    <mergeCell ref="J158:K158"/>
    <mergeCell ref="L158:M158"/>
    <mergeCell ref="N158:O158"/>
    <mergeCell ref="P158:Q158"/>
    <mergeCell ref="R159:S159"/>
    <mergeCell ref="T159:U159"/>
    <mergeCell ref="V159:Y159"/>
    <mergeCell ref="D159:E159"/>
    <mergeCell ref="F159:G159"/>
    <mergeCell ref="H159:I159"/>
    <mergeCell ref="J159:K159"/>
    <mergeCell ref="L159:M159"/>
    <mergeCell ref="N159:O159"/>
    <mergeCell ref="P159:Q159"/>
    <mergeCell ref="B2:D2"/>
    <mergeCell ref="B3:D3"/>
    <mergeCell ref="B4:D4"/>
    <mergeCell ref="B5:D5"/>
    <mergeCell ref="B6:D6"/>
    <mergeCell ref="B7:D7"/>
    <mergeCell ref="B8:D8"/>
    <mergeCell ref="N15:O15"/>
    <mergeCell ref="P15:Q15"/>
    <mergeCell ref="N16:O16"/>
    <mergeCell ref="P16:Q16"/>
    <mergeCell ref="R16:S16"/>
    <mergeCell ref="T16:U16"/>
    <mergeCell ref="R15:S15"/>
    <mergeCell ref="T15:U15"/>
    <mergeCell ref="V15:Y15"/>
    <mergeCell ref="V16:Y16"/>
    <mergeCell ref="B9:D9"/>
    <mergeCell ref="B10:D10"/>
    <mergeCell ref="B11:D11"/>
    <mergeCell ref="B12:D12"/>
    <mergeCell ref="B14:U14"/>
    <mergeCell ref="V14:X14"/>
    <mergeCell ref="D15:E15"/>
    <mergeCell ref="P17:Q17"/>
    <mergeCell ref="R17:S17"/>
    <mergeCell ref="T17:U17"/>
    <mergeCell ref="V17:Y17"/>
    <mergeCell ref="J15:K15"/>
    <mergeCell ref="L15:M15"/>
    <mergeCell ref="J16:K16"/>
    <mergeCell ref="L16:M16"/>
    <mergeCell ref="J17:K17"/>
    <mergeCell ref="L17:M17"/>
    <mergeCell ref="N17:O17"/>
    <mergeCell ref="F15:G15"/>
    <mergeCell ref="H15:I15"/>
    <mergeCell ref="D16:E16"/>
    <mergeCell ref="F16:G16"/>
    <mergeCell ref="H16:I16"/>
    <mergeCell ref="F17:G17"/>
    <mergeCell ref="H17:I17"/>
    <mergeCell ref="R21:S21"/>
    <mergeCell ref="T21:U21"/>
    <mergeCell ref="V21:Y21"/>
    <mergeCell ref="D21:E21"/>
    <mergeCell ref="F21:G21"/>
    <mergeCell ref="H21:I21"/>
    <mergeCell ref="J21:K21"/>
    <mergeCell ref="L21:M21"/>
    <mergeCell ref="N21:O21"/>
    <mergeCell ref="P21:Q21"/>
    <mergeCell ref="R24:S24"/>
    <mergeCell ref="T24:U24"/>
    <mergeCell ref="B23:U23"/>
    <mergeCell ref="V23:X23"/>
    <mergeCell ref="D24:E24"/>
    <mergeCell ref="F24:G24"/>
    <mergeCell ref="H24:I24"/>
    <mergeCell ref="J24:K24"/>
    <mergeCell ref="L24:M24"/>
    <mergeCell ref="P25:Q25"/>
    <mergeCell ref="R25:S25"/>
    <mergeCell ref="T25:U25"/>
    <mergeCell ref="V25:Y25"/>
    <mergeCell ref="N24:O24"/>
    <mergeCell ref="P24:Q24"/>
    <mergeCell ref="V24:Y24"/>
    <mergeCell ref="D25:E25"/>
    <mergeCell ref="F25:G25"/>
    <mergeCell ref="H25:I25"/>
    <mergeCell ref="J25:K25"/>
    <mergeCell ref="P18:Q18"/>
    <mergeCell ref="R18:S18"/>
    <mergeCell ref="T18:U18"/>
    <mergeCell ref="V18:Y18"/>
    <mergeCell ref="D17:E17"/>
    <mergeCell ref="D18:E18"/>
    <mergeCell ref="F18:G18"/>
    <mergeCell ref="H18:I18"/>
    <mergeCell ref="J18:K18"/>
    <mergeCell ref="L18:M18"/>
    <mergeCell ref="N18:O18"/>
    <mergeCell ref="R19:S19"/>
    <mergeCell ref="T19:U19"/>
    <mergeCell ref="V19:Y19"/>
    <mergeCell ref="D19:E19"/>
    <mergeCell ref="F19:G19"/>
    <mergeCell ref="H19:I19"/>
    <mergeCell ref="J19:K19"/>
    <mergeCell ref="L19:M19"/>
    <mergeCell ref="N19:O19"/>
    <mergeCell ref="P19:Q19"/>
    <mergeCell ref="R20:S20"/>
    <mergeCell ref="T20:U20"/>
    <mergeCell ref="V20:Y20"/>
    <mergeCell ref="D20:E20"/>
    <mergeCell ref="F20:G20"/>
    <mergeCell ref="H20:I20"/>
    <mergeCell ref="J20:K20"/>
    <mergeCell ref="L20:M20"/>
    <mergeCell ref="N20:O20"/>
    <mergeCell ref="P20:Q20"/>
    <mergeCell ref="N26:O26"/>
    <mergeCell ref="P26:Q26"/>
    <mergeCell ref="R26:S26"/>
    <mergeCell ref="T26:U26"/>
    <mergeCell ref="V26:Y26"/>
    <mergeCell ref="L25:M25"/>
    <mergeCell ref="N25:O25"/>
    <mergeCell ref="D26:E26"/>
    <mergeCell ref="F26:G26"/>
    <mergeCell ref="H26:I26"/>
    <mergeCell ref="J26:K26"/>
    <mergeCell ref="L26:M26"/>
    <mergeCell ref="R27:S27"/>
    <mergeCell ref="T27:U27"/>
    <mergeCell ref="V27:Y27"/>
    <mergeCell ref="D27:E27"/>
    <mergeCell ref="F27:G27"/>
    <mergeCell ref="H27:I27"/>
    <mergeCell ref="J27:K27"/>
    <mergeCell ref="L27:M27"/>
    <mergeCell ref="N27:O27"/>
    <mergeCell ref="P27:Q27"/>
    <mergeCell ref="R28:S28"/>
    <mergeCell ref="T28:U28"/>
    <mergeCell ref="V28:Y28"/>
    <mergeCell ref="D28:E28"/>
    <mergeCell ref="F28:G28"/>
    <mergeCell ref="H28:I28"/>
    <mergeCell ref="J28:K28"/>
    <mergeCell ref="L28:M28"/>
    <mergeCell ref="N28:O28"/>
    <mergeCell ref="P28:Q28"/>
    <mergeCell ref="R29:S29"/>
    <mergeCell ref="T29:U29"/>
    <mergeCell ref="V29:Y29"/>
    <mergeCell ref="D29:E29"/>
    <mergeCell ref="F29:G29"/>
    <mergeCell ref="H29:I29"/>
    <mergeCell ref="J29:K29"/>
    <mergeCell ref="L29:M29"/>
    <mergeCell ref="N29:O29"/>
    <mergeCell ref="P29:Q29"/>
    <mergeCell ref="R33:S33"/>
    <mergeCell ref="T33:U33"/>
    <mergeCell ref="V33:Y33"/>
    <mergeCell ref="D33:E33"/>
    <mergeCell ref="F33:G33"/>
    <mergeCell ref="H33:I33"/>
    <mergeCell ref="J33:K33"/>
    <mergeCell ref="L33:M33"/>
    <mergeCell ref="N33:O33"/>
    <mergeCell ref="P33:Q33"/>
    <mergeCell ref="R34:S34"/>
    <mergeCell ref="T34:U34"/>
    <mergeCell ref="V34:Y34"/>
    <mergeCell ref="D34:E34"/>
    <mergeCell ref="F34:G34"/>
    <mergeCell ref="H34:I34"/>
    <mergeCell ref="J34:K34"/>
    <mergeCell ref="L34:M34"/>
    <mergeCell ref="N34:O34"/>
    <mergeCell ref="P34:Q34"/>
    <mergeCell ref="R36:S36"/>
    <mergeCell ref="T36:U36"/>
    <mergeCell ref="B35:U35"/>
    <mergeCell ref="V35:X35"/>
    <mergeCell ref="D36:E36"/>
    <mergeCell ref="F36:G36"/>
    <mergeCell ref="H36:I36"/>
    <mergeCell ref="J36:K36"/>
    <mergeCell ref="L36:M36"/>
    <mergeCell ref="R30:S30"/>
    <mergeCell ref="T30:U30"/>
    <mergeCell ref="V30:Y30"/>
    <mergeCell ref="D30:E30"/>
    <mergeCell ref="F30:G30"/>
    <mergeCell ref="H30:I30"/>
    <mergeCell ref="J30:K30"/>
    <mergeCell ref="L30:M30"/>
    <mergeCell ref="N30:O30"/>
    <mergeCell ref="P30:Q30"/>
    <mergeCell ref="R31:S31"/>
    <mergeCell ref="T31:U31"/>
    <mergeCell ref="V31:Y31"/>
    <mergeCell ref="D31:E31"/>
    <mergeCell ref="F31:G31"/>
    <mergeCell ref="H31:I31"/>
    <mergeCell ref="J31:K31"/>
    <mergeCell ref="L31:M31"/>
    <mergeCell ref="N31:O31"/>
    <mergeCell ref="P31:Q31"/>
    <mergeCell ref="R32:S32"/>
    <mergeCell ref="T32:U32"/>
    <mergeCell ref="V32:Y32"/>
    <mergeCell ref="D32:E32"/>
    <mergeCell ref="F32:G32"/>
    <mergeCell ref="H32:I32"/>
    <mergeCell ref="J32:K32"/>
    <mergeCell ref="L32:M32"/>
    <mergeCell ref="N32:O32"/>
    <mergeCell ref="P32:Q32"/>
    <mergeCell ref="L37:M37"/>
    <mergeCell ref="N37:O37"/>
    <mergeCell ref="R42:S42"/>
    <mergeCell ref="T42:U42"/>
    <mergeCell ref="V42:Y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V43:Y43"/>
    <mergeCell ref="D43:E43"/>
    <mergeCell ref="F43:G43"/>
    <mergeCell ref="H43:I43"/>
    <mergeCell ref="J43:K43"/>
    <mergeCell ref="L43:M43"/>
    <mergeCell ref="N43:O43"/>
    <mergeCell ref="P43:Q43"/>
    <mergeCell ref="R44:S44"/>
    <mergeCell ref="T44:U44"/>
    <mergeCell ref="V44:Y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V45:Y45"/>
    <mergeCell ref="D45:E45"/>
    <mergeCell ref="F45:G45"/>
    <mergeCell ref="H45:I45"/>
    <mergeCell ref="J45:K45"/>
    <mergeCell ref="L45:M45"/>
    <mergeCell ref="N45:O45"/>
    <mergeCell ref="P45:Q45"/>
    <mergeCell ref="B39:U39"/>
    <mergeCell ref="V39:X39"/>
    <mergeCell ref="F40:G40"/>
    <mergeCell ref="H40:I40"/>
    <mergeCell ref="J40:K40"/>
    <mergeCell ref="L40:M40"/>
    <mergeCell ref="V40:Y40"/>
    <mergeCell ref="D40:E40"/>
    <mergeCell ref="D41:E41"/>
    <mergeCell ref="F41:G41"/>
    <mergeCell ref="H41:I41"/>
    <mergeCell ref="J41:K41"/>
    <mergeCell ref="L41:M41"/>
    <mergeCell ref="N41:O41"/>
    <mergeCell ref="R46:S46"/>
    <mergeCell ref="T46:U46"/>
    <mergeCell ref="V46:Y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V47:Y47"/>
    <mergeCell ref="D47:E47"/>
    <mergeCell ref="F47:G47"/>
    <mergeCell ref="H47:I47"/>
    <mergeCell ref="J47:K47"/>
    <mergeCell ref="L47:M47"/>
    <mergeCell ref="N47:O47"/>
    <mergeCell ref="P47:Q47"/>
    <mergeCell ref="R48:S48"/>
    <mergeCell ref="T48:U48"/>
    <mergeCell ref="V48:Y48"/>
    <mergeCell ref="D48:E48"/>
    <mergeCell ref="F48:G48"/>
    <mergeCell ref="H48:I48"/>
    <mergeCell ref="J48:K48"/>
    <mergeCell ref="L48:M48"/>
    <mergeCell ref="N48:O48"/>
    <mergeCell ref="P48:Q48"/>
    <mergeCell ref="P37:Q37"/>
    <mergeCell ref="R37:S37"/>
    <mergeCell ref="T37:U37"/>
    <mergeCell ref="V37:Y37"/>
    <mergeCell ref="N36:O36"/>
    <mergeCell ref="P36:Q36"/>
    <mergeCell ref="V36:Y36"/>
    <mergeCell ref="D37:E37"/>
    <mergeCell ref="F37:G37"/>
    <mergeCell ref="H37:I37"/>
    <mergeCell ref="J37:K37"/>
    <mergeCell ref="N40:O40"/>
    <mergeCell ref="P40:Q40"/>
    <mergeCell ref="R40:S40"/>
    <mergeCell ref="T40:U40"/>
    <mergeCell ref="P41:Q41"/>
    <mergeCell ref="R41:S41"/>
    <mergeCell ref="T41:U41"/>
    <mergeCell ref="V41:Y41"/>
    <mergeCell ref="R50:S50"/>
    <mergeCell ref="T50:U50"/>
    <mergeCell ref="V50:Y50"/>
    <mergeCell ref="D50:E50"/>
    <mergeCell ref="F50:G50"/>
    <mergeCell ref="H50:I50"/>
    <mergeCell ref="J50:K50"/>
    <mergeCell ref="L50:M50"/>
    <mergeCell ref="N50:O50"/>
    <mergeCell ref="P50:Q50"/>
    <mergeCell ref="R49:S49"/>
    <mergeCell ref="T49:U49"/>
    <mergeCell ref="V49:Y49"/>
    <mergeCell ref="D49:E49"/>
    <mergeCell ref="F49:G49"/>
    <mergeCell ref="H49:I49"/>
    <mergeCell ref="J49:K49"/>
    <mergeCell ref="L49:M49"/>
    <mergeCell ref="N49:O49"/>
    <mergeCell ref="P49:Q49"/>
    <mergeCell ref="N52:O52"/>
    <mergeCell ref="P52:Q52"/>
    <mergeCell ref="R52:S52"/>
    <mergeCell ref="T52:U52"/>
    <mergeCell ref="B51:U51"/>
    <mergeCell ref="V51:X51"/>
    <mergeCell ref="F52:G52"/>
    <mergeCell ref="H52:I52"/>
    <mergeCell ref="J52:K52"/>
    <mergeCell ref="L52:M52"/>
    <mergeCell ref="V52:Y52"/>
    <mergeCell ref="P53:Q53"/>
    <mergeCell ref="R53:S53"/>
    <mergeCell ref="T53:U53"/>
    <mergeCell ref="V53:Y53"/>
    <mergeCell ref="D52:E52"/>
    <mergeCell ref="D53:E53"/>
    <mergeCell ref="F53:G53"/>
    <mergeCell ref="H53:I53"/>
    <mergeCell ref="J53:K53"/>
    <mergeCell ref="L53:M53"/>
    <mergeCell ref="N53:O53"/>
    <mergeCell ref="N56:O56"/>
    <mergeCell ref="P56:Q56"/>
    <mergeCell ref="R56:S56"/>
    <mergeCell ref="T56:U56"/>
    <mergeCell ref="B55:U55"/>
    <mergeCell ref="V55:X55"/>
    <mergeCell ref="F56:G56"/>
    <mergeCell ref="H56:I56"/>
    <mergeCell ref="J56:K56"/>
    <mergeCell ref="L56:M56"/>
    <mergeCell ref="V56:Y56"/>
    <mergeCell ref="P57:Q57"/>
    <mergeCell ref="R57:S57"/>
    <mergeCell ref="T57:U57"/>
    <mergeCell ref="V57:Y57"/>
    <mergeCell ref="D56:E56"/>
    <mergeCell ref="D57:E57"/>
    <mergeCell ref="F57:G57"/>
    <mergeCell ref="H57:I57"/>
    <mergeCell ref="J57:K57"/>
    <mergeCell ref="L57:M57"/>
    <mergeCell ref="N57:O57"/>
    <mergeCell ref="R58:S58"/>
    <mergeCell ref="T58:U58"/>
    <mergeCell ref="V58:Y58"/>
    <mergeCell ref="D58:E58"/>
    <mergeCell ref="F58:G58"/>
    <mergeCell ref="H58:I58"/>
    <mergeCell ref="J58:K58"/>
    <mergeCell ref="L58:M58"/>
    <mergeCell ref="N58:O58"/>
    <mergeCell ref="P58:Q58"/>
    <mergeCell ref="R62:S62"/>
    <mergeCell ref="T62:U62"/>
    <mergeCell ref="V62:Y62"/>
    <mergeCell ref="D62:E62"/>
    <mergeCell ref="F62:G62"/>
    <mergeCell ref="H62:I62"/>
    <mergeCell ref="J62:K62"/>
    <mergeCell ref="L62:M62"/>
    <mergeCell ref="N62:O62"/>
    <mergeCell ref="P62:Q62"/>
    <mergeCell ref="R63:S63"/>
    <mergeCell ref="T63:U63"/>
    <mergeCell ref="V63:Y63"/>
    <mergeCell ref="D63:E63"/>
    <mergeCell ref="F63:G63"/>
    <mergeCell ref="H63:I63"/>
    <mergeCell ref="J63:K63"/>
    <mergeCell ref="L63:M63"/>
    <mergeCell ref="N63:O63"/>
    <mergeCell ref="P63:Q63"/>
    <mergeCell ref="R64:S64"/>
    <mergeCell ref="T64:U64"/>
    <mergeCell ref="V64:Y64"/>
    <mergeCell ref="D64:E64"/>
    <mergeCell ref="F64:G64"/>
    <mergeCell ref="H64:I64"/>
    <mergeCell ref="J64:K64"/>
    <mergeCell ref="L64:M64"/>
    <mergeCell ref="N64:O64"/>
    <mergeCell ref="P64:Q64"/>
    <mergeCell ref="R65:S65"/>
    <mergeCell ref="T65:U65"/>
    <mergeCell ref="V65:Y65"/>
    <mergeCell ref="D65:E65"/>
    <mergeCell ref="F65:G65"/>
    <mergeCell ref="H65:I65"/>
    <mergeCell ref="J65:K65"/>
    <mergeCell ref="L65:M65"/>
    <mergeCell ref="N65:O65"/>
    <mergeCell ref="P65:Q65"/>
    <mergeCell ref="R66:S66"/>
    <mergeCell ref="T66:U66"/>
    <mergeCell ref="V66:Y66"/>
    <mergeCell ref="D66:E66"/>
    <mergeCell ref="F66:G66"/>
    <mergeCell ref="H66:I66"/>
    <mergeCell ref="J66:K66"/>
    <mergeCell ref="L66:M66"/>
    <mergeCell ref="N66:O66"/>
    <mergeCell ref="P66:Q66"/>
    <mergeCell ref="R68:S68"/>
    <mergeCell ref="T68:U68"/>
    <mergeCell ref="B67:U67"/>
    <mergeCell ref="V67:X67"/>
    <mergeCell ref="D68:E68"/>
    <mergeCell ref="F68:G68"/>
    <mergeCell ref="H68:I68"/>
    <mergeCell ref="J68:K68"/>
    <mergeCell ref="L68:M68"/>
    <mergeCell ref="R59:S59"/>
    <mergeCell ref="T59:U59"/>
    <mergeCell ref="V59:Y59"/>
    <mergeCell ref="D59:E59"/>
    <mergeCell ref="F59:G59"/>
    <mergeCell ref="H59:I59"/>
    <mergeCell ref="J59:K59"/>
    <mergeCell ref="L59:M59"/>
    <mergeCell ref="N59:O59"/>
    <mergeCell ref="P59:Q59"/>
    <mergeCell ref="R60:S60"/>
    <mergeCell ref="T60:U60"/>
    <mergeCell ref="V60:Y60"/>
    <mergeCell ref="D60:E60"/>
    <mergeCell ref="F60:G60"/>
    <mergeCell ref="H60:I60"/>
    <mergeCell ref="J60:K60"/>
    <mergeCell ref="L60:M60"/>
    <mergeCell ref="N60:O60"/>
    <mergeCell ref="P60:Q60"/>
    <mergeCell ref="R61:S61"/>
    <mergeCell ref="T61:U61"/>
    <mergeCell ref="V61:Y61"/>
    <mergeCell ref="D61:E61"/>
    <mergeCell ref="F61:G61"/>
    <mergeCell ref="H61:I61"/>
    <mergeCell ref="J61:K61"/>
    <mergeCell ref="L61:M61"/>
    <mergeCell ref="N61:O61"/>
    <mergeCell ref="P61:Q61"/>
    <mergeCell ref="L69:M69"/>
    <mergeCell ref="N69:O69"/>
    <mergeCell ref="R74:S74"/>
    <mergeCell ref="T74:U74"/>
    <mergeCell ref="V74:Y74"/>
    <mergeCell ref="D74:E74"/>
    <mergeCell ref="F74:G74"/>
    <mergeCell ref="H74:I74"/>
    <mergeCell ref="J74:K74"/>
    <mergeCell ref="L74:M74"/>
    <mergeCell ref="N74:O74"/>
    <mergeCell ref="P74:Q74"/>
    <mergeCell ref="R75:S75"/>
    <mergeCell ref="T75:U75"/>
    <mergeCell ref="V75:Y75"/>
    <mergeCell ref="D75:E75"/>
    <mergeCell ref="F75:G75"/>
    <mergeCell ref="H75:I75"/>
    <mergeCell ref="J75:K75"/>
    <mergeCell ref="L75:M75"/>
    <mergeCell ref="N75:O75"/>
    <mergeCell ref="P75:Q75"/>
    <mergeCell ref="R76:S76"/>
    <mergeCell ref="T76:U76"/>
    <mergeCell ref="V76:Y76"/>
    <mergeCell ref="D76:E76"/>
    <mergeCell ref="F76:G76"/>
    <mergeCell ref="H76:I76"/>
    <mergeCell ref="J76:K76"/>
    <mergeCell ref="L76:M76"/>
    <mergeCell ref="N76:O76"/>
    <mergeCell ref="P76:Q76"/>
    <mergeCell ref="R77:S77"/>
    <mergeCell ref="T77:U77"/>
    <mergeCell ref="V77:Y77"/>
    <mergeCell ref="D77:E77"/>
    <mergeCell ref="F77:G77"/>
    <mergeCell ref="H77:I77"/>
    <mergeCell ref="J77:K77"/>
    <mergeCell ref="L77:M77"/>
    <mergeCell ref="N77:O77"/>
    <mergeCell ref="P77:Q77"/>
    <mergeCell ref="R78:S78"/>
    <mergeCell ref="T78:U78"/>
    <mergeCell ref="V78:Y78"/>
    <mergeCell ref="D78:E78"/>
    <mergeCell ref="F78:G78"/>
    <mergeCell ref="H78:I78"/>
    <mergeCell ref="J78:K78"/>
    <mergeCell ref="L78:M78"/>
    <mergeCell ref="N78:O78"/>
    <mergeCell ref="P78:Q78"/>
    <mergeCell ref="R79:S79"/>
    <mergeCell ref="T79:U79"/>
    <mergeCell ref="V79:Y79"/>
    <mergeCell ref="D79:E79"/>
    <mergeCell ref="F79:G79"/>
    <mergeCell ref="H79:I79"/>
    <mergeCell ref="J79:K79"/>
    <mergeCell ref="L79:M79"/>
    <mergeCell ref="N79:O79"/>
    <mergeCell ref="P79:Q79"/>
    <mergeCell ref="R80:S80"/>
    <mergeCell ref="T80:U80"/>
    <mergeCell ref="V80:Y80"/>
    <mergeCell ref="D80:E80"/>
    <mergeCell ref="F80:G80"/>
    <mergeCell ref="H80:I80"/>
    <mergeCell ref="J80:K80"/>
    <mergeCell ref="L80:M80"/>
    <mergeCell ref="N80:O80"/>
    <mergeCell ref="P80:Q80"/>
    <mergeCell ref="B71:U71"/>
    <mergeCell ref="V71:X71"/>
    <mergeCell ref="F72:G72"/>
    <mergeCell ref="H72:I72"/>
    <mergeCell ref="J72:K72"/>
    <mergeCell ref="L72:M72"/>
    <mergeCell ref="V72:Y72"/>
    <mergeCell ref="D72:E72"/>
    <mergeCell ref="D73:E73"/>
    <mergeCell ref="F73:G73"/>
    <mergeCell ref="H73:I73"/>
    <mergeCell ref="J73:K73"/>
    <mergeCell ref="L73:M73"/>
    <mergeCell ref="N73:O73"/>
    <mergeCell ref="P69:Q69"/>
    <mergeCell ref="R69:S69"/>
    <mergeCell ref="T69:U69"/>
    <mergeCell ref="V69:Y69"/>
    <mergeCell ref="N68:O68"/>
    <mergeCell ref="P68:Q68"/>
    <mergeCell ref="V68:Y68"/>
    <mergeCell ref="D69:E69"/>
    <mergeCell ref="F69:G69"/>
    <mergeCell ref="H69:I69"/>
    <mergeCell ref="J69:K69"/>
    <mergeCell ref="N72:O72"/>
    <mergeCell ref="P72:Q72"/>
    <mergeCell ref="R72:S72"/>
    <mergeCell ref="T72:U72"/>
    <mergeCell ref="P73:Q73"/>
    <mergeCell ref="R73:S73"/>
    <mergeCell ref="T73:U73"/>
    <mergeCell ref="V73:Y73"/>
    <mergeCell ref="R82:S82"/>
    <mergeCell ref="T82:U82"/>
    <mergeCell ref="V82:Y82"/>
    <mergeCell ref="D82:E82"/>
    <mergeCell ref="F82:G82"/>
    <mergeCell ref="H82:I82"/>
    <mergeCell ref="J82:K82"/>
    <mergeCell ref="L82:M82"/>
    <mergeCell ref="N82:O82"/>
    <mergeCell ref="P82:Q82"/>
    <mergeCell ref="R81:S81"/>
    <mergeCell ref="T81:U81"/>
    <mergeCell ref="V81:Y81"/>
    <mergeCell ref="D81:E81"/>
    <mergeCell ref="F81:G81"/>
    <mergeCell ref="H81:I81"/>
    <mergeCell ref="J81:K81"/>
    <mergeCell ref="L81:M81"/>
    <mergeCell ref="N81:O81"/>
    <mergeCell ref="P81:Q81"/>
    <mergeCell ref="N84:O84"/>
    <mergeCell ref="P84:Q84"/>
    <mergeCell ref="R84:S84"/>
    <mergeCell ref="T84:U84"/>
    <mergeCell ref="B83:U83"/>
    <mergeCell ref="V83:X83"/>
    <mergeCell ref="F84:G84"/>
    <mergeCell ref="H84:I84"/>
    <mergeCell ref="J84:K84"/>
    <mergeCell ref="L84:M84"/>
    <mergeCell ref="V84:Y84"/>
    <mergeCell ref="P85:Q85"/>
    <mergeCell ref="R85:S85"/>
    <mergeCell ref="T85:U85"/>
    <mergeCell ref="V85:Y85"/>
    <mergeCell ref="D84:E84"/>
    <mergeCell ref="D85:E85"/>
    <mergeCell ref="F85:G85"/>
    <mergeCell ref="H85:I85"/>
    <mergeCell ref="J85:K85"/>
    <mergeCell ref="L85:M85"/>
    <mergeCell ref="N85:O85"/>
    <mergeCell ref="N88:O88"/>
    <mergeCell ref="P88:Q88"/>
    <mergeCell ref="R88:S88"/>
    <mergeCell ref="T88:U88"/>
    <mergeCell ref="B87:U87"/>
    <mergeCell ref="V87:X87"/>
    <mergeCell ref="F88:G88"/>
    <mergeCell ref="H88:I88"/>
    <mergeCell ref="J88:K88"/>
    <mergeCell ref="L88:M88"/>
    <mergeCell ref="V88:Y88"/>
    <mergeCell ref="P89:Q89"/>
    <mergeCell ref="R89:S89"/>
    <mergeCell ref="T89:U89"/>
    <mergeCell ref="V89:Y89"/>
    <mergeCell ref="D88:E88"/>
    <mergeCell ref="D89:E89"/>
    <mergeCell ref="F89:G89"/>
    <mergeCell ref="H89:I89"/>
    <mergeCell ref="J89:K89"/>
    <mergeCell ref="L89:M89"/>
    <mergeCell ref="N89:O89"/>
    <mergeCell ref="R90:S90"/>
    <mergeCell ref="T90:U90"/>
    <mergeCell ref="V90:Y90"/>
    <mergeCell ref="D90:E90"/>
    <mergeCell ref="F90:G90"/>
    <mergeCell ref="H90:I90"/>
    <mergeCell ref="J90:K90"/>
    <mergeCell ref="L90:M90"/>
    <mergeCell ref="N90:O90"/>
    <mergeCell ref="P90:Q90"/>
    <mergeCell ref="R94:S94"/>
    <mergeCell ref="T94:U94"/>
    <mergeCell ref="V94:Y94"/>
    <mergeCell ref="D94:E94"/>
    <mergeCell ref="F94:G94"/>
    <mergeCell ref="H94:I94"/>
    <mergeCell ref="J94:K94"/>
    <mergeCell ref="L94:M94"/>
    <mergeCell ref="N94:O94"/>
    <mergeCell ref="P94:Q94"/>
    <mergeCell ref="R95:S95"/>
    <mergeCell ref="T95:U95"/>
    <mergeCell ref="V95:Y95"/>
    <mergeCell ref="D95:E95"/>
    <mergeCell ref="F95:G95"/>
    <mergeCell ref="H95:I95"/>
    <mergeCell ref="J95:K95"/>
    <mergeCell ref="L95:M95"/>
    <mergeCell ref="N95:O95"/>
    <mergeCell ref="P95:Q95"/>
    <mergeCell ref="R96:S96"/>
    <mergeCell ref="T96:U96"/>
    <mergeCell ref="V96:Y96"/>
    <mergeCell ref="D96:E96"/>
    <mergeCell ref="F96:G96"/>
    <mergeCell ref="H96:I96"/>
    <mergeCell ref="J96:K96"/>
    <mergeCell ref="L96:M96"/>
    <mergeCell ref="N96:O96"/>
    <mergeCell ref="P96:Q96"/>
    <mergeCell ref="N120:O120"/>
    <mergeCell ref="P120:Q120"/>
    <mergeCell ref="R120:S120"/>
    <mergeCell ref="T120:U120"/>
    <mergeCell ref="B119:U119"/>
    <mergeCell ref="V119:X119"/>
    <mergeCell ref="F120:G120"/>
    <mergeCell ref="H120:I120"/>
    <mergeCell ref="J120:K120"/>
    <mergeCell ref="L120:M120"/>
    <mergeCell ref="V120:Y120"/>
    <mergeCell ref="P121:Q121"/>
    <mergeCell ref="R121:S121"/>
    <mergeCell ref="T121:U121"/>
    <mergeCell ref="V121:Y121"/>
    <mergeCell ref="D120:E120"/>
    <mergeCell ref="D121:E121"/>
    <mergeCell ref="F121:G121"/>
    <mergeCell ref="H121:I121"/>
    <mergeCell ref="J121:K121"/>
    <mergeCell ref="L121:M121"/>
    <mergeCell ref="N121:O121"/>
    <mergeCell ref="R122:S122"/>
    <mergeCell ref="T122:U122"/>
    <mergeCell ref="V122:Y122"/>
    <mergeCell ref="D122:E122"/>
    <mergeCell ref="F122:G122"/>
    <mergeCell ref="H122:I122"/>
    <mergeCell ref="J122:K122"/>
    <mergeCell ref="L122:M122"/>
    <mergeCell ref="N122:O122"/>
    <mergeCell ref="P122:Q122"/>
    <mergeCell ref="R126:S126"/>
    <mergeCell ref="T126:U126"/>
    <mergeCell ref="V126:Y126"/>
    <mergeCell ref="D126:E126"/>
    <mergeCell ref="F126:G126"/>
    <mergeCell ref="H126:I126"/>
    <mergeCell ref="J126:K126"/>
    <mergeCell ref="L126:M126"/>
    <mergeCell ref="N126:O126"/>
    <mergeCell ref="P126:Q126"/>
    <mergeCell ref="R127:S127"/>
    <mergeCell ref="T127:U127"/>
    <mergeCell ref="V127:Y127"/>
    <mergeCell ref="D127:E127"/>
    <mergeCell ref="F127:G127"/>
    <mergeCell ref="H127:I127"/>
    <mergeCell ref="J127:K127"/>
    <mergeCell ref="L127:M127"/>
    <mergeCell ref="N127:O127"/>
    <mergeCell ref="P127:Q127"/>
    <mergeCell ref="R128:S128"/>
    <mergeCell ref="T128:U128"/>
    <mergeCell ref="V128:Y128"/>
    <mergeCell ref="D128:E128"/>
    <mergeCell ref="F128:G128"/>
    <mergeCell ref="H128:I128"/>
    <mergeCell ref="J128:K128"/>
    <mergeCell ref="L128:M128"/>
    <mergeCell ref="N128:O128"/>
    <mergeCell ref="P128:Q128"/>
    <mergeCell ref="R129:S129"/>
    <mergeCell ref="T129:U129"/>
    <mergeCell ref="V129:Y129"/>
    <mergeCell ref="D129:E129"/>
    <mergeCell ref="F129:G129"/>
    <mergeCell ref="H129:I129"/>
    <mergeCell ref="J129:K129"/>
    <mergeCell ref="L129:M129"/>
    <mergeCell ref="N129:O129"/>
    <mergeCell ref="P129:Q129"/>
    <mergeCell ref="R130:S130"/>
    <mergeCell ref="T130:U130"/>
    <mergeCell ref="V130:Y130"/>
    <mergeCell ref="D130:E130"/>
    <mergeCell ref="F130:G130"/>
    <mergeCell ref="H130:I130"/>
    <mergeCell ref="J130:K130"/>
    <mergeCell ref="L130:M130"/>
    <mergeCell ref="N130:O130"/>
    <mergeCell ref="P130:Q130"/>
    <mergeCell ref="R132:S132"/>
    <mergeCell ref="T132:U132"/>
    <mergeCell ref="B131:U131"/>
    <mergeCell ref="V131:X131"/>
    <mergeCell ref="D132:E132"/>
    <mergeCell ref="F132:G132"/>
    <mergeCell ref="H132:I132"/>
    <mergeCell ref="J132:K132"/>
    <mergeCell ref="L132:M132"/>
  </mergeCells>
  <conditionalFormatting sqref="B16:E21 B25:E34 B37:E37 B41:E53 B57:E69 B73:E85 B89:E101 B105:E117 B121:E133 B137:E149 B153:E165">
    <cfRule type="expression" dxfId="0" priority="1">
      <formula>INDIRECT(CONCAT("D",ROW()))</formula>
    </cfRule>
  </conditionalFormatting>
  <hyperlinks>
    <hyperlink display="Orisons" location="Prepared Spells!B14:Y21" ref="B3"/>
    <hyperlink display="1st Level Spells" location="Prepared Spells!B23:Y37" ref="B4"/>
    <hyperlink display="2nd Level Spells" location="Prepared Spells!B39:Y53" ref="B5"/>
    <hyperlink display="3rd Level Spells" location="Prepared Spells!B55:Y69" ref="B6"/>
    <hyperlink display="4th Level Spells" location="Prepared Spells!B71:Y85" ref="B7"/>
    <hyperlink display="5th Level Spells" location="Prepared Spells!B87:Y101" ref="B8"/>
    <hyperlink display="6th Level Spells" location="Prepared Spells!B103:Y117" ref="B9"/>
    <hyperlink display="7th Level Spells" location="Prepared Spells!B119:Y133" ref="B10"/>
    <hyperlink display="8th Level Spells" location="Prepared Spells!B135:Y149" ref="B11"/>
    <hyperlink display="9th Level Spells" location="Prepared Spells!B151:Y165" ref="B12"/>
  </hyperlinks>
  <drawing r:id="rId1"/>
  <tableParts count="1">
    <tablePart r:id="rId3"/>
  </tableParts>
</worksheet>
</file>