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on Variables" sheetId="1" r:id="rId4"/>
    <sheet state="visible" name="Known Spells" sheetId="2" r:id="rId5"/>
    <sheet state="hidden" name="Tables" sheetId="3" r:id="rId6"/>
    <sheet state="visible" name="Spell List" sheetId="4" r:id="rId7"/>
    <sheet state="hidden" name="DataSheet" sheetId="5" r:id="rId8"/>
    <sheet state="hidden" name="Dupe" sheetId="6" r:id="rId9"/>
  </sheets>
  <definedNames>
    <definedName name="Level">'Known Spells'!$F$3</definedName>
    <definedName name="long">'Common Variables'!$B$5</definedName>
    <definedName name="base_spells">Tables!$A$2:$K$22</definedName>
    <definedName name="close">'Common Variables'!$B$3</definedName>
    <definedName name="SuperList">'Spell List'!$C$16:$X$392</definedName>
    <definedName name="medium">'Common Variables'!$B$4</definedName>
    <definedName name="bonus_spells">Tables!$A$25:$J$48</definedName>
  </definedNames>
  <calcPr/>
</workbook>
</file>

<file path=xl/sharedStrings.xml><?xml version="1.0" encoding="utf-8"?>
<sst xmlns="http://schemas.openxmlformats.org/spreadsheetml/2006/main" count="3535" uniqueCount="1085">
  <si>
    <t>Quick Links</t>
  </si>
  <si>
    <t>Level</t>
  </si>
  <si>
    <t>INT Mod</t>
  </si>
  <si>
    <t>Cantrips</t>
  </si>
  <si>
    <t>1st Level Spells</t>
  </si>
  <si>
    <t>2nd Level Spells</t>
  </si>
  <si>
    <t>3rd Level Spells</t>
  </si>
  <si>
    <t>4th Level Spells</t>
  </si>
  <si>
    <t>5th Level Spells</t>
  </si>
  <si>
    <t>6th Level Spells</t>
  </si>
  <si>
    <t>7th Level Spells</t>
  </si>
  <si>
    <t>8th Level Spells</t>
  </si>
  <si>
    <t>9th Level Spells</t>
  </si>
  <si>
    <t>Number Prepared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</si>
  <si>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</si>
  <si>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</si>
  <si>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</si>
  <si>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</si>
  <si>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</si>
  <si>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</si>
  <si>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</si>
  <si>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</si>
  <si>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</si>
  <si>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</si>
  <si>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</si>
  <si>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</si>
  <si>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Prepared</t>
  </si>
  <si>
    <t>0th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</si>
  <si>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</si>
  <si>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</si>
  <si>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</si>
  <si>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</si>
  <si>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</si>
  <si>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</si>
  <si>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</si>
  <si>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</si>
  <si>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</si>
  <si>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Super List</t>
  </si>
  <si>
    <t>Resistance</t>
  </si>
  <si>
    <t>Abjuration</t>
  </si>
  <si>
    <t>V, S, M
No Listed Cost</t>
  </si>
  <si>
    <t>1 standard action</t>
  </si>
  <si>
    <t>Touch</t>
  </si>
  <si>
    <t>Creature Touched</t>
  </si>
  <si>
    <t>1 minute</t>
  </si>
  <si>
    <t>Will negates
harmless</t>
  </si>
  <si>
    <t>Yes
harmless</t>
  </si>
  <si>
    <t>Subject gains +1 on saving throws</t>
  </si>
  <si>
    <t>Acid Splash</t>
  </si>
  <si>
    <t>Conjuration
Creation
Acid</t>
  </si>
  <si>
    <t>V, S</t>
  </si>
  <si>
    <t>One missile of acid</t>
  </si>
  <si>
    <t>Instantaneous</t>
  </si>
  <si>
    <t>None</t>
  </si>
  <si>
    <t>No</t>
  </si>
  <si>
    <t>Orb deals 1d3 acid damage</t>
  </si>
  <si>
    <t>Detect Magic</t>
  </si>
  <si>
    <t>Divination</t>
  </si>
  <si>
    <t>60 ft</t>
  </si>
  <si>
    <t>Cone Shaped Emanation</t>
  </si>
  <si>
    <t>Detects spells and magic items within 60 ft</t>
  </si>
  <si>
    <t>Detect Poison</t>
  </si>
  <si>
    <t>One creature, one object, or a 5 ft cube</t>
  </si>
  <si>
    <t>Detects poison in one creature or small object</t>
  </si>
  <si>
    <t>Read Magic</t>
  </si>
  <si>
    <t>V, S, F</t>
  </si>
  <si>
    <t>Personal</t>
  </si>
  <si>
    <t>You</t>
  </si>
  <si>
    <t>NA</t>
  </si>
  <si>
    <t>Read scrolls and spellbooks</t>
  </si>
  <si>
    <t>Daze</t>
  </si>
  <si>
    <t>Enchantment
Compulsion
Mind-Affecting</t>
  </si>
  <si>
    <t>One humanoid creature of 4 HD or less</t>
  </si>
  <si>
    <t>1 round</t>
  </si>
  <si>
    <t>Will negates</t>
  </si>
  <si>
    <t>Yes</t>
  </si>
  <si>
    <t>Humanoid creature of 4 HD or less loses next action</t>
  </si>
  <si>
    <t>Dancing Lights</t>
  </si>
  <si>
    <t>Evocation
Light</t>
  </si>
  <si>
    <t>Up to four lights, all within a 10 ft radius area</t>
  </si>
  <si>
    <t>1 minute (D)</t>
  </si>
  <si>
    <t>Creates torches or other lights</t>
  </si>
  <si>
    <t>Flare</t>
  </si>
  <si>
    <t>V</t>
  </si>
  <si>
    <t>Burst of Light</t>
  </si>
  <si>
    <t>Fortitude negates</t>
  </si>
  <si>
    <t>Dazzles one creature (-1 on attack rolls)</t>
  </si>
  <si>
    <t>Light</t>
  </si>
  <si>
    <t>V, M
No Listed Cost</t>
  </si>
  <si>
    <t>Object Touched</t>
  </si>
  <si>
    <t>Object shines like a torch</t>
  </si>
  <si>
    <t>Ray of Frost</t>
  </si>
  <si>
    <t>Evocation
Cold</t>
  </si>
  <si>
    <t>Ray</t>
  </si>
  <si>
    <t>Ray deals 1d3 cold damage</t>
  </si>
  <si>
    <t>Ghost Sound</t>
  </si>
  <si>
    <t>Illusion
Figment</t>
  </si>
  <si>
    <t>Illusory sounds</t>
  </si>
  <si>
    <t>Will disbelief
if interacted with</t>
  </si>
  <si>
    <t>Figment sounds</t>
  </si>
  <si>
    <t>Disrupt Undead</t>
  </si>
  <si>
    <t>Necromancy</t>
  </si>
  <si>
    <t>Deals 1d6 damage to one undead</t>
  </si>
  <si>
    <t>Touch of Fatigue</t>
  </si>
  <si>
    <t>Creature touched</t>
  </si>
  <si>
    <t>Touch attack fatigues target</t>
  </si>
  <si>
    <t>Mage Hand</t>
  </si>
  <si>
    <t>Transmutation</t>
  </si>
  <si>
    <t>One nonmagical, unattended object weighing up to 5 lb</t>
  </si>
  <si>
    <t>Concentration</t>
  </si>
  <si>
    <t>5 pound telekinesis</t>
  </si>
  <si>
    <t>Mending</t>
  </si>
  <si>
    <t>10 ft</t>
  </si>
  <si>
    <t>One object of up to 1 lb</t>
  </si>
  <si>
    <t>Will negates
harmless, object</t>
  </si>
  <si>
    <t>Yes
harmless, object</t>
  </si>
  <si>
    <t>Makes minor repairs on an object</t>
  </si>
  <si>
    <t>Message</t>
  </si>
  <si>
    <t>Transmutation
Language-
Dependant</t>
  </si>
  <si>
    <t>Whispered conversation at distance</t>
  </si>
  <si>
    <t>Open/Close</t>
  </si>
  <si>
    <t>Object weighing up to 30 lb or portal that can be opened or closed</t>
  </si>
  <si>
    <t>Will negates
object</t>
  </si>
  <si>
    <t>Yes
object</t>
  </si>
  <si>
    <t>Opens or closes small or light things</t>
  </si>
  <si>
    <t>Arcane Mark</t>
  </si>
  <si>
    <t>Universal</t>
  </si>
  <si>
    <t>0 ft</t>
  </si>
  <si>
    <t>One personal rune or mark, all of which must fit within 1 sq ft</t>
  </si>
  <si>
    <t>Permanent</t>
  </si>
  <si>
    <t>Inscribes a personal rune (visible or invisible)</t>
  </si>
  <si>
    <t>Prestidigitation</t>
  </si>
  <si>
    <t>See text</t>
  </si>
  <si>
    <t>1 hour</t>
  </si>
  <si>
    <t>Performs minor tricks</t>
  </si>
  <si>
    <t>Alarm</t>
  </si>
  <si>
    <t>20 ft radius emanation centered on a point in space</t>
  </si>
  <si>
    <t>Endure Elements</t>
  </si>
  <si>
    <t>24 hours</t>
  </si>
  <si>
    <t>Exist comfortably in hot or cold environments</t>
  </si>
  <si>
    <t>Hold Portal</t>
  </si>
  <si>
    <t>Holds door shut</t>
  </si>
  <si>
    <t>Protection from Chaos</t>
  </si>
  <si>
    <t>Abjuration
Lawful</t>
  </si>
  <si>
    <t>No
see text</t>
  </si>
  <si>
    <t>+2 to AC and saves, counter mind control, hedge out elementals and outsiders</t>
  </si>
  <si>
    <t>Protection from Evil</t>
  </si>
  <si>
    <t>Abjuration
Good</t>
  </si>
  <si>
    <t>Protection from Good</t>
  </si>
  <si>
    <t>Abjuration
Evil</t>
  </si>
  <si>
    <t>Protection from Law</t>
  </si>
  <si>
    <t>Abjuration
Chaotic</t>
  </si>
  <si>
    <t>Shield</t>
  </si>
  <si>
    <t>Abjuration
Force</t>
  </si>
  <si>
    <t>Invisible disc gives +4 to AC, blocks magic missiles</t>
  </si>
  <si>
    <t>Grease</t>
  </si>
  <si>
    <t>Conjuration
Creation</t>
  </si>
  <si>
    <t>One subject or a 10 ft square</t>
  </si>
  <si>
    <t>Makes 10-ft. square or one object slippery</t>
  </si>
  <si>
    <t>Mage Armor</t>
  </si>
  <si>
    <t>Conjuration
Creation
Force</t>
  </si>
  <si>
    <t>Gives subject +4 armor bonus</t>
  </si>
  <si>
    <t>Mount</t>
  </si>
  <si>
    <t>Conjuration
Summoning</t>
  </si>
  <si>
    <t>One mount</t>
  </si>
  <si>
    <t>Obscuring Mist</t>
  </si>
  <si>
    <t>20 ft</t>
  </si>
  <si>
    <t>Cloud spreads in 20-ft. radius from you, 20 ft. high</t>
  </si>
  <si>
    <t>Fog surrounds you</t>
  </si>
  <si>
    <t>Summon Monster I</t>
  </si>
  <si>
    <t>Conjuration
Summoning
See text</t>
  </si>
  <si>
    <t>One summoned creature</t>
  </si>
  <si>
    <t>Calls extraplanar creature to fight for you</t>
  </si>
  <si>
    <t>Unseen Servant</t>
  </si>
  <si>
    <t>One invisible, mindless, shapeless servant</t>
  </si>
  <si>
    <t>Invisible force obeys your commands</t>
  </si>
  <si>
    <t>Comprehend Languages</t>
  </si>
  <si>
    <t>You understand all spoken and written languages</t>
  </si>
  <si>
    <t>Detect Secret Doors</t>
  </si>
  <si>
    <t>Cone shaped emanation</t>
  </si>
  <si>
    <t>Reveals hidden doors within 60 ft</t>
  </si>
  <si>
    <t>Detect Undead</t>
  </si>
  <si>
    <t>Reveals undead within 60 ft</t>
  </si>
  <si>
    <t>Identify</t>
  </si>
  <si>
    <t>V, S, M
Cost: 100 gp</t>
  </si>
  <si>
    <t>One touched object</t>
  </si>
  <si>
    <t>Determines properties of magic item</t>
  </si>
  <si>
    <t>True Strike</t>
  </si>
  <si>
    <t>V, F</t>
  </si>
  <si>
    <t>+20 on your next attack roll</t>
  </si>
  <si>
    <t>Charm Person</t>
  </si>
  <si>
    <t>Enchantment
Charm
Mind-Affecting</t>
  </si>
  <si>
    <t>One humanoid creature</t>
  </si>
  <si>
    <t>Makes one person your friend</t>
  </si>
  <si>
    <t>Hypnotism</t>
  </si>
  <si>
    <t>Several living creatures, no two of which may be more than 30 ft. apart</t>
  </si>
  <si>
    <t>2d4 rounds (D)</t>
  </si>
  <si>
    <t>Fascinates 2d4 HD of creatures</t>
  </si>
  <si>
    <t>Sleep</t>
  </si>
  <si>
    <t>One or more living creatures within a 10-ft.-radius burst</t>
  </si>
  <si>
    <t>Puts 4 HD of creatures into magical slumber</t>
  </si>
  <si>
    <t>Burning Hands</t>
  </si>
  <si>
    <t>Evocation
Fire</t>
  </si>
  <si>
    <t>15 ft</t>
  </si>
  <si>
    <t>Cone shaped burst</t>
  </si>
  <si>
    <t>Reflex half</t>
  </si>
  <si>
    <t>Tenser's Floating Disk</t>
  </si>
  <si>
    <t>Evocation
Force</t>
  </si>
  <si>
    <t>3 ft diameter disk of force</t>
  </si>
  <si>
    <t>Magic Missile</t>
  </si>
  <si>
    <t>Shocking Grasp</t>
  </si>
  <si>
    <t>Evocation
Electricity</t>
  </si>
  <si>
    <t>Color Spray</t>
  </si>
  <si>
    <t>Illusion
Pattern
Mind-Affecting</t>
  </si>
  <si>
    <t>Instantaneous
see text</t>
  </si>
  <si>
    <t>Knocks unconscious, blinds, and/or stuns weak creatures</t>
  </si>
  <si>
    <t>Disguise Self</t>
  </si>
  <si>
    <t>Illusion
Glamer</t>
  </si>
  <si>
    <t>Changes your appearance</t>
  </si>
  <si>
    <t>Nystul's Magic Aura</t>
  </si>
  <si>
    <t>None
see text</t>
  </si>
  <si>
    <t>Alters object’s magic aura</t>
  </si>
  <si>
    <t>Silent Image</t>
  </si>
  <si>
    <t>Creates minor illusion of your design</t>
  </si>
  <si>
    <t>Ventriloquism</t>
  </si>
  <si>
    <t>Intelligible sound, usually speech</t>
  </si>
  <si>
    <t>Cause Fear</t>
  </si>
  <si>
    <t>Necromancy
Fear
Mind-Affecting</t>
  </si>
  <si>
    <t>One living creature with 5 or fewer HD</t>
  </si>
  <si>
    <t>1d4 rounds or 1 round; see text</t>
  </si>
  <si>
    <t>Will partial</t>
  </si>
  <si>
    <t>One creature of 5 HD or less flees for 1d4 rounds</t>
  </si>
  <si>
    <t>Chill Touch</t>
  </si>
  <si>
    <t>Fortitude partial
or
Will negates
see text</t>
  </si>
  <si>
    <t>Ray of Enfeeblement</t>
  </si>
  <si>
    <t>Animate Rope</t>
  </si>
  <si>
    <t>Makes a rope move at your command</t>
  </si>
  <si>
    <t>Enlarge Person</t>
  </si>
  <si>
    <t>Humanoid creature doubles in size</t>
  </si>
  <si>
    <t>Erase</t>
  </si>
  <si>
    <t>One scroll or two pages</t>
  </si>
  <si>
    <t>Mundane or magical writing vanishes</t>
  </si>
  <si>
    <t>Expeditious Retreat</t>
  </si>
  <si>
    <t>Your speed increases by 30 ft</t>
  </si>
  <si>
    <t>Feather Fall</t>
  </si>
  <si>
    <t>1 immediate action</t>
  </si>
  <si>
    <t>Will negates
harmless
or
Will negates
object</t>
  </si>
  <si>
    <t>Objects or creatures fall slowly</t>
  </si>
  <si>
    <t>Jump</t>
  </si>
  <si>
    <t>Subject gets bonus on Jump checks.</t>
  </si>
  <si>
    <t>Magic Weapon</t>
  </si>
  <si>
    <t>Weapon touched</t>
  </si>
  <si>
    <t>Weapon gains +1 bonus</t>
  </si>
  <si>
    <t>Reduce Person</t>
  </si>
  <si>
    <t>Humanoid creature halves in size</t>
  </si>
  <si>
    <t>Arcane Lock</t>
  </si>
  <si>
    <t>V, S, M
Cost: 25 gp</t>
  </si>
  <si>
    <t>Magically locks a portal or chest</t>
  </si>
  <si>
    <t>Obscure Object</t>
  </si>
  <si>
    <t>8 hours (D)</t>
  </si>
  <si>
    <t>Masks object against scrying</t>
  </si>
  <si>
    <t>Protection from Arrows</t>
  </si>
  <si>
    <t>Subject immune to most ranged attacks</t>
  </si>
  <si>
    <t>Resist Energy</t>
  </si>
  <si>
    <t>Fortitude negates
harmless</t>
  </si>
  <si>
    <t>Ignores 10 (or more) points of damage/attack from specified energy type</t>
  </si>
  <si>
    <t>Melf's Acid Arrow</t>
  </si>
  <si>
    <t>V, S, M, F
No Listed Cost</t>
  </si>
  <si>
    <t>One arrow of acid</t>
  </si>
  <si>
    <t>Fog Cloud</t>
  </si>
  <si>
    <t>Fog spreads in 20-ft. radius, 20 ft. high</t>
  </si>
  <si>
    <t>Fog obscures vision.</t>
  </si>
  <si>
    <t>Glitterdust</t>
  </si>
  <si>
    <t>Creatures and objects within 10-ft.-radius spread</t>
  </si>
  <si>
    <t>Will negates
blinding only</t>
  </si>
  <si>
    <t>Blinds creatures, outlines invisible creatures</t>
  </si>
  <si>
    <t>Summon Monster II</t>
  </si>
  <si>
    <t>Summon Swarm</t>
  </si>
  <si>
    <t>One swarm of bats, rats, or spiders</t>
  </si>
  <si>
    <t>Concentration
+2 rounds</t>
  </si>
  <si>
    <t>Summons swarm of bats, rats, or spiders</t>
  </si>
  <si>
    <t>Web</t>
  </si>
  <si>
    <t>Webs in a 20 ft radius spread</t>
  </si>
  <si>
    <t>Reflex negates
see text</t>
  </si>
  <si>
    <t>Fills 20-ft.-radius spread with sticky spiderwebs</t>
  </si>
  <si>
    <t>Detect Thoughts</t>
  </si>
  <si>
    <t>Divination
Mind-Affecting</t>
  </si>
  <si>
    <t>V, S, F
Focus: 1 copper piece</t>
  </si>
  <si>
    <t>Will negates
see text</t>
  </si>
  <si>
    <t>Allows “listening” to surface thoughts</t>
  </si>
  <si>
    <t>Locate Object</t>
  </si>
  <si>
    <t>Senses direction toward object (specific or type)</t>
  </si>
  <si>
    <t>See Invisibility</t>
  </si>
  <si>
    <t>Reveals invisible creatures or objects</t>
  </si>
  <si>
    <t>Daze Monster</t>
  </si>
  <si>
    <t>One living creature of 6 HD or less</t>
  </si>
  <si>
    <t>Living creature of 6 HD or less loses next action</t>
  </si>
  <si>
    <t>Tasha's Hideous Laughter</t>
  </si>
  <si>
    <t>One creature, see text</t>
  </si>
  <si>
    <t>Touch of Idiocy</t>
  </si>
  <si>
    <t>Living creature touched</t>
  </si>
  <si>
    <t>Subject takes 1d6 points of Int, Wis, and Cha damage</t>
  </si>
  <si>
    <t>Continual Flame</t>
  </si>
  <si>
    <t>V, S, M
Cost: 50 gp</t>
  </si>
  <si>
    <t>Object touched
Magical, heatless flame</t>
  </si>
  <si>
    <t>Makes a permanent, heatless torch</t>
  </si>
  <si>
    <t>Darkness</t>
  </si>
  <si>
    <t>Evocation
Darkness</t>
  </si>
  <si>
    <t>Object touched</t>
  </si>
  <si>
    <t>20 ft radius of supernatural shadow</t>
  </si>
  <si>
    <t>Flaming Sphere</t>
  </si>
  <si>
    <t>5 ft diameter sphere</t>
  </si>
  <si>
    <t>Reflex negates</t>
  </si>
  <si>
    <t>Gust of Wind</t>
  </si>
  <si>
    <t>Evocation
Air</t>
  </si>
  <si>
    <t>Line-shaped gust of severe wind emanating out from you to the extreme of the range</t>
  </si>
  <si>
    <t>Blows away or knocks down smaller creatures.</t>
  </si>
  <si>
    <t>Scorching Ray</t>
  </si>
  <si>
    <t>One or more rays</t>
  </si>
  <si>
    <t>Shatter</t>
  </si>
  <si>
    <t>Evocation
Sonic</t>
  </si>
  <si>
    <t>5-ft.-radius spread; or one solid object or one crystalline creature</t>
  </si>
  <si>
    <t>Will negates
object or
Will negates
object or
Fortitude half
see text</t>
  </si>
  <si>
    <t>Sonic vibration damages objects or crystalline creatures</t>
  </si>
  <si>
    <t>Blur</t>
  </si>
  <si>
    <t>Attacks miss subject 20% of the time</t>
  </si>
  <si>
    <t>Hypnotic Pattern</t>
  </si>
  <si>
    <t>S, M
No Listed Cost
see text</t>
  </si>
  <si>
    <t>Colorful lights in a 10-ft.-radius spread</t>
  </si>
  <si>
    <t>Concentration + 2 rounds</t>
  </si>
  <si>
    <t>Invisibility</t>
  </si>
  <si>
    <t>Personal or Touch</t>
  </si>
  <si>
    <t>Will negates
harmless
or
Will negates
harmless, object</t>
  </si>
  <si>
    <t>Yes
harmless
or
Yes
harmless, object</t>
  </si>
  <si>
    <t>Magic Mouth</t>
  </si>
  <si>
    <t>V, S, M
Cost: 10 gp</t>
  </si>
  <si>
    <t>One creature or object</t>
  </si>
  <si>
    <t>Permanent until discharged</t>
  </si>
  <si>
    <t>Speaks once when triggered</t>
  </si>
  <si>
    <t>Minor Image</t>
  </si>
  <si>
    <t>As silent image, plus some sound</t>
  </si>
  <si>
    <t>Mirror Image</t>
  </si>
  <si>
    <t>Personal, see text</t>
  </si>
  <si>
    <t>Misdirection</t>
  </si>
  <si>
    <t>One creature or object, up to a 10-ft. cube in size</t>
  </si>
  <si>
    <t>None
or
Will negates
see text</t>
  </si>
  <si>
    <t>Misleads divinations for one creature or object</t>
  </si>
  <si>
    <t>Leomund's Trap</t>
  </si>
  <si>
    <t>Makes item seem trapped</t>
  </si>
  <si>
    <t>Blindness/Deafness</t>
  </si>
  <si>
    <t>One living creature</t>
  </si>
  <si>
    <t>Permanent (D)</t>
  </si>
  <si>
    <t>Makes subject blind or deaf</t>
  </si>
  <si>
    <t>Command Undead</t>
  </si>
  <si>
    <t>One undead creature</t>
  </si>
  <si>
    <t>Undead creature obeys your commands</t>
  </si>
  <si>
    <t>False Life</t>
  </si>
  <si>
    <t>Ghoul Touch</t>
  </si>
  <si>
    <t>Living humanoid touched</t>
  </si>
  <si>
    <t>1d6+2 rounds</t>
  </si>
  <si>
    <t>Paralyzes one subject, which exudes stench that makes those nearby sickened</t>
  </si>
  <si>
    <t>Scare</t>
  </si>
  <si>
    <t>Panics creatures of less than 6 HD</t>
  </si>
  <si>
    <t>Spectral Hand</t>
  </si>
  <si>
    <t>One spectral hand</t>
  </si>
  <si>
    <t>Creates disembodied glowing hand to deliver touch attacks</t>
  </si>
  <si>
    <t>Alter Self</t>
  </si>
  <si>
    <t>Assume form of a similar creature</t>
  </si>
  <si>
    <t>Bear's Endurance</t>
  </si>
  <si>
    <t>Bull's Strength</t>
  </si>
  <si>
    <t>Cat's Grace</t>
  </si>
  <si>
    <t xml:space="preserve">Yes
</t>
  </si>
  <si>
    <t>Darkvision</t>
  </si>
  <si>
    <t>See 60 ft in total darkness</t>
  </si>
  <si>
    <t>Eagle's Splendor</t>
  </si>
  <si>
    <t>Fox's Cunning</t>
  </si>
  <si>
    <t>Knock</t>
  </si>
  <si>
    <t>Opens locked or magically sealed door</t>
  </si>
  <si>
    <t>Levitate</t>
  </si>
  <si>
    <t>Subject moves up and down at your direction</t>
  </si>
  <si>
    <t>Owl's Wisdom</t>
  </si>
  <si>
    <t>Pyrotechnics</t>
  </si>
  <si>
    <t>One fire source, up to a 20-ft. cube</t>
  </si>
  <si>
    <t>1d4+1 rounds, or 1d4+1 rounds after creatures leave the smoke cloud; see text</t>
  </si>
  <si>
    <t>Will negates
or
Fortitude negates
see text</t>
  </si>
  <si>
    <t>Yes
or
No
see text</t>
  </si>
  <si>
    <t>Turns fire into blinding light or choking smoke</t>
  </si>
  <si>
    <t>Rope Trick</t>
  </si>
  <si>
    <t>One touched piece of rope from 5 ft to 30 ft long</t>
  </si>
  <si>
    <t>As many as eight creatures hide in extradimensional space</t>
  </si>
  <si>
    <t>Spider Climb</t>
  </si>
  <si>
    <t>Grants ability to walk on walls and ceilings</t>
  </si>
  <si>
    <t>Whispering Winds</t>
  </si>
  <si>
    <t>Transmutation
Air</t>
  </si>
  <si>
    <t>10 ft radius spread</t>
  </si>
  <si>
    <t>Dispel Magic</t>
  </si>
  <si>
    <t>One spellcaster, creature, or object; or 20-ft-radius burst</t>
  </si>
  <si>
    <t>Cancels magical spells and effects</t>
  </si>
  <si>
    <t>Explosive Runes</t>
  </si>
  <si>
    <t>One touched object weighing no more than 10 lbs</t>
  </si>
  <si>
    <t>Permanent until discharged (D)</t>
  </si>
  <si>
    <t>Deals 6d6 damage when read</t>
  </si>
  <si>
    <t>Magic Circle against Chaos</t>
  </si>
  <si>
    <t>10 ft radius emanation from touched creature</t>
  </si>
  <si>
    <t>Magic Circle against Evil</t>
  </si>
  <si>
    <t>Magic Circle against Good</t>
  </si>
  <si>
    <t>Magic Circle against Law</t>
  </si>
  <si>
    <t>Nondetection</t>
  </si>
  <si>
    <t>Creature or object touched</t>
  </si>
  <si>
    <t>Hides subject from divination, scrying</t>
  </si>
  <si>
    <t>Protection from Energy</t>
  </si>
  <si>
    <t>Phantom Steed</t>
  </si>
  <si>
    <t>10 minutes</t>
  </si>
  <si>
    <t>One quasi-real, horselike creature</t>
  </si>
  <si>
    <t>Sepia Snake Sigil</t>
  </si>
  <si>
    <t>V, S, M
Cost: 500 gp</t>
  </si>
  <si>
    <t>One touched book or written work</t>
  </si>
  <si>
    <t>Creates text symbol that immobilizes reader</t>
  </si>
  <si>
    <t>Sleet Storm</t>
  </si>
  <si>
    <t>Conjuration
Creation
Cold</t>
  </si>
  <si>
    <t>Cylinder (40 ft radius, 20 ft high)</t>
  </si>
  <si>
    <t>Hampers vision and movement</t>
  </si>
  <si>
    <t>Stinking Cloud</t>
  </si>
  <si>
    <t>Cloud spreads in 20 ft radius, 20 ft high</t>
  </si>
  <si>
    <t>Fortitude negates
see text</t>
  </si>
  <si>
    <t>Summon Monster III</t>
  </si>
  <si>
    <t>Arcane Sight</t>
  </si>
  <si>
    <t>Magical auras become visible to you</t>
  </si>
  <si>
    <t>Clairaudience
Clairvoyance</t>
  </si>
  <si>
    <t>Divination
Scrying</t>
  </si>
  <si>
    <t>Magical sensor</t>
  </si>
  <si>
    <t>Tongues</t>
  </si>
  <si>
    <t>Speak any language</t>
  </si>
  <si>
    <t>Deep Slumber</t>
  </si>
  <si>
    <t>One or more living creatures within a 10 ft burst</t>
  </si>
  <si>
    <t>Puts 10 HD of creatures to sleep</t>
  </si>
  <si>
    <t>Heroism</t>
  </si>
  <si>
    <t>Gives +2 on attack rolls, saves, skill checks</t>
  </si>
  <si>
    <t>Hold Person</t>
  </si>
  <si>
    <t>Rage</t>
  </si>
  <si>
    <t>Gives +2 to Str and Con, +1 on Will saves, -2 to AC</t>
  </si>
  <si>
    <t>Suggestion</t>
  </si>
  <si>
    <t>Enchantment
Compulsion
Language-
Dependant
Mind-Affecting</t>
  </si>
  <si>
    <t>Compels subject to follow stated course of action</t>
  </si>
  <si>
    <t>Daylight</t>
  </si>
  <si>
    <t>60-ft. radius of bright light</t>
  </si>
  <si>
    <t>Fireball</t>
  </si>
  <si>
    <t>20 ft radius spread</t>
  </si>
  <si>
    <t>Lightning Bolt</t>
  </si>
  <si>
    <t>120 ft</t>
  </si>
  <si>
    <t>120 ft line</t>
  </si>
  <si>
    <t>Leomund's Tiny Hut</t>
  </si>
  <si>
    <t>20 ft radius sphere centered on your location</t>
  </si>
  <si>
    <t>Creates shelter for ten creatures</t>
  </si>
  <si>
    <t>Wind Wall</t>
  </si>
  <si>
    <t>Deflects arrows, smaller creatures, and gases</t>
  </si>
  <si>
    <t>Displacement</t>
  </si>
  <si>
    <t>Attacks miss subject 50%</t>
  </si>
  <si>
    <t>Illusory Script</t>
  </si>
  <si>
    <t>Illusion
Phantasm
Mind-Affecting</t>
  </si>
  <si>
    <t>1 minute or longer, see text</t>
  </si>
  <si>
    <t>Only intended reader can decipher</t>
  </si>
  <si>
    <t>Invisibility Sphere</t>
  </si>
  <si>
    <t>10 ft radius emanation around the creature or object touched</t>
  </si>
  <si>
    <t>Makes everyone within 10 ft invisible</t>
  </si>
  <si>
    <t>Major Image</t>
  </si>
  <si>
    <t>Concentration + 3 rounds</t>
  </si>
  <si>
    <t>As silent image, plus sound, smell and thermal effects</t>
  </si>
  <si>
    <t>Gentle Repose</t>
  </si>
  <si>
    <t>V, S, M
Cost: A copper piece per eye</t>
  </si>
  <si>
    <t>Corpse touched</t>
  </si>
  <si>
    <t>Preserves one corpse</t>
  </si>
  <si>
    <t>Halt Undead</t>
  </si>
  <si>
    <t>Up to 3 undead creatures, no 2 of which can be more than 30 ft apart</t>
  </si>
  <si>
    <t>Ray of Exhaustion</t>
  </si>
  <si>
    <t>Fortitude partial
see text</t>
  </si>
  <si>
    <t>Ray makes subject exhausted</t>
  </si>
  <si>
    <t>Vampiric Touch</t>
  </si>
  <si>
    <t>Instantaneous/1 hour
see text</t>
  </si>
  <si>
    <t>Blink</t>
  </si>
  <si>
    <t>Flame Arrow</t>
  </si>
  <si>
    <t>Transmutation
Fire</t>
  </si>
  <si>
    <t>Fifty projectiles, all of which must be in contact with each other at the time of casting</t>
  </si>
  <si>
    <t>Arrows deal +1d6 fire damage</t>
  </si>
  <si>
    <t>Fly</t>
  </si>
  <si>
    <t>Subject flies at speed of 60 ft</t>
  </si>
  <si>
    <t>Gaseous Form</t>
  </si>
  <si>
    <t>S, M
No Listed Cost</t>
  </si>
  <si>
    <t>Willing corporeal creature touched</t>
  </si>
  <si>
    <t>Subject becomes insubstantial and can fly slowly</t>
  </si>
  <si>
    <t>Haste</t>
  </si>
  <si>
    <t>Keen Edge</t>
  </si>
  <si>
    <t>One weapon or fifty projectiles, all of which must be in contact with each other at the time of casting</t>
  </si>
  <si>
    <t>Will negates
harmles, object</t>
  </si>
  <si>
    <t>Doubles normal weapon’s threat range</t>
  </si>
  <si>
    <t>Greater Magic Weapon</t>
  </si>
  <si>
    <t>One weapon or fifty projectiles (all of which must be in contact with each other at the time of casting)</t>
  </si>
  <si>
    <t>Secret page</t>
  </si>
  <si>
    <t>Page touched, up to 3 sq ft in size</t>
  </si>
  <si>
    <t>Changes one page to hide its real content</t>
  </si>
  <si>
    <t>Shrink Item</t>
  </si>
  <si>
    <t>Object shrinks to one sixteenth size</t>
  </si>
  <si>
    <t>Slow</t>
  </si>
  <si>
    <t>Water Breathing</t>
  </si>
  <si>
    <t xml:space="preserve">V, S, M
No Listed Cost
</t>
  </si>
  <si>
    <t>Living creatures touched</t>
  </si>
  <si>
    <t>Subjects can breathe underwater</t>
  </si>
  <si>
    <t>Dimensional Anchor</t>
  </si>
  <si>
    <t>Bars extradimensional movement</t>
  </si>
  <si>
    <t>Fire Trap</t>
  </si>
  <si>
    <t>Abjuration
Fire</t>
  </si>
  <si>
    <t>Reflex half
see text</t>
  </si>
  <si>
    <t>Lesser Globe of Invulnerability</t>
  </si>
  <si>
    <t>10 ft spherical emanation, centered on you</t>
  </si>
  <si>
    <t>Stops 1st through 3rd level spell effects.</t>
  </si>
  <si>
    <t>Remove Curse</t>
  </si>
  <si>
    <t>Creature or item touched</t>
  </si>
  <si>
    <t>Frees object or person from curse</t>
  </si>
  <si>
    <t>Stoneskin</t>
  </si>
  <si>
    <t>V, S, M
Cost: 250 gp</t>
  </si>
  <si>
    <t>Ignore 10 points of damage per attack</t>
  </si>
  <si>
    <t>Evard's Black Tentacles</t>
  </si>
  <si>
    <t>Tentacles grapple all within 20 ft. spread</t>
  </si>
  <si>
    <t>Dimension Door</t>
  </si>
  <si>
    <t>Conjuration
Teleportation</t>
  </si>
  <si>
    <t>You and touched objects or other touched willing creatures</t>
  </si>
  <si>
    <t>None
and
Will negates
object</t>
  </si>
  <si>
    <t>No
and
Yes
object</t>
  </si>
  <si>
    <t>Teleports you short distance</t>
  </si>
  <si>
    <t>Minor Creation</t>
  </si>
  <si>
    <t>Creates one cloth or wood object</t>
  </si>
  <si>
    <t>Leomund's Secure Shelter</t>
  </si>
  <si>
    <t>V, S, M, F, see text
No Listed Cost</t>
  </si>
  <si>
    <t>20 ft square structure</t>
  </si>
  <si>
    <t>Creates sturdy cottage</t>
  </si>
  <si>
    <t>Solid Fog</t>
  </si>
  <si>
    <t>Fog spreads in 20 ft radius, 20 ft high</t>
  </si>
  <si>
    <t>Blocks vision and slows movement</t>
  </si>
  <si>
    <t>Summon Monster IV</t>
  </si>
  <si>
    <t>Arcane Eye</t>
  </si>
  <si>
    <t>Unlimited</t>
  </si>
  <si>
    <t>Invisible floating eye moves 30 ft/round</t>
  </si>
  <si>
    <t>Detect Scrying</t>
  </si>
  <si>
    <t>40 ft</t>
  </si>
  <si>
    <t>40 ft radius emanation centered on you</t>
  </si>
  <si>
    <t>Alerts you of magical eavesdropping</t>
  </si>
  <si>
    <t>Locate Creature</t>
  </si>
  <si>
    <t>Indicates direction to familiar creature</t>
  </si>
  <si>
    <t>Scrying</t>
  </si>
  <si>
    <t>V, S, M, F
No Listed Cost
Focus: 1000 gp</t>
  </si>
  <si>
    <t>Spies on subject from a distance</t>
  </si>
  <si>
    <t>Charm Monster</t>
  </si>
  <si>
    <t>Makes monster believe it is your ally</t>
  </si>
  <si>
    <t>Confusion</t>
  </si>
  <si>
    <t>All creatures within a 15 ft burst</t>
  </si>
  <si>
    <t>Crushing Despair</t>
  </si>
  <si>
    <t>30 ft</t>
  </si>
  <si>
    <t>Subjects take -2 on attack rolls, damage rolls, saves, and checks</t>
  </si>
  <si>
    <t>Lesser Geas</t>
  </si>
  <si>
    <t>One living creature of 7 HD or less</t>
  </si>
  <si>
    <t>Commands subject of 7 HD or less</t>
  </si>
  <si>
    <t>Fire Shield</t>
  </si>
  <si>
    <t>Evocation
Fire
or
Cold</t>
  </si>
  <si>
    <t>Creatures attacking you take fire damage; you’re protected from heat or cold</t>
  </si>
  <si>
    <t>Ice Storm</t>
  </si>
  <si>
    <t>Cylinder (20 ft radius, 40 ft high)</t>
  </si>
  <si>
    <t>1 full round</t>
  </si>
  <si>
    <t>Hail deals 5d6 damage in cylinder 40 ft. across</t>
  </si>
  <si>
    <t>Otiluke's Resilient Sphere</t>
  </si>
  <si>
    <t>Force globe protects but traps one subject</t>
  </si>
  <si>
    <t>Shout</t>
  </si>
  <si>
    <t>Fortitude partial
or
Reflex negates
object
see text</t>
  </si>
  <si>
    <t>Deafens all within cone and deals 5d6 sonic damage</t>
  </si>
  <si>
    <t>Wall of Fire</t>
  </si>
  <si>
    <t>Wall of Ice</t>
  </si>
  <si>
    <t>Hallucinatory Terrain</t>
  </si>
  <si>
    <t>Makes one type of terrain appear like another (field into forest, or the like)</t>
  </si>
  <si>
    <t>Illusory Wall</t>
  </si>
  <si>
    <t>Image 1 ft by 10 ft by 10 ft</t>
  </si>
  <si>
    <t>Wall, floor, or ceiling looks real, but anything can pass through</t>
  </si>
  <si>
    <t>Greater Invisibility</t>
  </si>
  <si>
    <t>Personal or touched</t>
  </si>
  <si>
    <t>You or creature touched</t>
  </si>
  <si>
    <t>As invisibility, but subject can attack and stay invisible</t>
  </si>
  <si>
    <t>Phantasmal Killer</t>
  </si>
  <si>
    <t>Illusion
Phantasm
Fear
Mind-Affecting</t>
  </si>
  <si>
    <t>Will disbelief
Fortitude partial</t>
  </si>
  <si>
    <t>Fearsome illusion kills subject or deals 3d6 damage.</t>
  </si>
  <si>
    <t>Rainbow Pattern</t>
  </si>
  <si>
    <t>S, M, F
No Listed Cost</t>
  </si>
  <si>
    <t>Colorful lights with a 20 ft radius spread</t>
  </si>
  <si>
    <t>Lights fascinate 24 HD of creatures</t>
  </si>
  <si>
    <t>Shadow Conjuration</t>
  </si>
  <si>
    <t>Illusion
Shadow</t>
  </si>
  <si>
    <t>Will disbelief
if interacted with
varies, see text</t>
  </si>
  <si>
    <t>Yes
see text</t>
  </si>
  <si>
    <t>Mimics conjuring below 4th level, but only 20% real</t>
  </si>
  <si>
    <t>Animate Dead</t>
  </si>
  <si>
    <t>Necromancy
Evil</t>
  </si>
  <si>
    <t>V, S, M
Cost: 25 gp per HD of target</t>
  </si>
  <si>
    <t>One or more corpses touched</t>
  </si>
  <si>
    <t>Creates undead skeletons and zombies</t>
  </si>
  <si>
    <t>Bestow Curse</t>
  </si>
  <si>
    <t>-6 to an ability score; -4 on attack rolls, saves, and checks; or 50% chance of losing each action</t>
  </si>
  <si>
    <t>Contagion</t>
  </si>
  <si>
    <t>Infects subject with chosen disease</t>
  </si>
  <si>
    <t>Enervation</t>
  </si>
  <si>
    <t>Ray of negative energy</t>
  </si>
  <si>
    <t>Subject gains 1d4 negative levels</t>
  </si>
  <si>
    <t>Fear</t>
  </si>
  <si>
    <t>Mass Enlarge Person</t>
  </si>
  <si>
    <t>Enlarges several creatures</t>
  </si>
  <si>
    <t>Rary's Mnemonic Enhancer</t>
  </si>
  <si>
    <t>Wizard only. Prepares extra spells or retains one just cast.</t>
  </si>
  <si>
    <t>Polymorph</t>
  </si>
  <si>
    <t>Willing living creature touched</t>
  </si>
  <si>
    <t>Gives one willing subject a new form</t>
  </si>
  <si>
    <t>Mass Reduce Person</t>
  </si>
  <si>
    <t>Reduces several creatures</t>
  </si>
  <si>
    <t>Stone Shape</t>
  </si>
  <si>
    <t>Transmutation
Earth</t>
  </si>
  <si>
    <t>Sculpts stone into any shape</t>
  </si>
  <si>
    <t>Break Enchantment</t>
  </si>
  <si>
    <t>Frees subjects from enchantments, alterations, curses, and petrification</t>
  </si>
  <si>
    <t>Dismissal</t>
  </si>
  <si>
    <t>One extraplanar creature</t>
  </si>
  <si>
    <t>Forces a creature to return to native plane</t>
  </si>
  <si>
    <t>Mordenkainen's Private Sanctum</t>
  </si>
  <si>
    <t>24 hours (D)</t>
  </si>
  <si>
    <t>Prevents anyone from viewing or scrying an area for 24 hours</t>
  </si>
  <si>
    <t>Cloudkill</t>
  </si>
  <si>
    <t>Kills 3 HD or less; 4-6 HD save or die, 6+ HD take Con damage</t>
  </si>
  <si>
    <t>Mordenkainen's Faithful Hound</t>
  </si>
  <si>
    <t>Phantom watchdog</t>
  </si>
  <si>
    <t>Phantom dog can guard, attack</t>
  </si>
  <si>
    <t>Major Creation</t>
  </si>
  <si>
    <t>As minor creation, plus stone and metal</t>
  </si>
  <si>
    <t>Lesser Planar Binding</t>
  </si>
  <si>
    <t>Conjuration
Calling
See text</t>
  </si>
  <si>
    <t>One elemental or outsider with 6 HD or less</t>
  </si>
  <si>
    <t>No
and
Yes
see text</t>
  </si>
  <si>
    <t>Traps extraplanar creature of 6 HD or less until it performs a task</t>
  </si>
  <si>
    <t>Leomund's Secret Chest</t>
  </si>
  <si>
    <t>60 days or until discharged</t>
  </si>
  <si>
    <t>Hides expensive chest on Ethereal Plane; you retrieve it at will</t>
  </si>
  <si>
    <t>Summon Monster V</t>
  </si>
  <si>
    <t>Teleport</t>
  </si>
  <si>
    <t>Personal and Touch</t>
  </si>
  <si>
    <t>Wall of Stone</t>
  </si>
  <si>
    <t>Conjuration
Creation
Earth</t>
  </si>
  <si>
    <t>Creates a stone wall that can be shaped</t>
  </si>
  <si>
    <t>Contact Other Plane</t>
  </si>
  <si>
    <t>Lets you ask question of extraplanar entity</t>
  </si>
  <si>
    <t>Prying Eyes</t>
  </si>
  <si>
    <t>1 mile</t>
  </si>
  <si>
    <t>Ten or more levitating eyes</t>
  </si>
  <si>
    <t>Rary's Telepathic Bond</t>
  </si>
  <si>
    <t>Link lets allies communicate.</t>
  </si>
  <si>
    <t>Dominate Person</t>
  </si>
  <si>
    <t>One humanoid</t>
  </si>
  <si>
    <t>Controls humanoid telepathically</t>
  </si>
  <si>
    <t>Feeblemind</t>
  </si>
  <si>
    <t>One creature</t>
  </si>
  <si>
    <t>Subject’s Int and Cha drop to 1</t>
  </si>
  <si>
    <t>Hold Monster</t>
  </si>
  <si>
    <t>As hold person, but any creature</t>
  </si>
  <si>
    <t>Mind Fog</t>
  </si>
  <si>
    <t>30 minutes and 2d6 rounds, see text</t>
  </si>
  <si>
    <t>Subjects in fog get -10 to Wis and Will checks</t>
  </si>
  <si>
    <t>Symbol of Sleep</t>
  </si>
  <si>
    <t>V, S, M
Cost: 1000 gp</t>
  </si>
  <si>
    <t>0 ft, see text</t>
  </si>
  <si>
    <t>One symbol</t>
  </si>
  <si>
    <t>Triggered rune puts nearby creatures into catatonic slumber</t>
  </si>
  <si>
    <t>Cone of Cold</t>
  </si>
  <si>
    <t>Bigby's Interposing Hand</t>
  </si>
  <si>
    <t>10 ft hand</t>
  </si>
  <si>
    <t>Hand provides cover against one opponent</t>
  </si>
  <si>
    <t>Sending</t>
  </si>
  <si>
    <t>Evocation</t>
  </si>
  <si>
    <t>1 round, see text</t>
  </si>
  <si>
    <t>Delivers short message anywhere, instantly</t>
  </si>
  <si>
    <t>Wall of Force</t>
  </si>
  <si>
    <t>Wall is immune to damage</t>
  </si>
  <si>
    <t>Dream</t>
  </si>
  <si>
    <t>One living creature touched</t>
  </si>
  <si>
    <t>Sends message to anyone sleeping</t>
  </si>
  <si>
    <t>False Vision</t>
  </si>
  <si>
    <t>40 ft radius emanation</t>
  </si>
  <si>
    <t>Fools scrying with an illusion</t>
  </si>
  <si>
    <t>Mirage Arcana</t>
  </si>
  <si>
    <t>As hallucinatory terrain, plus structures</t>
  </si>
  <si>
    <t>Nightmare</t>
  </si>
  <si>
    <t>Illusion
Phantasm
Mind-Affecting
Evil</t>
  </si>
  <si>
    <t>Sends vision dealing 1d10 damage, fatigue</t>
  </si>
  <si>
    <t>Persistent Image</t>
  </si>
  <si>
    <t>As major image, but no concentration required</t>
  </si>
  <si>
    <t>Seeming</t>
  </si>
  <si>
    <t>12 hours (D)</t>
  </si>
  <si>
    <t>Will negates
or
Will disbelief
if interacted with</t>
  </si>
  <si>
    <t>Shadow Evocation</t>
  </si>
  <si>
    <t>Mimics evocation of lower than 5th level, but only 20% real</t>
  </si>
  <si>
    <t>Blight</t>
  </si>
  <si>
    <t xml:space="preserve">V, S
</t>
  </si>
  <si>
    <t>Fortitude half
see text</t>
  </si>
  <si>
    <t>Magic Jar</t>
  </si>
  <si>
    <t>V, S, F
Focus: 100 gp</t>
  </si>
  <si>
    <t>Enables possession of another creature</t>
  </si>
  <si>
    <t>Symbol of Pain</t>
  </si>
  <si>
    <t>Triggered rune wracks nearby creatures with pain</t>
  </si>
  <si>
    <t>Waves of Fatigue</t>
  </si>
  <si>
    <t>Several targets become fatigued</t>
  </si>
  <si>
    <t>Animal Growth</t>
  </si>
  <si>
    <t>Baleful Polymorph</t>
  </si>
  <si>
    <t>Fortitude negates
Will partial
see text</t>
  </si>
  <si>
    <t>Transforms subject into harmless animal</t>
  </si>
  <si>
    <t>Fabricate</t>
  </si>
  <si>
    <t>V, S, M
Cost: see text</t>
  </si>
  <si>
    <t>Transforms raw materials into finished items</t>
  </si>
  <si>
    <t>Overland Flight</t>
  </si>
  <si>
    <t>You fly at a speed of 40 ft and can hustle over long distances.</t>
  </si>
  <si>
    <t>Passwall</t>
  </si>
  <si>
    <t>Creates passage through wood or stone wall</t>
  </si>
  <si>
    <t>Telekinesis</t>
  </si>
  <si>
    <t>Will negates
object
or
None
see text</t>
  </si>
  <si>
    <t>Yes
object
see text</t>
  </si>
  <si>
    <t>Moves object, attacks creature, or hurls object or creature.</t>
  </si>
  <si>
    <t>Transmute Mud to Rock</t>
  </si>
  <si>
    <t>Transmute Rock to Mud</t>
  </si>
  <si>
    <t>Permanency</t>
  </si>
  <si>
    <t>V, S, XP</t>
  </si>
  <si>
    <t>2 rounds</t>
  </si>
  <si>
    <t>Permanent
see text</t>
  </si>
  <si>
    <t>Makes certain spells permanent</t>
  </si>
  <si>
    <t>Antimagic Field</t>
  </si>
  <si>
    <t>10 ft radius emanation, centered on you</t>
  </si>
  <si>
    <t>Negates magic within 10 ft</t>
  </si>
  <si>
    <t>Greater Dispel Magic</t>
  </si>
  <si>
    <t>As dispel magic, but +20 on check</t>
  </si>
  <si>
    <t>Globe of Invulnerability</t>
  </si>
  <si>
    <t>As lesser globe of invulnerability, plus 4th-level spell effects</t>
  </si>
  <si>
    <t>Guards and Wards</t>
  </si>
  <si>
    <t>30 minutes</t>
  </si>
  <si>
    <t>Anywhere within the area to be warded</t>
  </si>
  <si>
    <t>Array of magic effects protect area</t>
  </si>
  <si>
    <t>Repulsion</t>
  </si>
  <si>
    <t>V, S, F
Focus: 50 gp</t>
  </si>
  <si>
    <t>Creatures can’t approach you</t>
  </si>
  <si>
    <t>Acid Fog</t>
  </si>
  <si>
    <t>Fog spreads in a 20 ft radius, 20 ft high</t>
  </si>
  <si>
    <t>Fog deals acid damage</t>
  </si>
  <si>
    <t>Planar Binding</t>
  </si>
  <si>
    <t>Up to 3 elementals or outsiders, totaling no more than 12 HD, no 2 of which can be more than 30 ft apart when they appear</t>
  </si>
  <si>
    <t>As lesser planar binding, but up to 12 HD</t>
  </si>
  <si>
    <t>Summon Monster VI</t>
  </si>
  <si>
    <t>Wall of Iron</t>
  </si>
  <si>
    <t>Analyze Dweomer</t>
  </si>
  <si>
    <t>V, S, F
Focus: 1500 gp</t>
  </si>
  <si>
    <t>Reveals magical aspects of subject</t>
  </si>
  <si>
    <t>Legend Lore</t>
  </si>
  <si>
    <t>V, S, M, F
Cost: 250 gp
Focus: 200 gp</t>
  </si>
  <si>
    <t>Lets you learn tales about a person, place, or thing</t>
  </si>
  <si>
    <t>True Seeing</t>
  </si>
  <si>
    <t>Will negates
harmless</t>
  </si>
  <si>
    <t>Yes
harmless</t>
  </si>
  <si>
    <t>Lets you see all things as they really are</t>
  </si>
  <si>
    <t>Geas/Quest</t>
  </si>
  <si>
    <t>As lesser geas, plus it affects any creature</t>
  </si>
  <si>
    <t>Greater Heroism</t>
  </si>
  <si>
    <t>Gives +4 bonus on attack rolls, saves, skill checks; immunity to fear; temporary hp</t>
  </si>
  <si>
    <t>Mass Suggestion</t>
  </si>
  <si>
    <t>Symbol of Persuasion</t>
  </si>
  <si>
    <t>V, S, M
Cost: 5000 gp</t>
  </si>
  <si>
    <t>Triggered rune charms nearby creatures</t>
  </si>
  <si>
    <t>Chain Lightning</t>
  </si>
  <si>
    <t>Contingency</t>
  </si>
  <si>
    <t>V, S, M, F
Cost: companion spell cost
Focus: 1500 gp</t>
  </si>
  <si>
    <t>At least 10 minutes, see text</t>
  </si>
  <si>
    <t>Sets trigger condition for another spell</t>
  </si>
  <si>
    <t>Bigby's Forceful Hand</t>
  </si>
  <si>
    <t>Hand pushes creatures away</t>
  </si>
  <si>
    <t>Otiluke's Freezing Sphere</t>
  </si>
  <si>
    <t>Freezes water or deals cold damage</t>
  </si>
  <si>
    <t>Mislead</t>
  </si>
  <si>
    <t>Illusion
Figment
Glamer</t>
  </si>
  <si>
    <t>S</t>
  </si>
  <si>
    <t>You and 1 illusory double</t>
  </si>
  <si>
    <t>None
or
Will disbelief
if interacted with
see text</t>
  </si>
  <si>
    <t>Turns you invisible and creates illusory double</t>
  </si>
  <si>
    <t>Permanent Image</t>
  </si>
  <si>
    <t>V, S, M, F
Cost: 100 gp</t>
  </si>
  <si>
    <t>Includes sight, sound, and smell</t>
  </si>
  <si>
    <t>Programmed Image</t>
  </si>
  <si>
    <t>V, S, M, F
Cost: 25 gp</t>
  </si>
  <si>
    <t>As major image, plus triggered by event</t>
  </si>
  <si>
    <t>Shadow Walk</t>
  </si>
  <si>
    <t>Step into shadow to travel rapidly</t>
  </si>
  <si>
    <t>Veil</t>
  </si>
  <si>
    <t>One or more creatures, no 2 of which can be more than 30 ft apart</t>
  </si>
  <si>
    <t>Changes appearance of group of creatures</t>
  </si>
  <si>
    <t>Circle of Death</t>
  </si>
  <si>
    <t>Necromancy
Death</t>
  </si>
  <si>
    <t>Several creatures within a 40 ft radius burst</t>
  </si>
  <si>
    <t>Create Undead</t>
  </si>
  <si>
    <t>V, S, M
Cost: 50 gp per HD</t>
  </si>
  <si>
    <t>One corpse</t>
  </si>
  <si>
    <t>Creates ghouls, ghasts, mummies, or mohrgs</t>
  </si>
  <si>
    <t>Eyebite</t>
  </si>
  <si>
    <t>Target becomes panicked, sickened, and comatose</t>
  </si>
  <si>
    <t>Symbol of Fear</t>
  </si>
  <si>
    <t>Triggered rune panics nearby creatures</t>
  </si>
  <si>
    <t>Undeath to Death</t>
  </si>
  <si>
    <t>Several undead creatures within a 40 ft burst</t>
  </si>
  <si>
    <t>Mass Bear's Endurance</t>
  </si>
  <si>
    <t>Mass Bull's Strength</t>
  </si>
  <si>
    <t>Mass Cat's Grace</t>
  </si>
  <si>
    <t>Control Water</t>
  </si>
  <si>
    <t>Transmutation
Water</t>
  </si>
  <si>
    <t>Raises or lowers bodies of water</t>
  </si>
  <si>
    <t>Disintegrate</t>
  </si>
  <si>
    <t>Fortitude partial
object</t>
  </si>
  <si>
    <t>Makes one creature or object vanish</t>
  </si>
  <si>
    <t>Mass Eagle's Splendor</t>
  </si>
  <si>
    <t>Flesh to Stone</t>
  </si>
  <si>
    <t>Turns subject creature into statue</t>
  </si>
  <si>
    <t>Mass Fox's Cunning</t>
  </si>
  <si>
    <t>Mordenkainen's Lucubration</t>
  </si>
  <si>
    <t>Wizard only. Recalls spell of 5th level or lower</t>
  </si>
  <si>
    <t>Move Earth</t>
  </si>
  <si>
    <t>Dirt in an area up to 750 ft. square and up to 10 ft. deep</t>
  </si>
  <si>
    <t>Digs trenches and builds hills</t>
  </si>
  <si>
    <t>Mass Owl's Wisdom</t>
  </si>
  <si>
    <t>Stone to Flesh</t>
  </si>
  <si>
    <t>One petrified creature or a cylinder of stone from 1 ft to 3 ft in diameter and up to 10 ft long</t>
  </si>
  <si>
    <t>Fortitude negates
object
see text</t>
  </si>
  <si>
    <t>Restores petrified creature</t>
  </si>
  <si>
    <t>Tenser's Transformation</t>
  </si>
  <si>
    <t>V, S, M
Cost: potion of bull's strength</t>
  </si>
  <si>
    <t>You gain combat bonuses</t>
  </si>
  <si>
    <t>Banishment</t>
  </si>
  <si>
    <t>One or more extraplanar creatures, no two of which can be more than 30 ft apart</t>
  </si>
  <si>
    <t>Sequester</t>
  </si>
  <si>
    <t>None
or
Will negates
object</t>
  </si>
  <si>
    <t>No
or
Yes
object</t>
  </si>
  <si>
    <t>Subject is invisible to sight and scrying; renders creature comatose</t>
  </si>
  <si>
    <t>Spell Turning</t>
  </si>
  <si>
    <t>Reflect 1d4+6 spell levels back at caster</t>
  </si>
  <si>
    <t>Drawmij's Instant Summons</t>
  </si>
  <si>
    <t>One object weighing 10 lbs or less whose longest dimension is 6 ft or less</t>
  </si>
  <si>
    <t>Prepared object appears in your hand</t>
  </si>
  <si>
    <t>Mordenkainen's Magnificent Mansion</t>
  </si>
  <si>
    <t>V, S, F
Focus: 15 gp</t>
  </si>
  <si>
    <t>Door leads to extradimensional mansion</t>
  </si>
  <si>
    <t>Phase Door</t>
  </si>
  <si>
    <t>Creates an invisible passage through wood or stone</t>
  </si>
  <si>
    <t>Plane Shift</t>
  </si>
  <si>
    <t>Creature touched, or up to 8 willing creatures joining hands</t>
  </si>
  <si>
    <t>As many as eight subjects travel to another plane</t>
  </si>
  <si>
    <t>Summon Monster VII</t>
  </si>
  <si>
    <t>Greater Teleport</t>
  </si>
  <si>
    <t>As teleport, but no range limit and no off-target arrival</t>
  </si>
  <si>
    <t>Teleport Object</t>
  </si>
  <si>
    <t>As teleport, but affects a touched object</t>
  </si>
  <si>
    <t>Greater Arcane Eye</t>
  </si>
  <si>
    <t>As arcane sight, but also reveals magic effects on creatures and objects</t>
  </si>
  <si>
    <t>Greater Scrying</t>
  </si>
  <si>
    <t>As scrying, but faster and longer</t>
  </si>
  <si>
    <t>Vision</t>
  </si>
  <si>
    <t>V, S, M, XP
Cost: 250 gp</t>
  </si>
  <si>
    <t>As legend lore, but quicker and strenuous</t>
  </si>
  <si>
    <t>Mass Hold Person</t>
  </si>
  <si>
    <t>One or more humanoid creatures, no 2 of which can be more than 30 ft apart</t>
  </si>
  <si>
    <t>As hold person, but all within 30 ft</t>
  </si>
  <si>
    <t>Insanity</t>
  </si>
  <si>
    <t>Subject suffers continuous confusion</t>
  </si>
  <si>
    <t>Power Word Blind</t>
  </si>
  <si>
    <t>One creature with 200 hp or less</t>
  </si>
  <si>
    <t>Blinds creature with 200 hp or less</t>
  </si>
  <si>
    <t>Symbol of Stunning</t>
  </si>
  <si>
    <t>Triggered rune stuns nearby creatures</t>
  </si>
  <si>
    <t>Delayed Blast Fireball</t>
  </si>
  <si>
    <t>5 rounds or less, see text</t>
  </si>
  <si>
    <t>Forcecage</t>
  </si>
  <si>
    <t>V, S, M
Cost: 1500 gp</t>
  </si>
  <si>
    <t>Barred cage (20 ft cube) or windowless cell (10 ft cube)</t>
  </si>
  <si>
    <t>Cube or cage of force imprisons all inside</t>
  </si>
  <si>
    <t>Bigby's Grasping Hand</t>
  </si>
  <si>
    <t>Hand provides cover, pushes, or grapples</t>
  </si>
  <si>
    <t>Mordenkainen's Sword</t>
  </si>
  <si>
    <t>V, S, F
Focus: 250 gp</t>
  </si>
  <si>
    <t>One sword</t>
  </si>
  <si>
    <t>Floating magic blade strikes opponents</t>
  </si>
  <si>
    <t>Prismatic Spray</t>
  </si>
  <si>
    <t>Rays hit subjects with variety of effects</t>
  </si>
  <si>
    <t>Mass Invisibility</t>
  </si>
  <si>
    <t>Any number of creatures, no two of which can be more than 180 ft apart</t>
  </si>
  <si>
    <t>As invisibility, but affects all in range</t>
  </si>
  <si>
    <t>Project Image</t>
  </si>
  <si>
    <t>V, S, M
Cost: 5 gp</t>
  </si>
  <si>
    <t>One shadow duplicate</t>
  </si>
  <si>
    <t>Illusory double can talk and cast spells</t>
  </si>
  <si>
    <t>Greater Shadow Conjuration</t>
  </si>
  <si>
    <t>As shadow conjuration, but up to 6th level and 60% real</t>
  </si>
  <si>
    <t>Simulacrum</t>
  </si>
  <si>
    <t>V, S, M, XP
Cost: 100 gp per HD</t>
  </si>
  <si>
    <t>12 hours</t>
  </si>
  <si>
    <t>One duplicate creature</t>
  </si>
  <si>
    <t>Creates partially real double of a creature</t>
  </si>
  <si>
    <t>Control Undead</t>
  </si>
  <si>
    <t>Undead don’t attack you while under your command</t>
  </si>
  <si>
    <t>Finger of Death</t>
  </si>
  <si>
    <t>Fortitude partial</t>
  </si>
  <si>
    <t>Kills one subject</t>
  </si>
  <si>
    <t>Symbol of Weakness</t>
  </si>
  <si>
    <t>Triggered rune weakens nearby creatures</t>
  </si>
  <si>
    <t>Waves of Exhaustion</t>
  </si>
  <si>
    <t>Several targets become exhausted</t>
  </si>
  <si>
    <t>Control Weather</t>
  </si>
  <si>
    <t>10 minutes
see text</t>
  </si>
  <si>
    <t>2 miles</t>
  </si>
  <si>
    <t>2-mile-radius circle, centered on you; see text</t>
  </si>
  <si>
    <t>4d12 hours, see text</t>
  </si>
  <si>
    <t>Changes weather in local area</t>
  </si>
  <si>
    <t>Ethereal Jaunt</t>
  </si>
  <si>
    <t>Reverse Gravity</t>
  </si>
  <si>
    <t>Objects and creatures fall upward</t>
  </si>
  <si>
    <t>Statue</t>
  </si>
  <si>
    <t>Subject can become a statue at will</t>
  </si>
  <si>
    <t>Limited Wish</t>
  </si>
  <si>
    <t>Alters reality-within spell limits</t>
  </si>
  <si>
    <t>Dimensional Lock</t>
  </si>
  <si>
    <t>Mind Blank</t>
  </si>
  <si>
    <t>Subject is immune to mental/emotional magic and scrying</t>
  </si>
  <si>
    <t>Prismatic Wall</t>
  </si>
  <si>
    <t>Wall’s colors have array of effects</t>
  </si>
  <si>
    <t>Protection from Spells</t>
  </si>
  <si>
    <t>V, S, M, F
Cost: 500 gp
Focus: 1000 gp per creature</t>
  </si>
  <si>
    <t>Confers +8 resistance bonus</t>
  </si>
  <si>
    <t>Incendiary Cloud</t>
  </si>
  <si>
    <t>Conjuration
Creation
Fire</t>
  </si>
  <si>
    <t>Cloud spreads in a 20 ft radius, 20 ft high</t>
  </si>
  <si>
    <t>Cloud deals 4d6 fire damage/round</t>
  </si>
  <si>
    <t>Maze</t>
  </si>
  <si>
    <t>Traps subject in extradimensional maze</t>
  </si>
  <si>
    <t>Greater Planar Binding</t>
  </si>
  <si>
    <t>Up to 3 elementals or outsiders, totaling no more than 18 HD, no 2 of which can be more than 30 ft apart when they appear</t>
  </si>
  <si>
    <t>As lesser planar binding, but up to 18 HD</t>
  </si>
  <si>
    <t>Summon Monster VIII</t>
  </si>
  <si>
    <t>Trap the Soul</t>
  </si>
  <si>
    <t>V, S, M, (F), see text
Cost: 1000 gp per HD</t>
  </si>
  <si>
    <t>1 standard action or see text</t>
  </si>
  <si>
    <t>Permanent, see text</t>
  </si>
  <si>
    <t>Imprisons subject within gem</t>
  </si>
  <si>
    <t>Discern Location</t>
  </si>
  <si>
    <t>Reveals exact location of creature or object</t>
  </si>
  <si>
    <t>Moment of Prescience</t>
  </si>
  <si>
    <t>You gain insight bonus on single attack roll, check, or save</t>
  </si>
  <si>
    <t>Greater Prying Eyes</t>
  </si>
  <si>
    <t>As prying eyes, but eyes have true seeing</t>
  </si>
  <si>
    <t>Antipathy</t>
  </si>
  <si>
    <t>Object or location affected by spell repels certain creatures</t>
  </si>
  <si>
    <t>Binding</t>
  </si>
  <si>
    <t>V, S, M
Cost: 500 gp + 500 gp per HD</t>
  </si>
  <si>
    <t>See text (D)</t>
  </si>
  <si>
    <t>Utilizes an array of techniques to imprison a creature</t>
  </si>
  <si>
    <t>Mass Charm Monster</t>
  </si>
  <si>
    <t>One or more creatures, no two of which can be more than 30 ft apart</t>
  </si>
  <si>
    <t>Demand</t>
  </si>
  <si>
    <t>As sending, plus you can send suggestion</t>
  </si>
  <si>
    <t>Otto's Irresistible Dance</t>
  </si>
  <si>
    <t>Living creature touch</t>
  </si>
  <si>
    <t>1d4+1 rounds</t>
  </si>
  <si>
    <t>Forces subject to dance</t>
  </si>
  <si>
    <t>Power Word Stun</t>
  </si>
  <si>
    <t>One creature with 150 hp or less</t>
  </si>
  <si>
    <t>Stuns creature with 150 hp or less</t>
  </si>
  <si>
    <t>Symbol of Insanity</t>
  </si>
  <si>
    <t>Triggered rune renders nearby creatures insane</t>
  </si>
  <si>
    <t>Sympathy</t>
  </si>
  <si>
    <t>Object or location attracts certain creatures</t>
  </si>
  <si>
    <t>Bigby's Clenched Fist</t>
  </si>
  <si>
    <t>Large hand provides cover, pushes, or attacks your foes</t>
  </si>
  <si>
    <t>Polar Ray</t>
  </si>
  <si>
    <t>Greater Shout</t>
  </si>
  <si>
    <t>Devastating yell deals 10d6 sonic damage; stuns creatures, damages objects</t>
  </si>
  <si>
    <t>Sunburst</t>
  </si>
  <si>
    <t>80 ft radius burst</t>
  </si>
  <si>
    <t>Reflex partial
see text</t>
  </si>
  <si>
    <t>Blinds all within 10 ft., deals 6d6 damage</t>
  </si>
  <si>
    <t>Otiluke's Telekinetic Sphere</t>
  </si>
  <si>
    <t>Reflex negates
object</t>
  </si>
  <si>
    <t>As resilient sphere, but you move sphere telekinetically</t>
  </si>
  <si>
    <t>Scintillating Pattern</t>
  </si>
  <si>
    <t>Colorful lights in a 20 ft radius spread</t>
  </si>
  <si>
    <t>Twisting colors confuse, stun, or render unconscious</t>
  </si>
  <si>
    <t>Screen</t>
  </si>
  <si>
    <t>Illusion hides area from vision, scrying</t>
  </si>
  <si>
    <t>Greater Shadow Evocation</t>
  </si>
  <si>
    <t>As shadow evocation, but up to 7th level and 60% real</t>
  </si>
  <si>
    <t>Clone</t>
  </si>
  <si>
    <t>V, S, M, F
Cost: 1000 gp
Focus: 500 gp</t>
  </si>
  <si>
    <t>One clone</t>
  </si>
  <si>
    <t>Duplicate awakens when original dies</t>
  </si>
  <si>
    <t>Create Greater Undead</t>
  </si>
  <si>
    <t>Create shadows, wraiths, spectres, or devourers</t>
  </si>
  <si>
    <t>Horrid Wilting</t>
  </si>
  <si>
    <t>Living creatures, no two of which can be more than 60 ft apart</t>
  </si>
  <si>
    <t>Fortitude half</t>
  </si>
  <si>
    <t>Symbol of Death</t>
  </si>
  <si>
    <t>Triggered rune slays nearby creatures</t>
  </si>
  <si>
    <t>Iron Body</t>
  </si>
  <si>
    <t>Your body becomes living iron</t>
  </si>
  <si>
    <t>Polymorph any Object</t>
  </si>
  <si>
    <t>Fortitude negates
object, see text</t>
  </si>
  <si>
    <t>Yes
obejct</t>
  </si>
  <si>
    <t>Changes any subject into anything else</t>
  </si>
  <si>
    <t>Temporal Stasis</t>
  </si>
  <si>
    <t>Puts subject into suspended animation</t>
  </si>
  <si>
    <t>Freedom</t>
  </si>
  <si>
    <t>Releases creature from imprisonment</t>
  </si>
  <si>
    <t>Imprisonment</t>
  </si>
  <si>
    <t>Entombs subject beneath the earth</t>
  </si>
  <si>
    <t>Mordenkainen's Disjunction</t>
  </si>
  <si>
    <t>All magical effects and magic items within a 40 ft radius burst</t>
  </si>
  <si>
    <t>Dispels magic, disenchants magic items</t>
  </si>
  <si>
    <t>Prismatic Sphere</t>
  </si>
  <si>
    <t>10 ft radius sphere centered on you</t>
  </si>
  <si>
    <t>As prismatic wall, but surrounds on all sides</t>
  </si>
  <si>
    <t>Gate</t>
  </si>
  <si>
    <t>Conjuration
Creation
or
Calling</t>
  </si>
  <si>
    <t>V, S, XP
see text</t>
  </si>
  <si>
    <t>Connects two planes for travel or summoning</t>
  </si>
  <si>
    <t>Refuge</t>
  </si>
  <si>
    <t>Object touch</t>
  </si>
  <si>
    <t>Alters item to transport its possessor to you</t>
  </si>
  <si>
    <t>Summon Monster XI</t>
  </si>
  <si>
    <t>Teleportation Circle</t>
  </si>
  <si>
    <t>V, M
Cost: 1000 gp</t>
  </si>
  <si>
    <t>5 ft radius circle that teleports those who activate it</t>
  </si>
  <si>
    <t>Circle teleports any creature inside to designated spot</t>
  </si>
  <si>
    <t>Foresight</t>
  </si>
  <si>
    <t>None
or
Will negates
harmless</t>
  </si>
  <si>
    <t>No
or
Yes
harmless</t>
  </si>
  <si>
    <t>“Sixth sense” warns of impending danger</t>
  </si>
  <si>
    <t>Dominate Monster</t>
  </si>
  <si>
    <t>As dominate person, but any creature</t>
  </si>
  <si>
    <t>Mass Hold Monster</t>
  </si>
  <si>
    <t>As hold monster, but all within 30 ft</t>
  </si>
  <si>
    <t>Power Word Kill</t>
  </si>
  <si>
    <t>One creature with 100 hp or less</t>
  </si>
  <si>
    <t>Kills one creature with 100 hp or less</t>
  </si>
  <si>
    <t>Bigby's Crushing Hand</t>
  </si>
  <si>
    <t>Large hand provides cover, pushes, or crushes your foes</t>
  </si>
  <si>
    <t>Meteor Swarm</t>
  </si>
  <si>
    <t>4 forty ft radius spreads, see text</t>
  </si>
  <si>
    <t>None
or
Reflex half
see text</t>
  </si>
  <si>
    <t>Four exploding spheres each deal 6d6 fire damage</t>
  </si>
  <si>
    <t>Shades</t>
  </si>
  <si>
    <t>As shadow conjuration, but up to 8th level and 80% real</t>
  </si>
  <si>
    <t>Weird</t>
  </si>
  <si>
    <t>Any number of creatures, no 2 of which can be more than 30 ft apart</t>
  </si>
  <si>
    <t>As phantasmal killer, but affects all within 30 ft</t>
  </si>
  <si>
    <t>Astral Projection</t>
  </si>
  <si>
    <t>V, S, M
Cost: 1000 gp + 5 gp per person</t>
  </si>
  <si>
    <t>Projects you and companions onto Astral Plane</t>
  </si>
  <si>
    <t>Energy Drain</t>
  </si>
  <si>
    <t>Fortitude partial
see text for enervation</t>
  </si>
  <si>
    <t>Subject gains 2d4 negative levels</t>
  </si>
  <si>
    <t>Soul Bind</t>
  </si>
  <si>
    <t>V, S, F
Focus: 1000 gp per HD</t>
  </si>
  <si>
    <t>Corpse</t>
  </si>
  <si>
    <t>Traps newly dead soul to prevent resurrection</t>
  </si>
  <si>
    <t>Wail of the Banshee</t>
  </si>
  <si>
    <t>Necromancy
Death
Sonic</t>
  </si>
  <si>
    <t>Etherealness</t>
  </si>
  <si>
    <t>Touch, see text</t>
  </si>
  <si>
    <t>Travel to Ethereal Plane with companions</t>
  </si>
  <si>
    <t>Shapechange</t>
  </si>
  <si>
    <t>Transforms you into any creature, and change forms once per round</t>
  </si>
  <si>
    <t>Time Stop</t>
  </si>
  <si>
    <t>1d4+1 rounds (apparent time), see text</t>
  </si>
  <si>
    <t>You act freely for 1d4+1 rounds</t>
  </si>
  <si>
    <t>Wish</t>
  </si>
  <si>
    <t>V, XP</t>
  </si>
  <si>
    <t>As limited wish, but with fewer limits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</si>
</sst>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21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sz val="24.0"/>
      <color theme="1"/>
      <name val="Arial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sz val="11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0" fillId="0" fontId="4" numFmtId="0" xfId="0" applyFont="1"/>
    <xf borderId="4" fillId="0" fontId="4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horizontal="center" readingOrder="0" vertical="center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top"/>
    </xf>
    <xf borderId="4" fillId="0" fontId="4" numFmtId="164" xfId="0" applyAlignment="1" applyBorder="1" applyFont="1" applyNumberFormat="1">
      <alignment horizontal="center" readingOrder="0" vertical="top"/>
    </xf>
    <xf borderId="1" fillId="2" fontId="6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3" fillId="2" fontId="3" numFmtId="0" xfId="0" applyBorder="1" applyFont="1"/>
    <xf borderId="3" fillId="2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top"/>
    </xf>
    <xf borderId="1" fillId="3" fontId="4" numFmtId="0" xfId="0" applyAlignment="1" applyBorder="1" applyFont="1">
      <alignment horizontal="center" readingOrder="0" vertical="top"/>
    </xf>
    <xf borderId="3" fillId="3" fontId="3" numFmtId="0" xfId="0" applyBorder="1" applyFont="1"/>
    <xf borderId="0" fillId="0" fontId="2" numFmtId="0" xfId="0" applyAlignment="1" applyFont="1">
      <alignment horizontal="center" readingOrder="0" vertical="top"/>
    </xf>
    <xf borderId="4" fillId="2" fontId="8" numFmtId="0" xfId="0" applyAlignment="1" applyBorder="1" applyFont="1">
      <alignment horizontal="center" readingOrder="0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shrinkToFit="0" vertical="top" wrapText="1"/>
    </xf>
    <xf borderId="4" fillId="2" fontId="10" numFmtId="0" xfId="0" applyAlignment="1" applyBorder="1" applyFont="1">
      <alignment horizontal="center" vertical="top"/>
    </xf>
    <xf borderId="4" fillId="3" fontId="8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shrinkToFit="0" vertical="top" wrapText="1"/>
    </xf>
    <xf borderId="4" fillId="3" fontId="10" numFmtId="0" xfId="0" applyAlignment="1" applyBorder="1" applyFont="1">
      <alignment horizontal="center" vertical="top"/>
    </xf>
    <xf borderId="4" fillId="2" fontId="8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readingOrder="0"/>
    </xf>
    <xf borderId="4" fillId="3" fontId="8" numFmtId="0" xfId="0" applyAlignment="1" applyBorder="1" applyFont="1">
      <alignment horizontal="center" shrinkToFit="0" vertical="top" wrapText="1"/>
    </xf>
    <xf borderId="0" fillId="0" fontId="12" numFmtId="0" xfId="0" applyFont="1"/>
    <xf borderId="4" fillId="3" fontId="10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4" fillId="2" fontId="10" numFmtId="0" xfId="0" applyAlignment="1" applyBorder="1" applyFont="1">
      <alignment horizontal="center" readingOrder="0" shrinkToFit="0" vertical="top" wrapText="1"/>
    </xf>
    <xf borderId="4" fillId="2" fontId="10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/>
    </xf>
    <xf borderId="4" fillId="2" fontId="8" numFmtId="0" xfId="0" applyAlignment="1" applyBorder="1" applyFont="1">
      <alignment horizontal="center" readingOrder="0" vertical="top"/>
    </xf>
    <xf borderId="1" fillId="2" fontId="13" numFmtId="0" xfId="0" applyAlignment="1" applyBorder="1" applyFont="1">
      <alignment horizontal="center" vertical="top"/>
    </xf>
    <xf borderId="1" fillId="2" fontId="10" numFmtId="0" xfId="0" applyAlignment="1" applyBorder="1" applyFont="1">
      <alignment horizontal="center" vertical="top"/>
    </xf>
    <xf borderId="1" fillId="2" fontId="10" numFmtId="0" xfId="0" applyAlignment="1" applyBorder="1" applyFont="1">
      <alignment horizontal="center" readingOrder="0" vertical="top"/>
    </xf>
    <xf borderId="4" fillId="3" fontId="8" numFmtId="0" xfId="0" applyAlignment="1" applyBorder="1" applyFont="1">
      <alignment horizontal="center" readingOrder="0" vertical="top"/>
    </xf>
    <xf borderId="1" fillId="3" fontId="14" numFmtId="0" xfId="0" applyAlignment="1" applyBorder="1" applyFont="1">
      <alignment horizontal="center" readingOrder="0" vertical="top"/>
    </xf>
    <xf borderId="1" fillId="3" fontId="10" numFmtId="0" xfId="0" applyAlignment="1" applyBorder="1" applyFont="1">
      <alignment horizontal="center" readingOrder="0" vertical="top"/>
    </xf>
    <xf borderId="1" fillId="3" fontId="10" numFmtId="0" xfId="0" applyAlignment="1" applyBorder="1" applyFont="1">
      <alignment horizontal="center" vertical="top"/>
    </xf>
    <xf borderId="1" fillId="3" fontId="10" numFmtId="0" xfId="0" applyAlignment="1" applyBorder="1" applyFont="1">
      <alignment readingOrder="0" shrinkToFit="0" vertical="top" wrapText="1"/>
    </xf>
    <xf borderId="4" fillId="2" fontId="8" numFmtId="0" xfId="0" applyAlignment="1" applyBorder="1" applyFont="1">
      <alignment horizontal="center" readingOrder="0" vertical="top"/>
    </xf>
    <xf borderId="4" fillId="3" fontId="8" numFmtId="0" xfId="0" applyAlignment="1" applyBorder="1" applyFont="1">
      <alignment horizontal="center" readingOrder="0" vertical="top"/>
    </xf>
    <xf borderId="1" fillId="3" fontId="15" numFmtId="0" xfId="0" applyAlignment="1" applyBorder="1" applyFont="1">
      <alignment horizontal="center" vertical="top"/>
    </xf>
    <xf borderId="4" fillId="3" fontId="8" numFmtId="0" xfId="0" applyAlignment="1" applyBorder="1" applyFont="1">
      <alignment horizontal="center" readingOrder="0" shrinkToFit="0" vertical="top" wrapText="1"/>
    </xf>
    <xf borderId="1" fillId="3" fontId="16" numFmtId="0" xfId="0" applyAlignment="1" applyBorder="1" applyFont="1">
      <alignment horizontal="center" readingOrder="0" shrinkToFit="0" vertical="top" wrapText="1"/>
    </xf>
    <xf borderId="1" fillId="2" fontId="17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readingOrder="0" shrinkToFit="0" vertical="top" wrapText="1"/>
    </xf>
    <xf quotePrefix="1" borderId="1" fillId="2" fontId="10" numFmtId="0" xfId="0" applyAlignment="1" applyBorder="1" applyFont="1">
      <alignment readingOrder="0" shrinkToFit="0" vertical="top" wrapText="1"/>
    </xf>
    <xf quotePrefix="1" borderId="1" fillId="3" fontId="10" numFmtId="0" xfId="0" applyAlignment="1" applyBorder="1" applyFont="1">
      <alignment readingOrder="0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top"/>
    </xf>
    <xf borderId="1" fillId="3" fontId="2" numFmtId="0" xfId="0" applyAlignment="1" applyBorder="1" applyFont="1">
      <alignment horizontal="center" readingOrder="0" vertical="top"/>
    </xf>
    <xf borderId="4" fillId="2" fontId="18" numFmtId="0" xfId="0" applyAlignment="1" applyBorder="1" applyFont="1">
      <alignment horizontal="center" readingOrder="0" shrinkToFit="0" vertical="top" wrapText="1"/>
    </xf>
    <xf borderId="1" fillId="2" fontId="19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vertical="top"/>
    </xf>
    <xf borderId="4" fillId="3" fontId="18" numFmtId="0" xfId="0" applyAlignment="1" applyBorder="1" applyFont="1">
      <alignment horizontal="center" readingOrder="0" shrinkToFit="0" vertical="top" wrapText="1"/>
    </xf>
    <xf borderId="1" fillId="3" fontId="20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readingOrder="0" shrinkToFit="0" vertical="top" wrapText="1"/>
    </xf>
    <xf borderId="4" fillId="2" fontId="4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1">
    <tableStyle count="3" pivot="0" name="Known Spells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2:H3" displayName="Table_1" id="1">
  <tableColumns count="1">
    <tableColumn name="INT Mod" id="1"/>
  </tableColumns>
  <tableStyleInfo name="Known Spe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hypnotism.htm" TargetMode="External"/><Relationship Id="rId190" Type="http://schemas.openxmlformats.org/officeDocument/2006/relationships/hyperlink" Target="https://www.d20srd.org/srd/spells/contagion.htm" TargetMode="External"/><Relationship Id="rId42" Type="http://schemas.openxmlformats.org/officeDocument/2006/relationships/hyperlink" Target="https://www.d20srd.org/srd/spells/burningHands.htm" TargetMode="External"/><Relationship Id="rId41" Type="http://schemas.openxmlformats.org/officeDocument/2006/relationships/hyperlink" Target="https://www.d20srd.org/srd/spells/sleep.htm" TargetMode="External"/><Relationship Id="rId44" Type="http://schemas.openxmlformats.org/officeDocument/2006/relationships/hyperlink" Target="https://www.d20srd.org/srd/spells/magicMissile.htm" TargetMode="External"/><Relationship Id="rId194" Type="http://schemas.openxmlformats.org/officeDocument/2006/relationships/hyperlink" Target="https://www.d20srd.org/srd/spells/mnemonicEnhancer.htm" TargetMode="External"/><Relationship Id="rId43" Type="http://schemas.openxmlformats.org/officeDocument/2006/relationships/hyperlink" Target="https://www.d20srd.org/srd/spells/floatingDisk.htm" TargetMode="External"/><Relationship Id="rId193" Type="http://schemas.openxmlformats.org/officeDocument/2006/relationships/hyperlink" Target="https://www.d20srd.org/srd/spells/enlargePersonMass.htm" TargetMode="External"/><Relationship Id="rId46" Type="http://schemas.openxmlformats.org/officeDocument/2006/relationships/hyperlink" Target="https://www.d20srd.org/srd/spells/colorSpray.htm" TargetMode="External"/><Relationship Id="rId192" Type="http://schemas.openxmlformats.org/officeDocument/2006/relationships/hyperlink" Target="https://www.d20srd.org/srd/spells/fear.htm" TargetMode="External"/><Relationship Id="rId45" Type="http://schemas.openxmlformats.org/officeDocument/2006/relationships/hyperlink" Target="https://www.d20srd.org/srd/spells/shockingGrasp.htm" TargetMode="External"/><Relationship Id="rId191" Type="http://schemas.openxmlformats.org/officeDocument/2006/relationships/hyperlink" Target="https://www.d20srd.org/srd/spells/enervation.htm" TargetMode="External"/><Relationship Id="rId48" Type="http://schemas.openxmlformats.org/officeDocument/2006/relationships/hyperlink" Target="https://www.d20srd.org/srd/spells/magicAura.htm" TargetMode="External"/><Relationship Id="rId187" Type="http://schemas.openxmlformats.org/officeDocument/2006/relationships/hyperlink" Target="https://www.d20srd.org/srd/spells/shadowConjuration.htm" TargetMode="External"/><Relationship Id="rId47" Type="http://schemas.openxmlformats.org/officeDocument/2006/relationships/hyperlink" Target="https://www.d20srd.org/srd/spells/disguiseSelf.htm" TargetMode="External"/><Relationship Id="rId186" Type="http://schemas.openxmlformats.org/officeDocument/2006/relationships/hyperlink" Target="https://www.d20srd.org/srd/spells/rainbowPattern.htm" TargetMode="External"/><Relationship Id="rId185" Type="http://schemas.openxmlformats.org/officeDocument/2006/relationships/hyperlink" Target="https://docs.google.com/document/u/0/d/12MGFBumprjmZEIlrrxNFtwlw1-53Um2m2hGSow5IOCM/edit" TargetMode="External"/><Relationship Id="rId49" Type="http://schemas.openxmlformats.org/officeDocument/2006/relationships/hyperlink" Target="https://www.d20srd.org/srd/spells/silentImage.htm" TargetMode="External"/><Relationship Id="rId184" Type="http://schemas.openxmlformats.org/officeDocument/2006/relationships/hyperlink" Target="https://www.d20srd.org/srd/spells/invisibilityGreater.htm" TargetMode="External"/><Relationship Id="rId189" Type="http://schemas.openxmlformats.org/officeDocument/2006/relationships/hyperlink" Target="https://www.d20srd.org/srd/spells/bestowCurse.htm" TargetMode="External"/><Relationship Id="rId188" Type="http://schemas.openxmlformats.org/officeDocument/2006/relationships/hyperlink" Target="https://www.d20srd.org/srd/spells/animateDead.htm" TargetMode="External"/><Relationship Id="rId31" Type="http://schemas.openxmlformats.org/officeDocument/2006/relationships/hyperlink" Target="https://www.d20srd.org/srd/spells/obscuringMist.htm" TargetMode="External"/><Relationship Id="rId30" Type="http://schemas.openxmlformats.org/officeDocument/2006/relationships/hyperlink" Target="https://www.d20srd.org/srd/spells/mount.htm" TargetMode="External"/><Relationship Id="rId33" Type="http://schemas.openxmlformats.org/officeDocument/2006/relationships/hyperlink" Target="https://www.d20srd.org/srd/spells/unseenServant.htm" TargetMode="External"/><Relationship Id="rId183" Type="http://schemas.openxmlformats.org/officeDocument/2006/relationships/hyperlink" Target="https://www.d20srd.org/srd/spells/illusoryWall.htm" TargetMode="External"/><Relationship Id="rId32" Type="http://schemas.openxmlformats.org/officeDocument/2006/relationships/hyperlink" Target="https://www.d20srd.org/srd/spells/summonMonsterI.htm" TargetMode="External"/><Relationship Id="rId182" Type="http://schemas.openxmlformats.org/officeDocument/2006/relationships/hyperlink" Target="https://www.d20srd.org/srd/spells/hallucinatoryTerrain.htm" TargetMode="External"/><Relationship Id="rId35" Type="http://schemas.openxmlformats.org/officeDocument/2006/relationships/hyperlink" Target="https://www.d20srd.org/srd/spells/detectSecretDoors.htm" TargetMode="External"/><Relationship Id="rId181" Type="http://schemas.openxmlformats.org/officeDocument/2006/relationships/hyperlink" Target="https://www.d20srd.org/srd/spells/wallOfIce.htm" TargetMode="External"/><Relationship Id="rId34" Type="http://schemas.openxmlformats.org/officeDocument/2006/relationships/hyperlink" Target="https://www.d20srd.org/srd/spells/comprehendLanguages.htm" TargetMode="External"/><Relationship Id="rId180" Type="http://schemas.openxmlformats.org/officeDocument/2006/relationships/hyperlink" Target="https://www.d20srd.org/srd/spells/wallOfFire.htm" TargetMode="External"/><Relationship Id="rId37" Type="http://schemas.openxmlformats.org/officeDocument/2006/relationships/hyperlink" Target="https://www.d20srd.org/srd/spells/identify.htm" TargetMode="External"/><Relationship Id="rId176" Type="http://schemas.openxmlformats.org/officeDocument/2006/relationships/hyperlink" Target="https://www.d20srd.org/srd/spells/fireShield.htm" TargetMode="External"/><Relationship Id="rId297" Type="http://schemas.openxmlformats.org/officeDocument/2006/relationships/hyperlink" Target="https://www.d20srd.org/srd/spells/holdPersonMass.htm" TargetMode="External"/><Relationship Id="rId36" Type="http://schemas.openxmlformats.org/officeDocument/2006/relationships/hyperlink" Target="https://www.d20srd.org/srd/spells/detectUndead.htm" TargetMode="External"/><Relationship Id="rId175" Type="http://schemas.openxmlformats.org/officeDocument/2006/relationships/hyperlink" Target="https://www.d20srd.org/srd/spells/geasLesser.htm" TargetMode="External"/><Relationship Id="rId296" Type="http://schemas.openxmlformats.org/officeDocument/2006/relationships/hyperlink" Target="https://www.d20srd.org/srd/spells/vision.htm" TargetMode="External"/><Relationship Id="rId39" Type="http://schemas.openxmlformats.org/officeDocument/2006/relationships/hyperlink" Target="https://www.d20srd.org/srd/spells/charmPerson.htm" TargetMode="External"/><Relationship Id="rId174" Type="http://schemas.openxmlformats.org/officeDocument/2006/relationships/hyperlink" Target="https://www.d20srd.org/srd/spells/crushingDespair.htm" TargetMode="External"/><Relationship Id="rId295" Type="http://schemas.openxmlformats.org/officeDocument/2006/relationships/hyperlink" Target="https://www.d20srd.org/srd/spells/scryingGreater.htm" TargetMode="External"/><Relationship Id="rId38" Type="http://schemas.openxmlformats.org/officeDocument/2006/relationships/hyperlink" Target="https://www.d20srd.org/srd/spells/trueStrike.htm" TargetMode="External"/><Relationship Id="rId173" Type="http://schemas.openxmlformats.org/officeDocument/2006/relationships/hyperlink" Target="https://www.d20srd.org/srd/spells/confusion.htm" TargetMode="External"/><Relationship Id="rId294" Type="http://schemas.openxmlformats.org/officeDocument/2006/relationships/hyperlink" Target="https://www.d20srd.org/srd/spells/arcaneSightGreater.htm" TargetMode="External"/><Relationship Id="rId179" Type="http://schemas.openxmlformats.org/officeDocument/2006/relationships/hyperlink" Target="https://www.d20srd.org/srd/spells/shout.htm" TargetMode="External"/><Relationship Id="rId178" Type="http://schemas.openxmlformats.org/officeDocument/2006/relationships/hyperlink" Target="https://www.d20srd.org/srd/spells/resilientSphere.htm" TargetMode="External"/><Relationship Id="rId299" Type="http://schemas.openxmlformats.org/officeDocument/2006/relationships/hyperlink" Target="https://www.d20srd.org/srd/spells/powerWordBlind.htm" TargetMode="External"/><Relationship Id="rId177" Type="http://schemas.openxmlformats.org/officeDocument/2006/relationships/hyperlink" Target="https://www.d20srd.org/srd/spells/iceStorm.htm" TargetMode="External"/><Relationship Id="rId298" Type="http://schemas.openxmlformats.org/officeDocument/2006/relationships/hyperlink" Target="https://www.d20srd.org/srd/spells/insanity.htm" TargetMode="External"/><Relationship Id="rId20" Type="http://schemas.openxmlformats.org/officeDocument/2006/relationships/hyperlink" Target="https://www.d20srd.org/srd/spells/alarm.htm" TargetMode="External"/><Relationship Id="rId22" Type="http://schemas.openxmlformats.org/officeDocument/2006/relationships/hyperlink" Target="https://www.d20srd.org/srd/spells/holdPortal.htm" TargetMode="External"/><Relationship Id="rId21" Type="http://schemas.openxmlformats.org/officeDocument/2006/relationships/hyperlink" Target="https://www.d20srd.org/srd/spells/endureElements.htm" TargetMode="External"/><Relationship Id="rId24" Type="http://schemas.openxmlformats.org/officeDocument/2006/relationships/hyperlink" Target="https://www.d20srd.org/srd/spells/protectionFromEvil.htm" TargetMode="External"/><Relationship Id="rId23" Type="http://schemas.openxmlformats.org/officeDocument/2006/relationships/hyperlink" Target="https://www.d20srd.org/srd/spells/protectionFromChaos.htm" TargetMode="External"/><Relationship Id="rId26" Type="http://schemas.openxmlformats.org/officeDocument/2006/relationships/hyperlink" Target="https://www.d20srd.org/srd/spells/protectionFromLaw.htm" TargetMode="External"/><Relationship Id="rId25" Type="http://schemas.openxmlformats.org/officeDocument/2006/relationships/hyperlink" Target="https://www.d20srd.org/srd/spells/protectionFromGood.htm" TargetMode="External"/><Relationship Id="rId28" Type="http://schemas.openxmlformats.org/officeDocument/2006/relationships/hyperlink" Target="https://www.d20srd.org/srd/spells/grease.htm" TargetMode="External"/><Relationship Id="rId27" Type="http://schemas.openxmlformats.org/officeDocument/2006/relationships/hyperlink" Target="https://www.d20srd.org/srd/spells/shield.htm" TargetMode="External"/><Relationship Id="rId29" Type="http://schemas.openxmlformats.org/officeDocument/2006/relationships/hyperlink" Target="https://www.d20srd.org/srd/spells/mageArmor.htm" TargetMode="External"/><Relationship Id="rId11" Type="http://schemas.openxmlformats.org/officeDocument/2006/relationships/hyperlink" Target="https://www.d20srd.org/srd/spells/ghostSound.htm" TargetMode="External"/><Relationship Id="rId10" Type="http://schemas.openxmlformats.org/officeDocument/2006/relationships/hyperlink" Target="https://www.d20srd.org/srd/spells/rayOfFrost.htm" TargetMode="External"/><Relationship Id="rId13" Type="http://schemas.openxmlformats.org/officeDocument/2006/relationships/hyperlink" Target="https://www.d20srd.org/srd/spells/touchOfFatigue.htm" TargetMode="External"/><Relationship Id="rId12" Type="http://schemas.openxmlformats.org/officeDocument/2006/relationships/hyperlink" Target="https://www.d20srd.org/srd/spells/disruptUndead.htm" TargetMode="External"/><Relationship Id="rId15" Type="http://schemas.openxmlformats.org/officeDocument/2006/relationships/hyperlink" Target="https://www.d20srd.org/srd/spells/mending.htm" TargetMode="External"/><Relationship Id="rId198" Type="http://schemas.openxmlformats.org/officeDocument/2006/relationships/hyperlink" Target="https://www.d20srd.org/srd/spells/breakEnchantment.htm" TargetMode="External"/><Relationship Id="rId14" Type="http://schemas.openxmlformats.org/officeDocument/2006/relationships/hyperlink" Target="https://www.d20srd.org/srd/spells/mageHand.htm" TargetMode="External"/><Relationship Id="rId197" Type="http://schemas.openxmlformats.org/officeDocument/2006/relationships/hyperlink" Target="https://www.d20srd.org/srd/spells/stoneShape.htm" TargetMode="External"/><Relationship Id="rId17" Type="http://schemas.openxmlformats.org/officeDocument/2006/relationships/hyperlink" Target="https://www.d20srd.org/srd/spells/openClose.htm" TargetMode="External"/><Relationship Id="rId196" Type="http://schemas.openxmlformats.org/officeDocument/2006/relationships/hyperlink" Target="https://www.d20srd.org/srd/spells/reducePersonMass.htm" TargetMode="External"/><Relationship Id="rId16" Type="http://schemas.openxmlformats.org/officeDocument/2006/relationships/hyperlink" Target="https://www.d20srd.org/srd/spells/message.htm" TargetMode="External"/><Relationship Id="rId195" Type="http://schemas.openxmlformats.org/officeDocument/2006/relationships/hyperlink" Target="https://www.d20srd.org/srd/spells/polymorph.htm" TargetMode="External"/><Relationship Id="rId19" Type="http://schemas.openxmlformats.org/officeDocument/2006/relationships/hyperlink" Target="https://www.d20srd.org/srd/spells/prestidigitation.htm" TargetMode="External"/><Relationship Id="rId18" Type="http://schemas.openxmlformats.org/officeDocument/2006/relationships/hyperlink" Target="https://www.d20srd.org/srd/spells/arcaneMark.htm" TargetMode="External"/><Relationship Id="rId199" Type="http://schemas.openxmlformats.org/officeDocument/2006/relationships/hyperlink" Target="https://www.d20srd.org/srd/spells/dismissal.htm" TargetMode="External"/><Relationship Id="rId84" Type="http://schemas.openxmlformats.org/officeDocument/2006/relationships/hyperlink" Target="https://www.d20srd.org/srd/spells/blur.htm" TargetMode="External"/><Relationship Id="rId83" Type="http://schemas.openxmlformats.org/officeDocument/2006/relationships/hyperlink" Target="https://www.d20srd.org/srd/spells/shatter.htm" TargetMode="External"/><Relationship Id="rId86" Type="http://schemas.openxmlformats.org/officeDocument/2006/relationships/hyperlink" Target="https://www.d20srd.org/srd/spells/invisibility.htm" TargetMode="External"/><Relationship Id="rId85" Type="http://schemas.openxmlformats.org/officeDocument/2006/relationships/hyperlink" Target="https://www.d20srd.org/srd/spells/hypnoticPattern.htm" TargetMode="External"/><Relationship Id="rId88" Type="http://schemas.openxmlformats.org/officeDocument/2006/relationships/hyperlink" Target="https://www.d20srd.org/srd/spells/minorImage.htm" TargetMode="External"/><Relationship Id="rId150" Type="http://schemas.openxmlformats.org/officeDocument/2006/relationships/hyperlink" Target="https://www.d20srd.org/srd/spells/haste.htm" TargetMode="External"/><Relationship Id="rId271" Type="http://schemas.openxmlformats.org/officeDocument/2006/relationships/hyperlink" Target="https://www.d20srd.org/srd/spells/bearsEnduranceMass.htm" TargetMode="External"/><Relationship Id="rId87" Type="http://schemas.openxmlformats.org/officeDocument/2006/relationships/hyperlink" Target="https://www.d20srd.org/srd/spells/magicMouth.htm" TargetMode="External"/><Relationship Id="rId270" Type="http://schemas.openxmlformats.org/officeDocument/2006/relationships/hyperlink" Target="https://www.d20srd.org/srd/spells/undeathToDeath.htm" TargetMode="External"/><Relationship Id="rId89" Type="http://schemas.openxmlformats.org/officeDocument/2006/relationships/hyperlink" Target="https://www.d20srd.org/srd/spells/mirrorImage.htm" TargetMode="External"/><Relationship Id="rId80" Type="http://schemas.openxmlformats.org/officeDocument/2006/relationships/hyperlink" Target="https://www.d20srd.org/srd/spells/flamingSphere.htm" TargetMode="External"/><Relationship Id="rId82" Type="http://schemas.openxmlformats.org/officeDocument/2006/relationships/hyperlink" Target="https://www.d20srd.org/srd/spells/scorchingRay.htm" TargetMode="External"/><Relationship Id="rId81" Type="http://schemas.openxmlformats.org/officeDocument/2006/relationships/hyperlink" Target="https://www.d20srd.org/srd/spells/gustOfWind.htm" TargetMode="External"/><Relationship Id="rId1" Type="http://schemas.openxmlformats.org/officeDocument/2006/relationships/hyperlink" Target="https://www.d20srd.org/srd/spells/resistance.htm" TargetMode="External"/><Relationship Id="rId2" Type="http://schemas.openxmlformats.org/officeDocument/2006/relationships/hyperlink" Target="https://www.d20srd.org/srd/spells/acidSplash.htm" TargetMode="External"/><Relationship Id="rId3" Type="http://schemas.openxmlformats.org/officeDocument/2006/relationships/hyperlink" Target="https://www.d20srd.org/srd/spells/detectMagic.htm" TargetMode="External"/><Relationship Id="rId149" Type="http://schemas.openxmlformats.org/officeDocument/2006/relationships/hyperlink" Target="https://www.d20srd.org/srd/spells/gaseousForm.htm" TargetMode="External"/><Relationship Id="rId4" Type="http://schemas.openxmlformats.org/officeDocument/2006/relationships/hyperlink" Target="https://www.d20srd.org/srd/spells/detectPoison.htm" TargetMode="External"/><Relationship Id="rId148" Type="http://schemas.openxmlformats.org/officeDocument/2006/relationships/hyperlink" Target="https://www.d20srd.org/srd/spells/fly.htm" TargetMode="External"/><Relationship Id="rId269" Type="http://schemas.openxmlformats.org/officeDocument/2006/relationships/hyperlink" Target="https://www.d20srd.org/srd/spells/symbolOfFear.htm" TargetMode="External"/><Relationship Id="rId9" Type="http://schemas.openxmlformats.org/officeDocument/2006/relationships/hyperlink" Target="https://www.d20srd.org/srd/spells/light.htm" TargetMode="External"/><Relationship Id="rId143" Type="http://schemas.openxmlformats.org/officeDocument/2006/relationships/hyperlink" Target="https://www.d20srd.org/srd/spells/haltUndead.htm" TargetMode="External"/><Relationship Id="rId264" Type="http://schemas.openxmlformats.org/officeDocument/2006/relationships/hyperlink" Target="https://www.d20srd.org/srd/spells/shadowWalk.htm" TargetMode="External"/><Relationship Id="rId142" Type="http://schemas.openxmlformats.org/officeDocument/2006/relationships/hyperlink" Target="https://www.d20srd.org/srd/spells/gentleRepose.htm" TargetMode="External"/><Relationship Id="rId263" Type="http://schemas.openxmlformats.org/officeDocument/2006/relationships/hyperlink" Target="https://www.d20srd.org/srd/spells/programmedImage.htm" TargetMode="External"/><Relationship Id="rId141" Type="http://schemas.openxmlformats.org/officeDocument/2006/relationships/hyperlink" Target="https://www.d20srd.org/srd/spells/majorImage.htm" TargetMode="External"/><Relationship Id="rId262" Type="http://schemas.openxmlformats.org/officeDocument/2006/relationships/hyperlink" Target="https://www.d20srd.org/srd/spells/permanentImage.htm" TargetMode="External"/><Relationship Id="rId140" Type="http://schemas.openxmlformats.org/officeDocument/2006/relationships/hyperlink" Target="https://www.d20srd.org/srd/spells/invisibilitySphere.htm" TargetMode="External"/><Relationship Id="rId261" Type="http://schemas.openxmlformats.org/officeDocument/2006/relationships/hyperlink" Target="https://www.d20srd.org/srd/spells/mislead.htm" TargetMode="External"/><Relationship Id="rId5" Type="http://schemas.openxmlformats.org/officeDocument/2006/relationships/hyperlink" Target="https://www.d20srd.org/srd/spells/readMagic.htm" TargetMode="External"/><Relationship Id="rId147" Type="http://schemas.openxmlformats.org/officeDocument/2006/relationships/hyperlink" Target="https://www.d20srd.org/srd/spells/flameArrow.htm" TargetMode="External"/><Relationship Id="rId268" Type="http://schemas.openxmlformats.org/officeDocument/2006/relationships/hyperlink" Target="https://www.d20srd.org/srd/spells/eyebite.htm" TargetMode="External"/><Relationship Id="rId6" Type="http://schemas.openxmlformats.org/officeDocument/2006/relationships/hyperlink" Target="https://www.d20srd.org/srd/spells/daze.htm" TargetMode="External"/><Relationship Id="rId146" Type="http://schemas.openxmlformats.org/officeDocument/2006/relationships/hyperlink" Target="https://www.d20srd.org/srd/spells/blink.htm" TargetMode="External"/><Relationship Id="rId267" Type="http://schemas.openxmlformats.org/officeDocument/2006/relationships/hyperlink" Target="https://www.d20srd.org/srd/spells/createUndead.htm" TargetMode="External"/><Relationship Id="rId7" Type="http://schemas.openxmlformats.org/officeDocument/2006/relationships/hyperlink" Target="https://www.d20srd.org/srd/spells/dancingLights.htm" TargetMode="External"/><Relationship Id="rId145" Type="http://schemas.openxmlformats.org/officeDocument/2006/relationships/hyperlink" Target="https://www.d20srd.org/srd/spells/vampiricTouch.htm" TargetMode="External"/><Relationship Id="rId266" Type="http://schemas.openxmlformats.org/officeDocument/2006/relationships/hyperlink" Target="https://www.d20srd.org/srd/spells/circleOfDeath.htm" TargetMode="External"/><Relationship Id="rId8" Type="http://schemas.openxmlformats.org/officeDocument/2006/relationships/hyperlink" Target="https://www.d20srd.org/srd/spells/flare.htm" TargetMode="External"/><Relationship Id="rId144" Type="http://schemas.openxmlformats.org/officeDocument/2006/relationships/hyperlink" Target="https://www.d20srd.org/srd/spells/rayOfExhaustion.htm" TargetMode="External"/><Relationship Id="rId265" Type="http://schemas.openxmlformats.org/officeDocument/2006/relationships/hyperlink" Target="https://www.d20srd.org/srd/spells/veil.htm" TargetMode="External"/><Relationship Id="rId73" Type="http://schemas.openxmlformats.org/officeDocument/2006/relationships/hyperlink" Target="https://www.d20srd.org/srd/spells/locateObject.htm" TargetMode="External"/><Relationship Id="rId72" Type="http://schemas.openxmlformats.org/officeDocument/2006/relationships/hyperlink" Target="https://www.d20srd.org/srd/spells/detectThoughts.htm" TargetMode="External"/><Relationship Id="rId75" Type="http://schemas.openxmlformats.org/officeDocument/2006/relationships/hyperlink" Target="https://www.d20srd.org/srd/spells/dazeMonster.htm" TargetMode="External"/><Relationship Id="rId74" Type="http://schemas.openxmlformats.org/officeDocument/2006/relationships/hyperlink" Target="https://www.d20srd.org/srd/spells/seeInvisibility.htm" TargetMode="External"/><Relationship Id="rId77" Type="http://schemas.openxmlformats.org/officeDocument/2006/relationships/hyperlink" Target="https://www.d20srd.org/srd/spells/touchOfIdiocy.htm" TargetMode="External"/><Relationship Id="rId260" Type="http://schemas.openxmlformats.org/officeDocument/2006/relationships/hyperlink" Target="https://www.d20srd.org/srd/spells/freezingSphere.htm" TargetMode="External"/><Relationship Id="rId76" Type="http://schemas.openxmlformats.org/officeDocument/2006/relationships/hyperlink" Target="https://www.d20srd.org/srd/spells/hideousLaughter.htm" TargetMode="External"/><Relationship Id="rId79" Type="http://schemas.openxmlformats.org/officeDocument/2006/relationships/hyperlink" Target="https://www.d20srd.org/srd/spells/darkness.htm" TargetMode="External"/><Relationship Id="rId78" Type="http://schemas.openxmlformats.org/officeDocument/2006/relationships/hyperlink" Target="https://www.d20srd.org/srd/spells/continualFlame.htm" TargetMode="External"/><Relationship Id="rId71" Type="http://schemas.openxmlformats.org/officeDocument/2006/relationships/hyperlink" Target="https://www.d20srd.org/srd/spells/web.htm" TargetMode="External"/><Relationship Id="rId70" Type="http://schemas.openxmlformats.org/officeDocument/2006/relationships/hyperlink" Target="https://www.d20srd.org/srd/spells/summonSwarm.htm" TargetMode="External"/><Relationship Id="rId139" Type="http://schemas.openxmlformats.org/officeDocument/2006/relationships/hyperlink" Target="https://www.d20srd.org/srd/spells/illusoryScript.htm" TargetMode="External"/><Relationship Id="rId138" Type="http://schemas.openxmlformats.org/officeDocument/2006/relationships/hyperlink" Target="https://www.d20srd.org/srd/spells/displacement.htm" TargetMode="External"/><Relationship Id="rId259" Type="http://schemas.openxmlformats.org/officeDocument/2006/relationships/hyperlink" Target="https://www.d20srd.org/srd/spells/forcefulHand.htm" TargetMode="External"/><Relationship Id="rId137" Type="http://schemas.openxmlformats.org/officeDocument/2006/relationships/hyperlink" Target="https://www.d20srd.org/srd/spells/windWall.htm" TargetMode="External"/><Relationship Id="rId258" Type="http://schemas.openxmlformats.org/officeDocument/2006/relationships/hyperlink" Target="https://www.d20srd.org/srd/spells/contingency.htm" TargetMode="External"/><Relationship Id="rId132" Type="http://schemas.openxmlformats.org/officeDocument/2006/relationships/hyperlink" Target="https://www.d20srd.org/srd/spells/suggestion.htm" TargetMode="External"/><Relationship Id="rId253" Type="http://schemas.openxmlformats.org/officeDocument/2006/relationships/hyperlink" Target="https://www.d20srd.org/srd/spells/geasQuest.htm" TargetMode="External"/><Relationship Id="rId374" Type="http://schemas.openxmlformats.org/officeDocument/2006/relationships/hyperlink" Target="https://www.d20srd.org/srd/spells/etherealness.htm" TargetMode="External"/><Relationship Id="rId131" Type="http://schemas.openxmlformats.org/officeDocument/2006/relationships/hyperlink" Target="https://www.d20srd.org/srd/spells/rage.htm" TargetMode="External"/><Relationship Id="rId252" Type="http://schemas.openxmlformats.org/officeDocument/2006/relationships/hyperlink" Target="https://www.d20srd.org/srd/spells/trueSeeing.htm" TargetMode="External"/><Relationship Id="rId373" Type="http://schemas.openxmlformats.org/officeDocument/2006/relationships/hyperlink" Target="https://www.d20srd.org/srd/spells/wailOfTheBanshee.htm" TargetMode="External"/><Relationship Id="rId130" Type="http://schemas.openxmlformats.org/officeDocument/2006/relationships/hyperlink" Target="https://www.d20srd.org/srd/spells/holdPerson.htm" TargetMode="External"/><Relationship Id="rId251" Type="http://schemas.openxmlformats.org/officeDocument/2006/relationships/hyperlink" Target="https://www.d20srd.org/srd/spells/legendLore.htm" TargetMode="External"/><Relationship Id="rId372" Type="http://schemas.openxmlformats.org/officeDocument/2006/relationships/hyperlink" Target="https://www.d20srd.org/srd/spells/soulBind.htm" TargetMode="External"/><Relationship Id="rId250" Type="http://schemas.openxmlformats.org/officeDocument/2006/relationships/hyperlink" Target="https://www.d20srd.org/srd/spells/analyzeDweomer.htm" TargetMode="External"/><Relationship Id="rId371" Type="http://schemas.openxmlformats.org/officeDocument/2006/relationships/hyperlink" Target="https://www.d20srd.org/srd/spells/energyDrain.htm" TargetMode="External"/><Relationship Id="rId136" Type="http://schemas.openxmlformats.org/officeDocument/2006/relationships/hyperlink" Target="https://www.d20srd.org/srd/spells/tinyHut.htm" TargetMode="External"/><Relationship Id="rId257" Type="http://schemas.openxmlformats.org/officeDocument/2006/relationships/hyperlink" Target="https://www.d20srd.org/srd/spells/chainLightning.htm" TargetMode="External"/><Relationship Id="rId378" Type="http://schemas.openxmlformats.org/officeDocument/2006/relationships/drawing" Target="../drawings/drawing4.xml"/><Relationship Id="rId135" Type="http://schemas.openxmlformats.org/officeDocument/2006/relationships/hyperlink" Target="https://www.d20srd.org/srd/spells/lightningBolt.htm" TargetMode="External"/><Relationship Id="rId256" Type="http://schemas.openxmlformats.org/officeDocument/2006/relationships/hyperlink" Target="https://www.d20srd.org/srd/spells/symbolOfPersuasion.htm" TargetMode="External"/><Relationship Id="rId377" Type="http://schemas.openxmlformats.org/officeDocument/2006/relationships/hyperlink" Target="https://www.d20srd.org/srd/spells/wish.htm" TargetMode="External"/><Relationship Id="rId134" Type="http://schemas.openxmlformats.org/officeDocument/2006/relationships/hyperlink" Target="https://www.d20srd.org/srd/spells/fireball.htm" TargetMode="External"/><Relationship Id="rId255" Type="http://schemas.openxmlformats.org/officeDocument/2006/relationships/hyperlink" Target="https://www.d20srd.org/srd/spells/suggestionMass.htm" TargetMode="External"/><Relationship Id="rId376" Type="http://schemas.openxmlformats.org/officeDocument/2006/relationships/hyperlink" Target="https://www.d20srd.org/srd/spells/timeStop.htm" TargetMode="External"/><Relationship Id="rId133" Type="http://schemas.openxmlformats.org/officeDocument/2006/relationships/hyperlink" Target="https://www.d20srd.org/srd/spells/daylight.htm" TargetMode="External"/><Relationship Id="rId254" Type="http://schemas.openxmlformats.org/officeDocument/2006/relationships/hyperlink" Target="https://www.d20srd.org/srd/spells/heroismGreater.htm" TargetMode="External"/><Relationship Id="rId375" Type="http://schemas.openxmlformats.org/officeDocument/2006/relationships/hyperlink" Target="https://www.d20srd.org/srd/spells/shapechange.htm" TargetMode="External"/><Relationship Id="rId62" Type="http://schemas.openxmlformats.org/officeDocument/2006/relationships/hyperlink" Target="https://www.d20srd.org/srd/spells/arcaneLock.htm" TargetMode="External"/><Relationship Id="rId61" Type="http://schemas.openxmlformats.org/officeDocument/2006/relationships/hyperlink" Target="https://www.d20srd.org/srd/spells/reducePerson.htm" TargetMode="External"/><Relationship Id="rId64" Type="http://schemas.openxmlformats.org/officeDocument/2006/relationships/hyperlink" Target="https://www.d20srd.org/srd/spells/protectionFromArrows.htm" TargetMode="External"/><Relationship Id="rId63" Type="http://schemas.openxmlformats.org/officeDocument/2006/relationships/hyperlink" Target="https://www.d20srd.org/srd/spells/obscureObject.htm" TargetMode="External"/><Relationship Id="rId66" Type="http://schemas.openxmlformats.org/officeDocument/2006/relationships/hyperlink" Target="https://www.d20srd.org/srd/spells/acidArrow.htm" TargetMode="External"/><Relationship Id="rId172" Type="http://schemas.openxmlformats.org/officeDocument/2006/relationships/hyperlink" Target="https://www.d20srd.org/srd/spells/charmMonster.htm" TargetMode="External"/><Relationship Id="rId293" Type="http://schemas.openxmlformats.org/officeDocument/2006/relationships/hyperlink" Target="https://www.d20srd.org/srd/spells/teleportObject.htm" TargetMode="External"/><Relationship Id="rId65" Type="http://schemas.openxmlformats.org/officeDocument/2006/relationships/hyperlink" Target="https://www.d20srd.org/srd/spells/resistEnergy.htm" TargetMode="External"/><Relationship Id="rId171" Type="http://schemas.openxmlformats.org/officeDocument/2006/relationships/hyperlink" Target="https://www.d20srd.org/srd/spells/scrying.htm" TargetMode="External"/><Relationship Id="rId292" Type="http://schemas.openxmlformats.org/officeDocument/2006/relationships/hyperlink" Target="https://www.d20srd.org/srd/spells/teleportGreater.htm" TargetMode="External"/><Relationship Id="rId68" Type="http://schemas.openxmlformats.org/officeDocument/2006/relationships/hyperlink" Target="https://www.d20srd.org/srd/spells/glitterdust.htm" TargetMode="External"/><Relationship Id="rId170" Type="http://schemas.openxmlformats.org/officeDocument/2006/relationships/hyperlink" Target="https://www.d20srd.org/srd/spells/locateCreature.htm" TargetMode="External"/><Relationship Id="rId291" Type="http://schemas.openxmlformats.org/officeDocument/2006/relationships/hyperlink" Target="https://www.d20srd.org/srd/spells/summonMonsterVII.htm" TargetMode="External"/><Relationship Id="rId67" Type="http://schemas.openxmlformats.org/officeDocument/2006/relationships/hyperlink" Target="https://www.d20srd.org/srd/spells/fogCloud.htm" TargetMode="External"/><Relationship Id="rId290" Type="http://schemas.openxmlformats.org/officeDocument/2006/relationships/hyperlink" Target="https://www.d20srd.org/srd/spells/planeShift.htm" TargetMode="External"/><Relationship Id="rId60" Type="http://schemas.openxmlformats.org/officeDocument/2006/relationships/hyperlink" Target="https://www.d20srd.org/srd/spells/magicWeapon.htm" TargetMode="External"/><Relationship Id="rId165" Type="http://schemas.openxmlformats.org/officeDocument/2006/relationships/hyperlink" Target="https://www.d20srd.org/srd/spells/secureShelter.htm" TargetMode="External"/><Relationship Id="rId286" Type="http://schemas.openxmlformats.org/officeDocument/2006/relationships/hyperlink" Target="https://www.d20srd.org/srd/spells/spellTurning.htm" TargetMode="External"/><Relationship Id="rId69" Type="http://schemas.openxmlformats.org/officeDocument/2006/relationships/hyperlink" Target="https://www.d20srd.org/srd/spells/summonMonsterII.htm" TargetMode="External"/><Relationship Id="rId164" Type="http://schemas.openxmlformats.org/officeDocument/2006/relationships/hyperlink" Target="https://www.d20srd.org/srd/spells/minorCreation.htm" TargetMode="External"/><Relationship Id="rId285" Type="http://schemas.openxmlformats.org/officeDocument/2006/relationships/hyperlink" Target="https://www.d20srd.org/srd/spells/sequester.htm" TargetMode="External"/><Relationship Id="rId163" Type="http://schemas.openxmlformats.org/officeDocument/2006/relationships/hyperlink" Target="https://www.d20srd.org/srd/spells/dimensionDoor.htm" TargetMode="External"/><Relationship Id="rId284" Type="http://schemas.openxmlformats.org/officeDocument/2006/relationships/hyperlink" Target="https://www.d20srd.org/srd/spells/banishment.htm" TargetMode="External"/><Relationship Id="rId162" Type="http://schemas.openxmlformats.org/officeDocument/2006/relationships/hyperlink" Target="https://www.d20srd.org/srd/spells/blackTentacles.htm" TargetMode="External"/><Relationship Id="rId283" Type="http://schemas.openxmlformats.org/officeDocument/2006/relationships/hyperlink" Target="https://www.d20srd.org/srd/spells/transformation.htm" TargetMode="External"/><Relationship Id="rId169" Type="http://schemas.openxmlformats.org/officeDocument/2006/relationships/hyperlink" Target="https://www.d20srd.org/srd/spells/detectScrying.htm" TargetMode="External"/><Relationship Id="rId168" Type="http://schemas.openxmlformats.org/officeDocument/2006/relationships/hyperlink" Target="https://www.d20srd.org/srd/spells/arcaneEye.htm" TargetMode="External"/><Relationship Id="rId289" Type="http://schemas.openxmlformats.org/officeDocument/2006/relationships/hyperlink" Target="https://www.d20srd.org/srd/spells/phaseDoor.htm" TargetMode="External"/><Relationship Id="rId167" Type="http://schemas.openxmlformats.org/officeDocument/2006/relationships/hyperlink" Target="https://www.d20srd.org/srd/spells/summonMonsterIV.htm" TargetMode="External"/><Relationship Id="rId288" Type="http://schemas.openxmlformats.org/officeDocument/2006/relationships/hyperlink" Target="https://www.d20srd.org/srd/spells/magesMagnificentMansion.htm" TargetMode="External"/><Relationship Id="rId166" Type="http://schemas.openxmlformats.org/officeDocument/2006/relationships/hyperlink" Target="https://www.d20srd.org/srd/spells/solidFog.htm" TargetMode="External"/><Relationship Id="rId287" Type="http://schemas.openxmlformats.org/officeDocument/2006/relationships/hyperlink" Target="https://www.d20srd.org/srd/spells/instantSummons.htm" TargetMode="External"/><Relationship Id="rId51" Type="http://schemas.openxmlformats.org/officeDocument/2006/relationships/hyperlink" Target="https://www.d20srd.org/srd/spells/causeFear.htm" TargetMode="External"/><Relationship Id="rId50" Type="http://schemas.openxmlformats.org/officeDocument/2006/relationships/hyperlink" Target="https://www.d20srd.org/srd/spells/ventriloquism.htm" TargetMode="External"/><Relationship Id="rId53" Type="http://schemas.openxmlformats.org/officeDocument/2006/relationships/hyperlink" Target="https://www.d20srd.org/srd/spells/rayOfEnfeeblement.htm" TargetMode="External"/><Relationship Id="rId52" Type="http://schemas.openxmlformats.org/officeDocument/2006/relationships/hyperlink" Target="https://www.d20srd.org/srd/spells/chillTouch.htm" TargetMode="External"/><Relationship Id="rId55" Type="http://schemas.openxmlformats.org/officeDocument/2006/relationships/hyperlink" Target="https://www.d20srd.org/srd/spells/enlargePerson.htm" TargetMode="External"/><Relationship Id="rId161" Type="http://schemas.openxmlformats.org/officeDocument/2006/relationships/hyperlink" Target="https://www.d20srd.org/srd/spells/stoneskin.htm" TargetMode="External"/><Relationship Id="rId282" Type="http://schemas.openxmlformats.org/officeDocument/2006/relationships/hyperlink" Target="https://www.d20srd.org/srd/spells/stoneToFlesh.htm" TargetMode="External"/><Relationship Id="rId54" Type="http://schemas.openxmlformats.org/officeDocument/2006/relationships/hyperlink" Target="https://www.d20srd.org/srd/spells/animateRope.htm" TargetMode="External"/><Relationship Id="rId160" Type="http://schemas.openxmlformats.org/officeDocument/2006/relationships/hyperlink" Target="https://www.d20srd.org/srd/spells/removeCurse.htm" TargetMode="External"/><Relationship Id="rId281" Type="http://schemas.openxmlformats.org/officeDocument/2006/relationships/hyperlink" Target="https://www.d20srd.org/srd/spells/owlsWisdomMass.htm" TargetMode="External"/><Relationship Id="rId57" Type="http://schemas.openxmlformats.org/officeDocument/2006/relationships/hyperlink" Target="https://www.d20srd.org/srd/spells/expeditiousRetreat.htm" TargetMode="External"/><Relationship Id="rId280" Type="http://schemas.openxmlformats.org/officeDocument/2006/relationships/hyperlink" Target="https://www.d20srd.org/srd/spells/moveEarth.htm" TargetMode="External"/><Relationship Id="rId56" Type="http://schemas.openxmlformats.org/officeDocument/2006/relationships/hyperlink" Target="https://www.d20srd.org/srd/spells/erase.htm" TargetMode="External"/><Relationship Id="rId159" Type="http://schemas.openxmlformats.org/officeDocument/2006/relationships/hyperlink" Target="https://www.d20srd.org/srd/spells/globeOfInvulnerabilityLesser.htm" TargetMode="External"/><Relationship Id="rId59" Type="http://schemas.openxmlformats.org/officeDocument/2006/relationships/hyperlink" Target="https://www.d20srd.org/srd/spells/jump.htm" TargetMode="External"/><Relationship Id="rId154" Type="http://schemas.openxmlformats.org/officeDocument/2006/relationships/hyperlink" Target="https://www.d20srd.org/srd/spells/shrinkItem.htm" TargetMode="External"/><Relationship Id="rId275" Type="http://schemas.openxmlformats.org/officeDocument/2006/relationships/hyperlink" Target="https://www.d20srd.org/srd/spells/disintegrate.htm" TargetMode="External"/><Relationship Id="rId58" Type="http://schemas.openxmlformats.org/officeDocument/2006/relationships/hyperlink" Target="https://www.d20srd.org/srd/spells/featherFall.htm" TargetMode="External"/><Relationship Id="rId153" Type="http://schemas.openxmlformats.org/officeDocument/2006/relationships/hyperlink" Target="https://www.d20srd.org/srd/spells/secretPage.htm" TargetMode="External"/><Relationship Id="rId274" Type="http://schemas.openxmlformats.org/officeDocument/2006/relationships/hyperlink" Target="https://www.d20srd.org/srd/spells/controlWater.htm" TargetMode="External"/><Relationship Id="rId152" Type="http://schemas.openxmlformats.org/officeDocument/2006/relationships/hyperlink" Target="https://www.d20srd.org/srd/spells/magicWeaponGreater.htm" TargetMode="External"/><Relationship Id="rId273" Type="http://schemas.openxmlformats.org/officeDocument/2006/relationships/hyperlink" Target="https://www.d20srd.org/srd/spells/catsGraceMass.htm" TargetMode="External"/><Relationship Id="rId151" Type="http://schemas.openxmlformats.org/officeDocument/2006/relationships/hyperlink" Target="https://www.d20srd.org/srd/spells/keenEdge.htm" TargetMode="External"/><Relationship Id="rId272" Type="http://schemas.openxmlformats.org/officeDocument/2006/relationships/hyperlink" Target="https://www.d20srd.org/srd/spells/bullsStrengthMass.htm" TargetMode="External"/><Relationship Id="rId158" Type="http://schemas.openxmlformats.org/officeDocument/2006/relationships/hyperlink" Target="https://www.d20srd.org/srd/spells/fireTrap.htm" TargetMode="External"/><Relationship Id="rId279" Type="http://schemas.openxmlformats.org/officeDocument/2006/relationships/hyperlink" Target="https://www.d20srd.org/srd/spells/magesLucubration.htm" TargetMode="External"/><Relationship Id="rId157" Type="http://schemas.openxmlformats.org/officeDocument/2006/relationships/hyperlink" Target="https://www.d20srd.org/srd/spells/dimensionalAnchor.htm" TargetMode="External"/><Relationship Id="rId278" Type="http://schemas.openxmlformats.org/officeDocument/2006/relationships/hyperlink" Target="https://www.d20srd.org/srd/spells/foxsCunningMass.htm" TargetMode="External"/><Relationship Id="rId156" Type="http://schemas.openxmlformats.org/officeDocument/2006/relationships/hyperlink" Target="https://www.d20srd.org/srd/spells/waterBreathing.htm" TargetMode="External"/><Relationship Id="rId277" Type="http://schemas.openxmlformats.org/officeDocument/2006/relationships/hyperlink" Target="https://www.d20srd.org/srd/spells/fleshToStone.htm" TargetMode="External"/><Relationship Id="rId155" Type="http://schemas.openxmlformats.org/officeDocument/2006/relationships/hyperlink" Target="https://www.d20srd.org/srd/spells/slow.htm" TargetMode="External"/><Relationship Id="rId276" Type="http://schemas.openxmlformats.org/officeDocument/2006/relationships/hyperlink" Target="https://www.d20srd.org/srd/spells/eaglesSplendorMass.htm" TargetMode="External"/><Relationship Id="rId107" Type="http://schemas.openxmlformats.org/officeDocument/2006/relationships/hyperlink" Target="https://www.d20srd.org/srd/spells/owlsWisdom.htm" TargetMode="External"/><Relationship Id="rId228" Type="http://schemas.openxmlformats.org/officeDocument/2006/relationships/hyperlink" Target="https://www.d20srd.org/srd/spells/blight.htm" TargetMode="External"/><Relationship Id="rId349" Type="http://schemas.openxmlformats.org/officeDocument/2006/relationships/hyperlink" Target="https://www.d20srd.org/srd/spells/horridWilting.htm" TargetMode="External"/><Relationship Id="rId106" Type="http://schemas.openxmlformats.org/officeDocument/2006/relationships/hyperlink" Target="https://www.d20srd.org/srd/spells/levitate.htm" TargetMode="External"/><Relationship Id="rId227" Type="http://schemas.openxmlformats.org/officeDocument/2006/relationships/hyperlink" Target="https://www.d20srd.org/srd/spells/shadowEvocation.htm" TargetMode="External"/><Relationship Id="rId348" Type="http://schemas.openxmlformats.org/officeDocument/2006/relationships/hyperlink" Target="https://www.d20srd.org/srd/spells/createGreaterUndead.htm" TargetMode="External"/><Relationship Id="rId105" Type="http://schemas.openxmlformats.org/officeDocument/2006/relationships/hyperlink" Target="https://www.d20srd.org/srd/spells/knock.htm" TargetMode="External"/><Relationship Id="rId226" Type="http://schemas.openxmlformats.org/officeDocument/2006/relationships/hyperlink" Target="https://www.d20srd.org/srd/spells/seeming.htm" TargetMode="External"/><Relationship Id="rId347" Type="http://schemas.openxmlformats.org/officeDocument/2006/relationships/hyperlink" Target="https://www.d20srd.org/srd/spells/clone.htm" TargetMode="External"/><Relationship Id="rId104" Type="http://schemas.openxmlformats.org/officeDocument/2006/relationships/hyperlink" Target="https://www.d20srd.org/srd/spells/foxsCunning.htm" TargetMode="External"/><Relationship Id="rId225" Type="http://schemas.openxmlformats.org/officeDocument/2006/relationships/hyperlink" Target="https://www.d20srd.org/srd/spells/persistentImage.htm" TargetMode="External"/><Relationship Id="rId346" Type="http://schemas.openxmlformats.org/officeDocument/2006/relationships/hyperlink" Target="https://www.d20srd.org/srd/spells/shadowEvocationGreater.htm" TargetMode="External"/><Relationship Id="rId109" Type="http://schemas.openxmlformats.org/officeDocument/2006/relationships/hyperlink" Target="https://www.d20srd.org/srd/spells/ropeTrick.htm" TargetMode="External"/><Relationship Id="rId108" Type="http://schemas.openxmlformats.org/officeDocument/2006/relationships/hyperlink" Target="https://www.d20srd.org/srd/spells/pyrotechnics.htm" TargetMode="External"/><Relationship Id="rId229" Type="http://schemas.openxmlformats.org/officeDocument/2006/relationships/hyperlink" Target="https://www.d20srd.org/srd/spells/magicJar.htm" TargetMode="External"/><Relationship Id="rId220" Type="http://schemas.openxmlformats.org/officeDocument/2006/relationships/hyperlink" Target="https://www.d20srd.org/srd/spells/wallOfForce.htm" TargetMode="External"/><Relationship Id="rId341" Type="http://schemas.openxmlformats.org/officeDocument/2006/relationships/hyperlink" Target="https://www.d20srd.org/srd/spells/shoutGreater.htm" TargetMode="External"/><Relationship Id="rId340" Type="http://schemas.openxmlformats.org/officeDocument/2006/relationships/hyperlink" Target="https://www.d20srd.org/srd/spells/polarRay.htm" TargetMode="External"/><Relationship Id="rId103" Type="http://schemas.openxmlformats.org/officeDocument/2006/relationships/hyperlink" Target="https://www.d20srd.org/srd/spells/eaglesSplendor.htm" TargetMode="External"/><Relationship Id="rId224" Type="http://schemas.openxmlformats.org/officeDocument/2006/relationships/hyperlink" Target="https://www.d20srd.org/srd/spells/nightmare.htm" TargetMode="External"/><Relationship Id="rId345" Type="http://schemas.openxmlformats.org/officeDocument/2006/relationships/hyperlink" Target="https://www.d20srd.org/srd/spells/screen.htm" TargetMode="External"/><Relationship Id="rId102" Type="http://schemas.openxmlformats.org/officeDocument/2006/relationships/hyperlink" Target="https://www.d20srd.org/srd/spells/darkvision.htm" TargetMode="External"/><Relationship Id="rId223" Type="http://schemas.openxmlformats.org/officeDocument/2006/relationships/hyperlink" Target="https://www.d20srd.org/srd/spells/mirageArcana.htm" TargetMode="External"/><Relationship Id="rId344" Type="http://schemas.openxmlformats.org/officeDocument/2006/relationships/hyperlink" Target="https://www.d20srd.org/srd/spells/scintillatingPattern.htm" TargetMode="External"/><Relationship Id="rId101" Type="http://schemas.openxmlformats.org/officeDocument/2006/relationships/hyperlink" Target="https://www.d20srd.org/srd/spells/catsGrace.htm" TargetMode="External"/><Relationship Id="rId222" Type="http://schemas.openxmlformats.org/officeDocument/2006/relationships/hyperlink" Target="https://www.d20srd.org/srd/spells/falseVision.htm" TargetMode="External"/><Relationship Id="rId343" Type="http://schemas.openxmlformats.org/officeDocument/2006/relationships/hyperlink" Target="https://www.d20srd.org/srd/spells/telekineticSphere.htm" TargetMode="External"/><Relationship Id="rId100" Type="http://schemas.openxmlformats.org/officeDocument/2006/relationships/hyperlink" Target="https://www.d20srd.org/srd/spells/bullsStrength.htm" TargetMode="External"/><Relationship Id="rId221" Type="http://schemas.openxmlformats.org/officeDocument/2006/relationships/hyperlink" Target="https://www.d20srd.org/srd/spells/dream.htm" TargetMode="External"/><Relationship Id="rId342" Type="http://schemas.openxmlformats.org/officeDocument/2006/relationships/hyperlink" Target="https://www.d20srd.org/srd/spells/sunburst.htm" TargetMode="External"/><Relationship Id="rId217" Type="http://schemas.openxmlformats.org/officeDocument/2006/relationships/hyperlink" Target="https://www.d20srd.org/srd/spells/coneOfCold.htm" TargetMode="External"/><Relationship Id="rId338" Type="http://schemas.openxmlformats.org/officeDocument/2006/relationships/hyperlink" Target="https://www.d20srd.org/srd/spells/sympathy.htm" TargetMode="External"/><Relationship Id="rId216" Type="http://schemas.openxmlformats.org/officeDocument/2006/relationships/hyperlink" Target="https://www.d20srd.org/srd/spells/symbolOfSleep.htm" TargetMode="External"/><Relationship Id="rId337" Type="http://schemas.openxmlformats.org/officeDocument/2006/relationships/hyperlink" Target="https://www.d20srd.org/srd/spells/symbolOfInsanity.htm" TargetMode="External"/><Relationship Id="rId215" Type="http://schemas.openxmlformats.org/officeDocument/2006/relationships/hyperlink" Target="https://www.d20srd.org/srd/spells/mindFog.htm" TargetMode="External"/><Relationship Id="rId336" Type="http://schemas.openxmlformats.org/officeDocument/2006/relationships/hyperlink" Target="https://www.d20srd.org/srd/spells/powerWordStun.htm" TargetMode="External"/><Relationship Id="rId214" Type="http://schemas.openxmlformats.org/officeDocument/2006/relationships/hyperlink" Target="https://www.d20srd.org/srd/spells/holdMonster.htm" TargetMode="External"/><Relationship Id="rId335" Type="http://schemas.openxmlformats.org/officeDocument/2006/relationships/hyperlink" Target="https://www.d20srd.org/srd/spells/irresistibleDance.htm" TargetMode="External"/><Relationship Id="rId219" Type="http://schemas.openxmlformats.org/officeDocument/2006/relationships/hyperlink" Target="https://www.d20srd.org/srd/spells/sending.htm" TargetMode="External"/><Relationship Id="rId218" Type="http://schemas.openxmlformats.org/officeDocument/2006/relationships/hyperlink" Target="https://www.d20srd.org/srd/spells/interposingHand.htm" TargetMode="External"/><Relationship Id="rId339" Type="http://schemas.openxmlformats.org/officeDocument/2006/relationships/hyperlink" Target="https://www.d20srd.org/srd/spells/clenchedFist.htm" TargetMode="External"/><Relationship Id="rId330" Type="http://schemas.openxmlformats.org/officeDocument/2006/relationships/hyperlink" Target="https://www.d20srd.org/srd/spells/pryingEyesGreater.htm" TargetMode="External"/><Relationship Id="rId213" Type="http://schemas.openxmlformats.org/officeDocument/2006/relationships/hyperlink" Target="https://www.d20srd.org/srd/spells/feeblemind.htm" TargetMode="External"/><Relationship Id="rId334" Type="http://schemas.openxmlformats.org/officeDocument/2006/relationships/hyperlink" Target="https://www.d20srd.org/srd/spells/demand.htm" TargetMode="External"/><Relationship Id="rId212" Type="http://schemas.openxmlformats.org/officeDocument/2006/relationships/hyperlink" Target="https://www.d20srd.org/srd/spells/dominatePerson.htm" TargetMode="External"/><Relationship Id="rId333" Type="http://schemas.openxmlformats.org/officeDocument/2006/relationships/hyperlink" Target="https://www.d20srd.org/srd/spells/charmMonsterMass.htm" TargetMode="External"/><Relationship Id="rId211" Type="http://schemas.openxmlformats.org/officeDocument/2006/relationships/hyperlink" Target="https://docs.google.com/document/u/0/d/1ZtD38SpiYhIYg7SNlkK6LHAAF3Ow4KcpyjXev1BiJjU/edit" TargetMode="External"/><Relationship Id="rId332" Type="http://schemas.openxmlformats.org/officeDocument/2006/relationships/hyperlink" Target="https://www.d20srd.org/srd/spells/binding.htm" TargetMode="External"/><Relationship Id="rId210" Type="http://schemas.openxmlformats.org/officeDocument/2006/relationships/hyperlink" Target="https://www.d20srd.org/srd/spells/pryingEyes.htm" TargetMode="External"/><Relationship Id="rId331" Type="http://schemas.openxmlformats.org/officeDocument/2006/relationships/hyperlink" Target="https://www.d20srd.org/srd/spells/antipathy.htm" TargetMode="External"/><Relationship Id="rId370" Type="http://schemas.openxmlformats.org/officeDocument/2006/relationships/hyperlink" Target="https://www.d20srd.org/srd/spells/astralProjection.htm" TargetMode="External"/><Relationship Id="rId129" Type="http://schemas.openxmlformats.org/officeDocument/2006/relationships/hyperlink" Target="https://www.d20srd.org/srd/spells/heroism.htm" TargetMode="External"/><Relationship Id="rId128" Type="http://schemas.openxmlformats.org/officeDocument/2006/relationships/hyperlink" Target="https://www.d20srd.org/srd/spells/deepSlumber.htm" TargetMode="External"/><Relationship Id="rId249" Type="http://schemas.openxmlformats.org/officeDocument/2006/relationships/hyperlink" Target="https://www.d20srd.org/srd/spells/wallOfIron.htm" TargetMode="External"/><Relationship Id="rId127" Type="http://schemas.openxmlformats.org/officeDocument/2006/relationships/hyperlink" Target="https://www.d20srd.org/srd/spells/tongues.htm" TargetMode="External"/><Relationship Id="rId248" Type="http://schemas.openxmlformats.org/officeDocument/2006/relationships/hyperlink" Target="https://www.d20srd.org/srd/spells/summonMonsterVI.htm" TargetMode="External"/><Relationship Id="rId369" Type="http://schemas.openxmlformats.org/officeDocument/2006/relationships/hyperlink" Target="https://www.d20srd.org/srd/spells/weird.htm" TargetMode="External"/><Relationship Id="rId126" Type="http://schemas.openxmlformats.org/officeDocument/2006/relationships/hyperlink" Target="https://www.d20srd.org/srd/spells/clairaudienceClairvoyance.htm" TargetMode="External"/><Relationship Id="rId247" Type="http://schemas.openxmlformats.org/officeDocument/2006/relationships/hyperlink" Target="https://www.d20srd.org/srd/spells/planarBinding.htm" TargetMode="External"/><Relationship Id="rId368" Type="http://schemas.openxmlformats.org/officeDocument/2006/relationships/hyperlink" Target="https://www.d20srd.org/srd/spells/shades.htm" TargetMode="External"/><Relationship Id="rId121" Type="http://schemas.openxmlformats.org/officeDocument/2006/relationships/hyperlink" Target="https://www.d20srd.org/srd/spells/sepiaSnakeSigil.htm" TargetMode="External"/><Relationship Id="rId242" Type="http://schemas.openxmlformats.org/officeDocument/2006/relationships/hyperlink" Target="https://www.d20srd.org/srd/spells/dispelMagicGreater.htm" TargetMode="External"/><Relationship Id="rId363" Type="http://schemas.openxmlformats.org/officeDocument/2006/relationships/hyperlink" Target="https://www.d20srd.org/srd/spells/dominateMonster.htm" TargetMode="External"/><Relationship Id="rId120" Type="http://schemas.openxmlformats.org/officeDocument/2006/relationships/hyperlink" Target="https://www.d20srd.org/srd/spells/phantomSteed.htm" TargetMode="External"/><Relationship Id="rId241" Type="http://schemas.openxmlformats.org/officeDocument/2006/relationships/hyperlink" Target="https://www.d20srd.org/srd/spells/antimagicField.htm" TargetMode="External"/><Relationship Id="rId362" Type="http://schemas.openxmlformats.org/officeDocument/2006/relationships/hyperlink" Target="https://www.d20srd.org/srd/spells/foresight.htm" TargetMode="External"/><Relationship Id="rId240" Type="http://schemas.openxmlformats.org/officeDocument/2006/relationships/hyperlink" Target="https://www.d20srd.org/srd/spells/permanency.htm" TargetMode="External"/><Relationship Id="rId361" Type="http://schemas.openxmlformats.org/officeDocument/2006/relationships/hyperlink" Target="https://www.d20srd.org/srd/spells/teleportationCircle.htm" TargetMode="External"/><Relationship Id="rId360" Type="http://schemas.openxmlformats.org/officeDocument/2006/relationships/hyperlink" Target="https://www.d20srd.org/srd/spells/summonMonsterIX.htm" TargetMode="External"/><Relationship Id="rId125" Type="http://schemas.openxmlformats.org/officeDocument/2006/relationships/hyperlink" Target="https://www.d20srd.org/srd/spells/arcaneSight.htm" TargetMode="External"/><Relationship Id="rId246" Type="http://schemas.openxmlformats.org/officeDocument/2006/relationships/hyperlink" Target="https://www.d20srd.org/srd/spells/acidFog.htm" TargetMode="External"/><Relationship Id="rId367" Type="http://schemas.openxmlformats.org/officeDocument/2006/relationships/hyperlink" Target="https://www.d20srd.org/srd/spells/meteorSwarm.htm" TargetMode="External"/><Relationship Id="rId124" Type="http://schemas.openxmlformats.org/officeDocument/2006/relationships/hyperlink" Target="https://www.d20srd.org/srd/spells/summonMonsterIII.htm" TargetMode="External"/><Relationship Id="rId245" Type="http://schemas.openxmlformats.org/officeDocument/2006/relationships/hyperlink" Target="https://www.d20srd.org/srd/spells/repulsion.htm" TargetMode="External"/><Relationship Id="rId366" Type="http://schemas.openxmlformats.org/officeDocument/2006/relationships/hyperlink" Target="https://www.d20srd.org/srd/spells/crushingHand.htm" TargetMode="External"/><Relationship Id="rId123" Type="http://schemas.openxmlformats.org/officeDocument/2006/relationships/hyperlink" Target="https://www.d20srd.org/srd/spells/stinkingCloud.htm" TargetMode="External"/><Relationship Id="rId244" Type="http://schemas.openxmlformats.org/officeDocument/2006/relationships/hyperlink" Target="https://www.d20srd.org/srd/spells/guardsAndWards.htm" TargetMode="External"/><Relationship Id="rId365" Type="http://schemas.openxmlformats.org/officeDocument/2006/relationships/hyperlink" Target="https://www.d20srd.org/srd/spells/powerWordKill.htm" TargetMode="External"/><Relationship Id="rId122" Type="http://schemas.openxmlformats.org/officeDocument/2006/relationships/hyperlink" Target="https://www.d20srd.org/srd/spells/sleetStorm.htm" TargetMode="External"/><Relationship Id="rId243" Type="http://schemas.openxmlformats.org/officeDocument/2006/relationships/hyperlink" Target="https://www.d20srd.org/srd/spells/globeOfInvulnerability.htm" TargetMode="External"/><Relationship Id="rId364" Type="http://schemas.openxmlformats.org/officeDocument/2006/relationships/hyperlink" Target="https://www.d20srd.org/srd/spells/holdMonsterMass.htm" TargetMode="External"/><Relationship Id="rId95" Type="http://schemas.openxmlformats.org/officeDocument/2006/relationships/hyperlink" Target="https://www.d20srd.org/srd/spells/ghoulTouch.htm" TargetMode="External"/><Relationship Id="rId94" Type="http://schemas.openxmlformats.org/officeDocument/2006/relationships/hyperlink" Target="https://www.d20srd.org/srd/spells/falseLife.htm" TargetMode="External"/><Relationship Id="rId97" Type="http://schemas.openxmlformats.org/officeDocument/2006/relationships/hyperlink" Target="https://www.d20srd.org/srd/spells/spectralHand.htm" TargetMode="External"/><Relationship Id="rId96" Type="http://schemas.openxmlformats.org/officeDocument/2006/relationships/hyperlink" Target="https://www.d20srd.org/srd/spells/scare.htm" TargetMode="External"/><Relationship Id="rId99" Type="http://schemas.openxmlformats.org/officeDocument/2006/relationships/hyperlink" Target="https://www.d20srd.org/srd/spells/bearsEndurance.htm" TargetMode="External"/><Relationship Id="rId98" Type="http://schemas.openxmlformats.org/officeDocument/2006/relationships/hyperlink" Target="https://www.d20srd.org/srd/spells/alterSelf.htm" TargetMode="External"/><Relationship Id="rId91" Type="http://schemas.openxmlformats.org/officeDocument/2006/relationships/hyperlink" Target="https://www.d20srd.org/srd/spells/phantomTrap.htm" TargetMode="External"/><Relationship Id="rId90" Type="http://schemas.openxmlformats.org/officeDocument/2006/relationships/hyperlink" Target="https://www.d20srd.org/srd/spells/misdirection.htm" TargetMode="External"/><Relationship Id="rId93" Type="http://schemas.openxmlformats.org/officeDocument/2006/relationships/hyperlink" Target="https://www.d20srd.org/srd/spells/commandUndead.htm" TargetMode="External"/><Relationship Id="rId92" Type="http://schemas.openxmlformats.org/officeDocument/2006/relationships/hyperlink" Target="https://www.d20srd.org/srd/spells/blindnessDeafness.htm" TargetMode="External"/><Relationship Id="rId118" Type="http://schemas.openxmlformats.org/officeDocument/2006/relationships/hyperlink" Target="https://www.d20srd.org/srd/spells/nondetection.htm" TargetMode="External"/><Relationship Id="rId239" Type="http://schemas.openxmlformats.org/officeDocument/2006/relationships/hyperlink" Target="https://www.d20srd.org/srd/spells/transmuteRockToMud.htm" TargetMode="External"/><Relationship Id="rId117" Type="http://schemas.openxmlformats.org/officeDocument/2006/relationships/hyperlink" Target="https://www.d20srd.org/srd/spells/magicCircleAgainstLaw.htm" TargetMode="External"/><Relationship Id="rId238" Type="http://schemas.openxmlformats.org/officeDocument/2006/relationships/hyperlink" Target="https://www.d20srd.org/srd/spells/transmuteMudToRock.htm" TargetMode="External"/><Relationship Id="rId359" Type="http://schemas.openxmlformats.org/officeDocument/2006/relationships/hyperlink" Target="https://www.d20srd.org/srd/spells/refuge.htm" TargetMode="External"/><Relationship Id="rId116" Type="http://schemas.openxmlformats.org/officeDocument/2006/relationships/hyperlink" Target="https://www.d20srd.org/srd/spells/magicCircleAgainstGood.htm" TargetMode="External"/><Relationship Id="rId237" Type="http://schemas.openxmlformats.org/officeDocument/2006/relationships/hyperlink" Target="https://docs.google.com/document/u/0/d/1dxx0PAR4vaYIBS5Yhv3IAVItqxy5GyFELsttcbMSKGo/edit" TargetMode="External"/><Relationship Id="rId358" Type="http://schemas.openxmlformats.org/officeDocument/2006/relationships/hyperlink" Target="https://www.d20srd.org/srd/spells/gate.htm" TargetMode="External"/><Relationship Id="rId115" Type="http://schemas.openxmlformats.org/officeDocument/2006/relationships/hyperlink" Target="https://www.d20srd.org/srd/spells/magicCircleAgainstEvil.htm" TargetMode="External"/><Relationship Id="rId236" Type="http://schemas.openxmlformats.org/officeDocument/2006/relationships/hyperlink" Target="https://www.d20srd.org/srd/spells/passwall.htm" TargetMode="External"/><Relationship Id="rId357" Type="http://schemas.openxmlformats.org/officeDocument/2006/relationships/hyperlink" Target="https://www.d20srd.org/srd/spells/prismaticSphere.htm" TargetMode="External"/><Relationship Id="rId119" Type="http://schemas.openxmlformats.org/officeDocument/2006/relationships/hyperlink" Target="https://www.d20srd.org/srd/spells/protectionFromEnergy.htm" TargetMode="External"/><Relationship Id="rId110" Type="http://schemas.openxmlformats.org/officeDocument/2006/relationships/hyperlink" Target="https://www.d20srd.org/srd/spells/spiderClimb.htm" TargetMode="External"/><Relationship Id="rId231" Type="http://schemas.openxmlformats.org/officeDocument/2006/relationships/hyperlink" Target="https://www.d20srd.org/srd/spells/wavesOfFatigue.htm" TargetMode="External"/><Relationship Id="rId352" Type="http://schemas.openxmlformats.org/officeDocument/2006/relationships/hyperlink" Target="https://www.d20srd.org/srd/spells/polymorphAnyObject.htm" TargetMode="External"/><Relationship Id="rId230" Type="http://schemas.openxmlformats.org/officeDocument/2006/relationships/hyperlink" Target="https://www.d20srd.org/srd/spells/symbolOfPain.htm" TargetMode="External"/><Relationship Id="rId351" Type="http://schemas.openxmlformats.org/officeDocument/2006/relationships/hyperlink" Target="https://www.d20srd.org/srd/spells/ironBody.htm" TargetMode="External"/><Relationship Id="rId350" Type="http://schemas.openxmlformats.org/officeDocument/2006/relationships/hyperlink" Target="https://www.d20srd.org/srd/spells/symbolOfDeath.htm" TargetMode="External"/><Relationship Id="rId114" Type="http://schemas.openxmlformats.org/officeDocument/2006/relationships/hyperlink" Target="https://www.d20srd.org/srd/spells/magicCircleAgainstChaos.htm" TargetMode="External"/><Relationship Id="rId235" Type="http://schemas.openxmlformats.org/officeDocument/2006/relationships/hyperlink" Target="https://docs.google.com/document/u/0/d/1mhSTWXGx9xK68HY_BhtkUReFuMy2b5lm8MKXzKOJ2yc/edit" TargetMode="External"/><Relationship Id="rId356" Type="http://schemas.openxmlformats.org/officeDocument/2006/relationships/hyperlink" Target="https://www.d20srd.org/srd/spells/magesDisjunction.htm" TargetMode="External"/><Relationship Id="rId113" Type="http://schemas.openxmlformats.org/officeDocument/2006/relationships/hyperlink" Target="https://www.d20srd.org/srd/spells/explosiveRunes.htm" TargetMode="External"/><Relationship Id="rId234" Type="http://schemas.openxmlformats.org/officeDocument/2006/relationships/hyperlink" Target="https://www.d20srd.org/srd/spells/fabricate.htm" TargetMode="External"/><Relationship Id="rId355" Type="http://schemas.openxmlformats.org/officeDocument/2006/relationships/hyperlink" Target="https://www.d20srd.org/srd/spells/imprisonment.htm" TargetMode="External"/><Relationship Id="rId112" Type="http://schemas.openxmlformats.org/officeDocument/2006/relationships/hyperlink" Target="https://www.d20srd.org/srd/spells/dispelMagic.htm" TargetMode="External"/><Relationship Id="rId233" Type="http://schemas.openxmlformats.org/officeDocument/2006/relationships/hyperlink" Target="https://www.d20srd.org/srd/spells/balefulPolymorph.htm" TargetMode="External"/><Relationship Id="rId354" Type="http://schemas.openxmlformats.org/officeDocument/2006/relationships/hyperlink" Target="https://www.d20srd.org/srd/spells/freedom.htm" TargetMode="External"/><Relationship Id="rId111" Type="http://schemas.openxmlformats.org/officeDocument/2006/relationships/hyperlink" Target="https://www.d20srd.org/srd/spells/whisperingWind.htm" TargetMode="External"/><Relationship Id="rId232" Type="http://schemas.openxmlformats.org/officeDocument/2006/relationships/hyperlink" Target="https://www.d20srd.org/srd/spells/animalGrowth.htm" TargetMode="External"/><Relationship Id="rId353" Type="http://schemas.openxmlformats.org/officeDocument/2006/relationships/hyperlink" Target="https://www.d20srd.org/srd/spells/temporalStasis.htm" TargetMode="External"/><Relationship Id="rId305" Type="http://schemas.openxmlformats.org/officeDocument/2006/relationships/hyperlink" Target="https://www.d20srd.org/srd/spells/prismaticSpray.htm" TargetMode="External"/><Relationship Id="rId304" Type="http://schemas.openxmlformats.org/officeDocument/2006/relationships/hyperlink" Target="https://www.d20srd.org/srd/spells/magesSword.htm" TargetMode="External"/><Relationship Id="rId303" Type="http://schemas.openxmlformats.org/officeDocument/2006/relationships/hyperlink" Target="https://www.d20srd.org/srd/spells/graspingHand.htm" TargetMode="External"/><Relationship Id="rId302" Type="http://schemas.openxmlformats.org/officeDocument/2006/relationships/hyperlink" Target="https://www.d20srd.org/srd/spells/forcecage.htm" TargetMode="External"/><Relationship Id="rId309" Type="http://schemas.openxmlformats.org/officeDocument/2006/relationships/hyperlink" Target="https://www.d20srd.org/srd/spells/simulacrum.htm" TargetMode="External"/><Relationship Id="rId308" Type="http://schemas.openxmlformats.org/officeDocument/2006/relationships/hyperlink" Target="https://www.d20srd.org/srd/spells/shadowConjurationGreater.htm" TargetMode="External"/><Relationship Id="rId307" Type="http://schemas.openxmlformats.org/officeDocument/2006/relationships/hyperlink" Target="https://www.d20srd.org/srd/spells/projectImage.htm" TargetMode="External"/><Relationship Id="rId306" Type="http://schemas.openxmlformats.org/officeDocument/2006/relationships/hyperlink" Target="https://www.d20srd.org/srd/spells/invisibilityMass.htm" TargetMode="External"/><Relationship Id="rId301" Type="http://schemas.openxmlformats.org/officeDocument/2006/relationships/hyperlink" Target="https://www.d20srd.org/srd/spells/delayedBlastFireball.htm" TargetMode="External"/><Relationship Id="rId300" Type="http://schemas.openxmlformats.org/officeDocument/2006/relationships/hyperlink" Target="https://www.d20srd.org/srd/spells/symbolOfStunning.htm" TargetMode="External"/><Relationship Id="rId206" Type="http://schemas.openxmlformats.org/officeDocument/2006/relationships/hyperlink" Target="https://www.d20srd.org/srd/spells/summonMonsterV.htm" TargetMode="External"/><Relationship Id="rId327" Type="http://schemas.openxmlformats.org/officeDocument/2006/relationships/hyperlink" Target="https://www.d20srd.org/srd/spells/trapTheSoul.htm" TargetMode="External"/><Relationship Id="rId205" Type="http://schemas.openxmlformats.org/officeDocument/2006/relationships/hyperlink" Target="https://www.d20srd.org/srd/spells/secretChest.htm" TargetMode="External"/><Relationship Id="rId326" Type="http://schemas.openxmlformats.org/officeDocument/2006/relationships/hyperlink" Target="https://www.d20srd.org/srd/spells/summonMonsterVIII.htm" TargetMode="External"/><Relationship Id="rId204" Type="http://schemas.openxmlformats.org/officeDocument/2006/relationships/hyperlink" Target="https://www.d20srd.org/srd/spells/planarBindingLesser.htm" TargetMode="External"/><Relationship Id="rId325" Type="http://schemas.openxmlformats.org/officeDocument/2006/relationships/hyperlink" Target="https://www.d20srd.org/srd/spells/planarBindingGreater.htm" TargetMode="External"/><Relationship Id="rId203" Type="http://schemas.openxmlformats.org/officeDocument/2006/relationships/hyperlink" Target="https://www.d20srd.org/srd/spells/majorCreation.htm" TargetMode="External"/><Relationship Id="rId324" Type="http://schemas.openxmlformats.org/officeDocument/2006/relationships/hyperlink" Target="https://www.d20srd.org/srd/spells/maze.htm" TargetMode="External"/><Relationship Id="rId209" Type="http://schemas.openxmlformats.org/officeDocument/2006/relationships/hyperlink" Target="https://www.d20srd.org/srd/spells/contactOtherPlane.htm" TargetMode="External"/><Relationship Id="rId208" Type="http://schemas.openxmlformats.org/officeDocument/2006/relationships/hyperlink" Target="https://www.d20srd.org/srd/spells/wallOfStone.htm" TargetMode="External"/><Relationship Id="rId329" Type="http://schemas.openxmlformats.org/officeDocument/2006/relationships/hyperlink" Target="https://www.d20srd.org/srd/spells/momentOfPrescience.htm" TargetMode="External"/><Relationship Id="rId207" Type="http://schemas.openxmlformats.org/officeDocument/2006/relationships/hyperlink" Target="https://docs.google.com/document/u/0/d/1sXxDfAeuZoLjG5PX_8tUc4yR6_Wf1Rl_fJ8eUMP8Kt8/edit" TargetMode="External"/><Relationship Id="rId328" Type="http://schemas.openxmlformats.org/officeDocument/2006/relationships/hyperlink" Target="https://www.d20srd.org/srd/spells/discernLocation.htm" TargetMode="External"/><Relationship Id="rId202" Type="http://schemas.openxmlformats.org/officeDocument/2006/relationships/hyperlink" Target="https://www.d20srd.org/srd/spells/magesFaithfulHound.htm" TargetMode="External"/><Relationship Id="rId323" Type="http://schemas.openxmlformats.org/officeDocument/2006/relationships/hyperlink" Target="https://www.d20srd.org/srd/spells/incendiaryCloud.htm" TargetMode="External"/><Relationship Id="rId201" Type="http://schemas.openxmlformats.org/officeDocument/2006/relationships/hyperlink" Target="https://www.d20srd.org/srd/spells/cloudkill.htm" TargetMode="External"/><Relationship Id="rId322" Type="http://schemas.openxmlformats.org/officeDocument/2006/relationships/hyperlink" Target="https://www.d20srd.org/srd/spells/protectionFromSpells.htm" TargetMode="External"/><Relationship Id="rId200" Type="http://schemas.openxmlformats.org/officeDocument/2006/relationships/hyperlink" Target="https://www.d20srd.org/srd/spells/magesPrivateSanctum.htm" TargetMode="External"/><Relationship Id="rId321" Type="http://schemas.openxmlformats.org/officeDocument/2006/relationships/hyperlink" Target="https://www.d20srd.org/srd/spells/prismaticWall.htm" TargetMode="External"/><Relationship Id="rId320" Type="http://schemas.openxmlformats.org/officeDocument/2006/relationships/hyperlink" Target="https://www.d20srd.org/srd/spells/mindBlank.htm" TargetMode="External"/><Relationship Id="rId316" Type="http://schemas.openxmlformats.org/officeDocument/2006/relationships/hyperlink" Target="https://www.d20srd.org/srd/spells/reverseGravity.htm" TargetMode="External"/><Relationship Id="rId315" Type="http://schemas.openxmlformats.org/officeDocument/2006/relationships/hyperlink" Target="https://www.d20srd.org/srd/spells/etherealJaunt.htm" TargetMode="External"/><Relationship Id="rId314" Type="http://schemas.openxmlformats.org/officeDocument/2006/relationships/hyperlink" Target="https://www.d20srd.org/srd/spells/controlWeather.htm" TargetMode="External"/><Relationship Id="rId313" Type="http://schemas.openxmlformats.org/officeDocument/2006/relationships/hyperlink" Target="https://www.d20srd.org/srd/spells/wavesOfExhaustion.htm" TargetMode="External"/><Relationship Id="rId319" Type="http://schemas.openxmlformats.org/officeDocument/2006/relationships/hyperlink" Target="https://www.d20srd.org/srd/spells/dimensionalLock.htm" TargetMode="External"/><Relationship Id="rId318" Type="http://schemas.openxmlformats.org/officeDocument/2006/relationships/hyperlink" Target="https://www.d20srd.org/srd/spells/limitedWish.htm" TargetMode="External"/><Relationship Id="rId317" Type="http://schemas.openxmlformats.org/officeDocument/2006/relationships/hyperlink" Target="https://www.d20srd.org/srd/spells/statue.htm" TargetMode="External"/><Relationship Id="rId312" Type="http://schemas.openxmlformats.org/officeDocument/2006/relationships/hyperlink" Target="https://www.d20srd.org/srd/spells/symbolOfWeakness.htm" TargetMode="External"/><Relationship Id="rId311" Type="http://schemas.openxmlformats.org/officeDocument/2006/relationships/hyperlink" Target="https://www.d20srd.org/srd/spells/fingerOfDeath.htm" TargetMode="External"/><Relationship Id="rId310" Type="http://schemas.openxmlformats.org/officeDocument/2006/relationships/hyperlink" Target="https://www.d20srd.org/srd/spells/controlUndead.ht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tr">
        <f>"Close: "&amp;25+(5*FLOOR(Level/2,1)) &amp;" ft"</f>
        <v>Close: 55 ft</v>
      </c>
    </row>
    <row r="4">
      <c r="B4" s="1" t="str">
        <f>"Medium: "&amp;100+(10*Level) &amp;" ft"</f>
        <v>Medium: 230 ft</v>
      </c>
    </row>
    <row r="5">
      <c r="B5" s="1" t="str">
        <f>"Long: "&amp; 400+40*Level &amp; " ft"</f>
        <v>Long: 920 ft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27.29"/>
    <col customWidth="1" min="3" max="3" width="21.57"/>
    <col customWidth="1" min="4" max="4" width="18.14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0" width="8.43"/>
    <col customWidth="1" min="11" max="11" width="7.29"/>
    <col customWidth="1" min="12" max="12" width="6.57"/>
    <col customWidth="1" min="13" max="13" width="7.86"/>
    <col customWidth="1" min="14" max="15" width="14.43"/>
    <col customWidth="1" min="16" max="16" width="10.86"/>
    <col customWidth="1" min="17" max="17" width="8.29"/>
    <col customWidth="1" min="18" max="18" width="9.29"/>
    <col customWidth="1" min="19" max="19" width="7.14"/>
    <col customWidth="1" min="20" max="20" width="8.86"/>
    <col customWidth="1" min="21" max="21" width="9.29"/>
    <col customWidth="1" min="22" max="23" width="7.29"/>
    <col customWidth="1" min="24" max="24" width="4.86"/>
    <col customWidth="1" min="26" max="26" width="10.57"/>
    <col customWidth="1" min="27" max="27" width="1.29"/>
  </cols>
  <sheetData>
    <row r="2">
      <c r="B2" s="2" t="s">
        <v>0</v>
      </c>
      <c r="C2" s="3"/>
      <c r="D2" s="4"/>
      <c r="F2" s="5" t="s">
        <v>1</v>
      </c>
      <c r="G2" s="6"/>
      <c r="H2" s="7" t="s">
        <v>2</v>
      </c>
    </row>
    <row r="3">
      <c r="B3" s="8" t="s">
        <v>3</v>
      </c>
      <c r="C3" s="9"/>
      <c r="D3" s="4"/>
      <c r="F3" s="10">
        <v>13.0</v>
      </c>
      <c r="G3" s="11"/>
      <c r="H3" s="12">
        <v>5.0</v>
      </c>
    </row>
    <row r="4">
      <c r="B4" s="13" t="s">
        <v>4</v>
      </c>
      <c r="C4" s="3"/>
      <c r="D4" s="4"/>
    </row>
    <row r="5">
      <c r="B5" s="8" t="s">
        <v>5</v>
      </c>
      <c r="C5" s="9"/>
      <c r="D5" s="4"/>
    </row>
    <row r="6">
      <c r="B6" s="13" t="s">
        <v>6</v>
      </c>
      <c r="C6" s="3"/>
      <c r="D6" s="4"/>
    </row>
    <row r="7">
      <c r="B7" s="8" t="s">
        <v>7</v>
      </c>
      <c r="C7" s="9"/>
      <c r="D7" s="4"/>
    </row>
    <row r="8">
      <c r="B8" s="13" t="s">
        <v>8</v>
      </c>
      <c r="C8" s="3"/>
      <c r="D8" s="4"/>
    </row>
    <row r="9">
      <c r="B9" s="8" t="s">
        <v>9</v>
      </c>
      <c r="C9" s="9"/>
      <c r="D9" s="4"/>
    </row>
    <row r="10">
      <c r="B10" s="13" t="s">
        <v>10</v>
      </c>
      <c r="C10" s="3"/>
      <c r="D10" s="4"/>
    </row>
    <row r="11">
      <c r="B11" s="8" t="s">
        <v>11</v>
      </c>
      <c r="C11" s="9"/>
      <c r="D11" s="4"/>
    </row>
    <row r="12">
      <c r="B12" s="13" t="s">
        <v>12</v>
      </c>
      <c r="C12" s="3"/>
      <c r="D12" s="4"/>
    </row>
    <row r="14">
      <c r="B14" s="14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5" t="s">
        <v>13</v>
      </c>
      <c r="W14" s="3"/>
      <c r="X14" s="16"/>
      <c r="Y14" s="17" t="str">
        <f>SUM(Z16:Z36)&amp;"/"&amp;dget(base_spells,"0th",F2:F3)</f>
        <v>0/4</v>
      </c>
      <c r="Z14" s="5"/>
      <c r="AA14" s="18"/>
    </row>
    <row r="15">
      <c r="B15" s="19" t="s">
        <v>14</v>
      </c>
      <c r="C15" s="19" t="s">
        <v>15</v>
      </c>
      <c r="D15" s="20" t="s">
        <v>16</v>
      </c>
      <c r="E15" s="21"/>
      <c r="F15" s="20" t="s">
        <v>17</v>
      </c>
      <c r="G15" s="21"/>
      <c r="H15" s="20" t="s">
        <v>18</v>
      </c>
      <c r="I15" s="21"/>
      <c r="J15" s="20" t="s">
        <v>19</v>
      </c>
      <c r="K15" s="21"/>
      <c r="L15" s="20" t="s">
        <v>20</v>
      </c>
      <c r="M15" s="21"/>
      <c r="N15" s="20" t="s">
        <v>21</v>
      </c>
      <c r="O15" s="21"/>
      <c r="P15" s="20" t="s">
        <v>22</v>
      </c>
      <c r="Q15" s="21"/>
      <c r="R15" s="20" t="s">
        <v>23</v>
      </c>
      <c r="S15" s="21"/>
      <c r="T15" s="20" t="s">
        <v>24</v>
      </c>
      <c r="U15" s="21"/>
      <c r="V15" s="20" t="s">
        <v>25</v>
      </c>
      <c r="W15" s="9"/>
      <c r="X15" s="9"/>
      <c r="Y15" s="21"/>
      <c r="Z15" s="19" t="s">
        <v>26</v>
      </c>
      <c r="AA15" s="22"/>
    </row>
    <row r="16">
      <c r="B16" s="23"/>
      <c r="C16" s="23"/>
      <c r="D16" s="24" t="str">
        <f t="shared" ref="D16:D36" si="1">indirect("Dupe!D"&amp;ROW())</f>
        <v/>
      </c>
      <c r="E16" s="16"/>
      <c r="F16" s="25" t="str">
        <f t="shared" ref="F16:F36" si="2">indirect("Dupe!F"&amp;ROW())</f>
        <v/>
      </c>
      <c r="G16" s="16"/>
      <c r="H1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" s="16"/>
      <c r="J1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" s="16"/>
      <c r="L1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" s="16"/>
      <c r="N16" s="25" t="str">
        <f>IFERROR(__xludf.DUMMYFUNCTION("indirect(""Dupe!N""&amp;row())&amp;if(regexmatch(indirect(""C""&amp;row()),""Widen""),""
Widened
Any numeric measurements of the spell’s area increase by 100%"","""")"),"")</f>
        <v/>
      </c>
      <c r="O16" s="16"/>
      <c r="P1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" s="16"/>
      <c r="R16" s="25" t="str">
        <f t="shared" ref="R16:R36" si="3">indirect("Dupe!R"&amp;row())</f>
        <v/>
      </c>
      <c r="S16" s="16"/>
      <c r="T16" s="25" t="str">
        <f t="shared" ref="T16:T36" si="4">indirect("Dupe!T"&amp;row())</f>
        <v/>
      </c>
      <c r="U16" s="16"/>
      <c r="V1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" s="3"/>
      <c r="X16" s="3"/>
      <c r="Y16" s="16"/>
      <c r="Z16" s="28"/>
      <c r="AA16" s="22"/>
    </row>
    <row r="17">
      <c r="B17" s="29"/>
      <c r="C17" s="29"/>
      <c r="D17" s="30" t="str">
        <f t="shared" si="1"/>
        <v/>
      </c>
      <c r="E17" s="21"/>
      <c r="F17" s="31" t="str">
        <f t="shared" si="2"/>
        <v/>
      </c>
      <c r="G17" s="21"/>
      <c r="H1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" s="21"/>
      <c r="J1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" s="21"/>
      <c r="L1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" s="21"/>
      <c r="N17" s="31" t="str">
        <f>IFERROR(__xludf.DUMMYFUNCTION("indirect(""Dupe!N""&amp;row())&amp;if(regexmatch(indirect(""C""&amp;row()),""Widen""),""
Widened
Any numeric measurements of the spell’s area increase by 100%"","""")"),"")</f>
        <v/>
      </c>
      <c r="O17" s="21"/>
      <c r="P1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" s="21"/>
      <c r="R17" s="31" t="str">
        <f t="shared" si="3"/>
        <v/>
      </c>
      <c r="S17" s="21"/>
      <c r="T17" s="31" t="str">
        <f t="shared" si="4"/>
        <v/>
      </c>
      <c r="U17" s="21"/>
      <c r="V1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" s="9"/>
      <c r="X17" s="9"/>
      <c r="Y17" s="21"/>
      <c r="Z17" s="34"/>
      <c r="AA17" s="22"/>
    </row>
    <row r="18">
      <c r="B18" s="35"/>
      <c r="C18" s="35"/>
      <c r="D18" s="24" t="str">
        <f t="shared" si="1"/>
        <v/>
      </c>
      <c r="E18" s="16"/>
      <c r="F18" s="25" t="str">
        <f t="shared" si="2"/>
        <v/>
      </c>
      <c r="G18" s="16"/>
      <c r="H1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" s="16"/>
      <c r="J1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" s="16"/>
      <c r="L1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" s="16"/>
      <c r="N18" s="25" t="str">
        <f>IFERROR(__xludf.DUMMYFUNCTION("indirect(""Dupe!N""&amp;row())&amp;if(regexmatch(indirect(""C""&amp;row()),""Widen""),""
Widened
Any numeric measurements of the spell’s area increase by 100%"","""")"),"")</f>
        <v/>
      </c>
      <c r="O18" s="16"/>
      <c r="P1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" s="16"/>
      <c r="R18" s="25" t="str">
        <f t="shared" si="3"/>
        <v/>
      </c>
      <c r="S18" s="16"/>
      <c r="T18" s="25" t="str">
        <f t="shared" si="4"/>
        <v/>
      </c>
      <c r="U18" s="16"/>
      <c r="V1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" s="3"/>
      <c r="X18" s="3"/>
      <c r="Y18" s="16"/>
      <c r="Z18" s="28"/>
      <c r="AA18" s="36"/>
    </row>
    <row r="19">
      <c r="B19" s="37"/>
      <c r="C19" s="37"/>
      <c r="D19" s="30" t="str">
        <f t="shared" si="1"/>
        <v/>
      </c>
      <c r="E19" s="21"/>
      <c r="F19" s="31" t="str">
        <f t="shared" si="2"/>
        <v/>
      </c>
      <c r="G19" s="21"/>
      <c r="H1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" s="21"/>
      <c r="J1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" s="21"/>
      <c r="L1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" s="21"/>
      <c r="N19" s="31" t="str">
        <f>IFERROR(__xludf.DUMMYFUNCTION("indirect(""Dupe!N""&amp;row())&amp;if(regexmatch(indirect(""C""&amp;row()),""Widen""),""
Widened
Any numeric measurements of the spell’s area increase by 100%"","""")"),"")</f>
        <v/>
      </c>
      <c r="O19" s="21"/>
      <c r="P1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" s="21"/>
      <c r="R19" s="31" t="str">
        <f t="shared" si="3"/>
        <v/>
      </c>
      <c r="S19" s="21"/>
      <c r="T19" s="31" t="str">
        <f t="shared" si="4"/>
        <v/>
      </c>
      <c r="U19" s="21"/>
      <c r="V1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" s="9"/>
      <c r="X19" s="9"/>
      <c r="Y19" s="21"/>
      <c r="Z19" s="34"/>
      <c r="AA19" s="38"/>
    </row>
    <row r="20">
      <c r="B20" s="35"/>
      <c r="C20" s="35"/>
      <c r="D20" s="24" t="str">
        <f t="shared" si="1"/>
        <v/>
      </c>
      <c r="E20" s="16"/>
      <c r="F20" s="25" t="str">
        <f t="shared" si="2"/>
        <v/>
      </c>
      <c r="G20" s="16"/>
      <c r="H2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" s="16"/>
      <c r="J2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" s="16"/>
      <c r="L2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" s="16"/>
      <c r="N20" s="25" t="str">
        <f>IFERROR(__xludf.DUMMYFUNCTION("indirect(""Dupe!N""&amp;row())&amp;if(regexmatch(indirect(""C""&amp;row()),""Widen""),""
Widened
Any numeric measurements of the spell’s area increase by 100%"","""")"),"")</f>
        <v/>
      </c>
      <c r="O20" s="16"/>
      <c r="P2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" s="16"/>
      <c r="R20" s="25" t="str">
        <f t="shared" si="3"/>
        <v/>
      </c>
      <c r="S20" s="16"/>
      <c r="T20" s="25" t="str">
        <f t="shared" si="4"/>
        <v/>
      </c>
      <c r="U20" s="16"/>
      <c r="V2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" s="3"/>
      <c r="X20" s="3"/>
      <c r="Y20" s="16"/>
      <c r="Z20" s="28"/>
      <c r="AA20" s="38"/>
    </row>
    <row r="21">
      <c r="B21" s="37"/>
      <c r="C21" s="37"/>
      <c r="D21" s="30" t="str">
        <f t="shared" si="1"/>
        <v/>
      </c>
      <c r="E21" s="21"/>
      <c r="F21" s="31" t="str">
        <f t="shared" si="2"/>
        <v/>
      </c>
      <c r="G21" s="21"/>
      <c r="H2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" s="21"/>
      <c r="J2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" s="21"/>
      <c r="L2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" s="21"/>
      <c r="N21" s="31" t="str">
        <f>IFERROR(__xludf.DUMMYFUNCTION("indirect(""Dupe!N""&amp;row())&amp;if(regexmatch(indirect(""C""&amp;row()),""Widen""),""
Widened
Any numeric measurements of the spell’s area increase by 100%"","""")"),"")</f>
        <v/>
      </c>
      <c r="O21" s="21"/>
      <c r="P2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" s="21"/>
      <c r="R21" s="31" t="str">
        <f t="shared" si="3"/>
        <v/>
      </c>
      <c r="S21" s="21"/>
      <c r="T21" s="31" t="str">
        <f t="shared" si="4"/>
        <v/>
      </c>
      <c r="U21" s="21"/>
      <c r="V2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" s="9"/>
      <c r="X21" s="9"/>
      <c r="Y21" s="21"/>
      <c r="Z21" s="39"/>
      <c r="AA21" s="38"/>
    </row>
    <row r="22">
      <c r="B22" s="35"/>
      <c r="C22" s="35"/>
      <c r="D22" s="24" t="str">
        <f t="shared" si="1"/>
        <v/>
      </c>
      <c r="E22" s="16"/>
      <c r="F22" s="25" t="str">
        <f t="shared" si="2"/>
        <v/>
      </c>
      <c r="G22" s="16"/>
      <c r="H2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" s="16"/>
      <c r="J2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" s="16"/>
      <c r="L2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" s="16"/>
      <c r="N22" s="25" t="str">
        <f>IFERROR(__xludf.DUMMYFUNCTION("indirect(""Dupe!N""&amp;row())&amp;if(regexmatch(indirect(""C""&amp;row()),""Widen""),""
Widened
Any numeric measurements of the spell’s area increase by 100%"","""")"),"")</f>
        <v/>
      </c>
      <c r="O22" s="16"/>
      <c r="P2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" s="16"/>
      <c r="R22" s="25" t="str">
        <f t="shared" si="3"/>
        <v/>
      </c>
      <c r="S22" s="16"/>
      <c r="T22" s="25" t="str">
        <f t="shared" si="4"/>
        <v/>
      </c>
      <c r="U22" s="16"/>
      <c r="V2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" s="3"/>
      <c r="X22" s="3"/>
      <c r="Y22" s="16"/>
      <c r="Z22" s="40"/>
      <c r="AA22" s="38"/>
    </row>
    <row r="23">
      <c r="B23" s="37"/>
      <c r="C23" s="37"/>
      <c r="D23" s="30" t="str">
        <f t="shared" si="1"/>
        <v/>
      </c>
      <c r="E23" s="21"/>
      <c r="F23" s="31" t="str">
        <f t="shared" si="2"/>
        <v/>
      </c>
      <c r="G23" s="21"/>
      <c r="H2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" s="21"/>
      <c r="J2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" s="21"/>
      <c r="L2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" s="21"/>
      <c r="N23" s="31" t="str">
        <f>IFERROR(__xludf.DUMMYFUNCTION("indirect(""Dupe!N""&amp;row())&amp;if(regexmatch(indirect(""C""&amp;row()),""Widen""),""
Widened
Any numeric measurements of the spell’s area increase by 100%"","""")"),"")</f>
        <v/>
      </c>
      <c r="O23" s="21"/>
      <c r="P2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" s="21"/>
      <c r="R23" s="31" t="str">
        <f t="shared" si="3"/>
        <v/>
      </c>
      <c r="S23" s="21"/>
      <c r="T23" s="31" t="str">
        <f t="shared" si="4"/>
        <v/>
      </c>
      <c r="U23" s="21"/>
      <c r="V2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" s="9"/>
      <c r="X23" s="9"/>
      <c r="Y23" s="21"/>
      <c r="Z23" s="34"/>
      <c r="AA23" s="38"/>
    </row>
    <row r="24">
      <c r="B24" s="35"/>
      <c r="C24" s="35"/>
      <c r="D24" s="24" t="str">
        <f t="shared" si="1"/>
        <v/>
      </c>
      <c r="E24" s="16"/>
      <c r="F24" s="25" t="str">
        <f t="shared" si="2"/>
        <v/>
      </c>
      <c r="G24" s="16"/>
      <c r="H2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" s="16"/>
      <c r="J2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" s="16"/>
      <c r="L2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" s="16"/>
      <c r="N24" s="25" t="str">
        <f>IFERROR(__xludf.DUMMYFUNCTION("indirect(""Dupe!N""&amp;row())&amp;if(regexmatch(indirect(""C""&amp;row()),""Widen""),""
Widened
Any numeric measurements of the spell’s area increase by 100%"","""")"),"")</f>
        <v/>
      </c>
      <c r="O24" s="16"/>
      <c r="P2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" s="16"/>
      <c r="R24" s="25" t="str">
        <f t="shared" si="3"/>
        <v/>
      </c>
      <c r="S24" s="16"/>
      <c r="T24" s="25" t="str">
        <f t="shared" si="4"/>
        <v/>
      </c>
      <c r="U24" s="16"/>
      <c r="V2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" s="3"/>
      <c r="X24" s="3"/>
      <c r="Y24" s="16"/>
      <c r="Z24" s="28"/>
      <c r="AA24" s="38"/>
    </row>
    <row r="25">
      <c r="B25" s="29"/>
      <c r="C25" s="29"/>
      <c r="D25" s="30" t="str">
        <f t="shared" si="1"/>
        <v/>
      </c>
      <c r="E25" s="21"/>
      <c r="F25" s="31" t="str">
        <f t="shared" si="2"/>
        <v/>
      </c>
      <c r="G25" s="21"/>
      <c r="H2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5" s="21"/>
      <c r="J2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5" s="21"/>
      <c r="L2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5" s="21"/>
      <c r="N25" s="31" t="str">
        <f>IFERROR(__xludf.DUMMYFUNCTION("indirect(""Dupe!N""&amp;row())&amp;if(regexmatch(indirect(""C""&amp;row()),""Widen""),""
Widened
Any numeric measurements of the spell’s area increase by 100%"","""")"),"")</f>
        <v/>
      </c>
      <c r="O25" s="21"/>
      <c r="P2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5" s="21"/>
      <c r="R25" s="31" t="str">
        <f t="shared" si="3"/>
        <v/>
      </c>
      <c r="S25" s="21"/>
      <c r="T25" s="31" t="str">
        <f t="shared" si="4"/>
        <v/>
      </c>
      <c r="U25" s="21"/>
      <c r="V2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5" s="9"/>
      <c r="X25" s="9"/>
      <c r="Y25" s="21"/>
      <c r="Z25" s="34"/>
      <c r="AA25" s="38"/>
    </row>
    <row r="26">
      <c r="B26" s="35"/>
      <c r="C26" s="35"/>
      <c r="D26" s="24" t="str">
        <f t="shared" si="1"/>
        <v/>
      </c>
      <c r="E26" s="16"/>
      <c r="F26" s="25" t="str">
        <f t="shared" si="2"/>
        <v/>
      </c>
      <c r="G26" s="16"/>
      <c r="H2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6" s="16"/>
      <c r="J2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6" s="16"/>
      <c r="L2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6" s="16"/>
      <c r="N26" s="25" t="str">
        <f>IFERROR(__xludf.DUMMYFUNCTION("indirect(""Dupe!N""&amp;row())&amp;if(regexmatch(indirect(""C""&amp;row()),""Widen""),""
Widened
Any numeric measurements of the spell’s area increase by 100%"","""")"),"")</f>
        <v/>
      </c>
      <c r="O26" s="16"/>
      <c r="P2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6" s="16"/>
      <c r="R26" s="25" t="str">
        <f t="shared" si="3"/>
        <v/>
      </c>
      <c r="S26" s="16"/>
      <c r="T26" s="25" t="str">
        <f t="shared" si="4"/>
        <v/>
      </c>
      <c r="U26" s="16"/>
      <c r="V2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6" s="3"/>
      <c r="X26" s="3"/>
      <c r="Y26" s="16"/>
      <c r="Z26" s="40"/>
      <c r="AA26" s="38"/>
    </row>
    <row r="27">
      <c r="B27" s="29"/>
      <c r="C27" s="29"/>
      <c r="D27" s="30" t="str">
        <f t="shared" si="1"/>
        <v/>
      </c>
      <c r="E27" s="21"/>
      <c r="F27" s="31" t="str">
        <f t="shared" si="2"/>
        <v/>
      </c>
      <c r="G27" s="21"/>
      <c r="H2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7" s="21"/>
      <c r="J2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7" s="21"/>
      <c r="L2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7" s="21"/>
      <c r="N27" s="31" t="str">
        <f>IFERROR(__xludf.DUMMYFUNCTION("indirect(""Dupe!N""&amp;row())&amp;if(regexmatch(indirect(""C""&amp;row()),""Widen""),""
Widened
Any numeric measurements of the spell’s area increase by 100%"","""")"),"")</f>
        <v/>
      </c>
      <c r="O27" s="21"/>
      <c r="P2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7" s="21"/>
      <c r="R27" s="31" t="str">
        <f t="shared" si="3"/>
        <v/>
      </c>
      <c r="S27" s="21"/>
      <c r="T27" s="31" t="str">
        <f t="shared" si="4"/>
        <v/>
      </c>
      <c r="U27" s="21"/>
      <c r="V2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7" s="9"/>
      <c r="X27" s="9"/>
      <c r="Y27" s="21"/>
      <c r="Z27" s="39"/>
      <c r="AA27" s="38"/>
    </row>
    <row r="28">
      <c r="B28" s="41"/>
      <c r="C28" s="41"/>
      <c r="D28" s="24" t="str">
        <f t="shared" si="1"/>
        <v/>
      </c>
      <c r="E28" s="16"/>
      <c r="F28" s="25" t="str">
        <f t="shared" si="2"/>
        <v/>
      </c>
      <c r="G28" s="16"/>
      <c r="H2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16"/>
      <c r="J2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8" s="16"/>
      <c r="L2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16"/>
      <c r="N28" s="25" t="str">
        <f>IFERROR(__xludf.DUMMYFUNCTION("indirect(""Dupe!N""&amp;row())&amp;if(regexmatch(indirect(""C""&amp;row()),""Widen""),""
Widened
Any numeric measurements of the spell’s area increase by 100%"","""")"),"")</f>
        <v/>
      </c>
      <c r="O28" s="16"/>
      <c r="P2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16"/>
      <c r="R28" s="25" t="str">
        <f t="shared" si="3"/>
        <v/>
      </c>
      <c r="S28" s="16"/>
      <c r="T28" s="25" t="str">
        <f t="shared" si="4"/>
        <v/>
      </c>
      <c r="U28" s="16"/>
      <c r="V2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3"/>
      <c r="X28" s="3"/>
      <c r="Y28" s="16"/>
      <c r="Z28" s="40"/>
      <c r="AA28" s="38"/>
    </row>
    <row r="29">
      <c r="B29" s="37"/>
      <c r="C29" s="37"/>
      <c r="D29" s="30" t="str">
        <f t="shared" si="1"/>
        <v/>
      </c>
      <c r="E29" s="21"/>
      <c r="F29" s="31" t="str">
        <f t="shared" si="2"/>
        <v/>
      </c>
      <c r="G29" s="21"/>
      <c r="H2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21"/>
      <c r="J2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9" s="21"/>
      <c r="L2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21"/>
      <c r="N29" s="31" t="str">
        <f>IFERROR(__xludf.DUMMYFUNCTION("indirect(""Dupe!N""&amp;row())&amp;if(regexmatch(indirect(""C""&amp;row()),""Widen""),""
Widened
Any numeric measurements of the spell’s area increase by 100%"","""")"),"")</f>
        <v/>
      </c>
      <c r="O29" s="21"/>
      <c r="P2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21"/>
      <c r="R29" s="31" t="str">
        <f t="shared" si="3"/>
        <v/>
      </c>
      <c r="S29" s="21"/>
      <c r="T29" s="31" t="str">
        <f t="shared" si="4"/>
        <v/>
      </c>
      <c r="U29" s="21"/>
      <c r="V2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9"/>
      <c r="X29" s="9"/>
      <c r="Y29" s="21"/>
      <c r="Z29" s="39"/>
      <c r="AA29" s="38"/>
    </row>
    <row r="30">
      <c r="B30" s="35"/>
      <c r="C30" s="35"/>
      <c r="D30" s="24" t="str">
        <f t="shared" si="1"/>
        <v/>
      </c>
      <c r="E30" s="16"/>
      <c r="F30" s="25" t="str">
        <f t="shared" si="2"/>
        <v/>
      </c>
      <c r="G30" s="16"/>
      <c r="H3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16"/>
      <c r="J3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0" s="16"/>
      <c r="L3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16"/>
      <c r="N30" s="25" t="str">
        <f>IFERROR(__xludf.DUMMYFUNCTION("indirect(""Dupe!N""&amp;row())&amp;if(regexmatch(indirect(""C""&amp;row()),""Widen""),""
Widened
Any numeric measurements of the spell’s area increase by 100%"","""")"),"")</f>
        <v/>
      </c>
      <c r="O30" s="16"/>
      <c r="P3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16"/>
      <c r="R30" s="25" t="str">
        <f t="shared" si="3"/>
        <v/>
      </c>
      <c r="S30" s="16"/>
      <c r="T30" s="25" t="str">
        <f t="shared" si="4"/>
        <v/>
      </c>
      <c r="U30" s="16"/>
      <c r="V3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3"/>
      <c r="X30" s="3"/>
      <c r="Y30" s="16"/>
      <c r="Z30" s="28"/>
      <c r="AA30" s="38"/>
    </row>
    <row r="31">
      <c r="B31" s="37"/>
      <c r="C31" s="37"/>
      <c r="D31" s="30" t="str">
        <f t="shared" si="1"/>
        <v/>
      </c>
      <c r="E31" s="21"/>
      <c r="F31" s="31" t="str">
        <f t="shared" si="2"/>
        <v/>
      </c>
      <c r="G31" s="21"/>
      <c r="H3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21"/>
      <c r="J3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1" s="21"/>
      <c r="L3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21"/>
      <c r="N31" s="31" t="str">
        <f>IFERROR(__xludf.DUMMYFUNCTION("indirect(""Dupe!N""&amp;row())&amp;if(regexmatch(indirect(""C""&amp;row()),""Widen""),""
Widened
Any numeric measurements of the spell’s area increase by 100%"","""")"),"")</f>
        <v/>
      </c>
      <c r="O31" s="21"/>
      <c r="P3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21"/>
      <c r="R31" s="31" t="str">
        <f t="shared" si="3"/>
        <v/>
      </c>
      <c r="S31" s="21"/>
      <c r="T31" s="31" t="str">
        <f t="shared" si="4"/>
        <v/>
      </c>
      <c r="U31" s="21"/>
      <c r="V3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9"/>
      <c r="X31" s="9"/>
      <c r="Y31" s="21"/>
      <c r="Z31" s="39"/>
      <c r="AA31" s="38"/>
    </row>
    <row r="32">
      <c r="B32" s="35"/>
      <c r="C32" s="35"/>
      <c r="D32" s="24" t="str">
        <f t="shared" si="1"/>
        <v/>
      </c>
      <c r="E32" s="16"/>
      <c r="F32" s="25" t="str">
        <f t="shared" si="2"/>
        <v/>
      </c>
      <c r="G32" s="16"/>
      <c r="H3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16"/>
      <c r="J3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2" s="16"/>
      <c r="L3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16"/>
      <c r="N32" s="25" t="str">
        <f>IFERROR(__xludf.DUMMYFUNCTION("indirect(""Dupe!N""&amp;row())&amp;if(regexmatch(indirect(""C""&amp;row()),""Widen""),""
Widened
Any numeric measurements of the spell’s area increase by 100%"","""")"),"")</f>
        <v/>
      </c>
      <c r="O32" s="16"/>
      <c r="P3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16"/>
      <c r="R32" s="25" t="str">
        <f t="shared" si="3"/>
        <v/>
      </c>
      <c r="S32" s="16"/>
      <c r="T32" s="25" t="str">
        <f t="shared" si="4"/>
        <v/>
      </c>
      <c r="U32" s="16"/>
      <c r="V3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3"/>
      <c r="X32" s="3"/>
      <c r="Y32" s="16"/>
      <c r="Z32" s="42"/>
      <c r="AA32" s="38"/>
    </row>
    <row r="33">
      <c r="B33" s="29"/>
      <c r="C33" s="29"/>
      <c r="D33" s="30" t="str">
        <f t="shared" si="1"/>
        <v/>
      </c>
      <c r="E33" s="21"/>
      <c r="F33" s="31" t="str">
        <f t="shared" si="2"/>
        <v/>
      </c>
      <c r="G33" s="21"/>
      <c r="H3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21"/>
      <c r="J3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3" s="21"/>
      <c r="L3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21"/>
      <c r="N33" s="31" t="str">
        <f>IFERROR(__xludf.DUMMYFUNCTION("indirect(""Dupe!N""&amp;row())&amp;if(regexmatch(indirect(""C""&amp;row()),""Widen""),""
Widened
Any numeric measurements of the spell’s area increase by 100%"","""")"),"")</f>
        <v/>
      </c>
      <c r="O33" s="21"/>
      <c r="P3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21"/>
      <c r="R33" s="31" t="str">
        <f t="shared" si="3"/>
        <v/>
      </c>
      <c r="S33" s="21"/>
      <c r="T33" s="31" t="str">
        <f t="shared" si="4"/>
        <v/>
      </c>
      <c r="U33" s="21"/>
      <c r="V3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9"/>
      <c r="X33" s="9"/>
      <c r="Y33" s="21"/>
      <c r="Z33" s="39"/>
      <c r="AA33" s="38"/>
    </row>
    <row r="34">
      <c r="B34" s="35"/>
      <c r="C34" s="35"/>
      <c r="D34" s="24" t="str">
        <f t="shared" si="1"/>
        <v/>
      </c>
      <c r="E34" s="16"/>
      <c r="F34" s="25" t="str">
        <f t="shared" si="2"/>
        <v/>
      </c>
      <c r="G34" s="16"/>
      <c r="H3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4" s="16"/>
      <c r="J3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4" s="16"/>
      <c r="L3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4" s="16"/>
      <c r="N34" s="25" t="str">
        <f>IFERROR(__xludf.DUMMYFUNCTION("indirect(""Dupe!N""&amp;row())&amp;if(regexmatch(indirect(""C""&amp;row()),""Widen""),""
Widened
Any numeric measurements of the spell’s area increase by 100%"","""")"),"")</f>
        <v/>
      </c>
      <c r="O34" s="16"/>
      <c r="P3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4" s="16"/>
      <c r="R34" s="25" t="str">
        <f t="shared" si="3"/>
        <v/>
      </c>
      <c r="S34" s="16"/>
      <c r="T34" s="25" t="str">
        <f t="shared" si="4"/>
        <v/>
      </c>
      <c r="U34" s="16"/>
      <c r="V3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4" s="3"/>
      <c r="X34" s="3"/>
      <c r="Y34" s="16"/>
      <c r="Z34" s="40"/>
      <c r="AA34" s="38"/>
    </row>
    <row r="35">
      <c r="B35" s="29"/>
      <c r="C35" s="29"/>
      <c r="D35" s="30" t="str">
        <f t="shared" si="1"/>
        <v/>
      </c>
      <c r="E35" s="21"/>
      <c r="F35" s="31" t="str">
        <f t="shared" si="2"/>
        <v/>
      </c>
      <c r="G35" s="21"/>
      <c r="H3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5" s="21"/>
      <c r="J3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5" s="21"/>
      <c r="L3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5" s="21"/>
      <c r="N35" s="31" t="str">
        <f>IFERROR(__xludf.DUMMYFUNCTION("indirect(""Dupe!N""&amp;row())&amp;if(regexmatch(indirect(""C""&amp;row()),""Widen""),""
Widened
Any numeric measurements of the spell’s area increase by 100%"","""")"),"")</f>
        <v/>
      </c>
      <c r="O35" s="21"/>
      <c r="P3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5" s="21"/>
      <c r="R35" s="31" t="str">
        <f t="shared" si="3"/>
        <v/>
      </c>
      <c r="S35" s="21"/>
      <c r="T35" s="31" t="str">
        <f t="shared" si="4"/>
        <v/>
      </c>
      <c r="U35" s="21"/>
      <c r="V3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5" s="9"/>
      <c r="X35" s="9"/>
      <c r="Y35" s="21"/>
      <c r="Z35" s="39"/>
      <c r="AA35" s="38"/>
    </row>
    <row r="36">
      <c r="B36" s="35"/>
      <c r="C36" s="35"/>
      <c r="D36" s="24" t="str">
        <f t="shared" si="1"/>
        <v/>
      </c>
      <c r="E36" s="16"/>
      <c r="F36" s="25" t="str">
        <f t="shared" si="2"/>
        <v/>
      </c>
      <c r="G36" s="16"/>
      <c r="H3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6" s="16"/>
      <c r="J3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6" s="16"/>
      <c r="L3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6" s="16"/>
      <c r="N36" s="25" t="str">
        <f>IFERROR(__xludf.DUMMYFUNCTION("indirect(""Dupe!N""&amp;row())&amp;if(regexmatch(indirect(""C""&amp;row()),""Widen""),""
Widened
Any numeric measurements of the spell’s area increase by 100%"","""")"),"")</f>
        <v/>
      </c>
      <c r="O36" s="16"/>
      <c r="P3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6" s="16"/>
      <c r="R36" s="25" t="str">
        <f t="shared" si="3"/>
        <v/>
      </c>
      <c r="S36" s="16"/>
      <c r="T36" s="25" t="str">
        <f t="shared" si="4"/>
        <v/>
      </c>
      <c r="U36" s="16"/>
      <c r="V3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6" s="3"/>
      <c r="X36" s="3"/>
      <c r="Y36" s="16"/>
      <c r="Z36" s="40"/>
      <c r="AA36" s="38"/>
    </row>
    <row r="38">
      <c r="B38" s="14" t="s">
        <v>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5" t="s">
        <v>13</v>
      </c>
      <c r="W38" s="3"/>
      <c r="X38" s="16"/>
      <c r="Y38" s="17" t="str">
        <f>SUM(Z40:Z60)&amp;"/"&amp;if(dget(base_spells,"1st",F2:F3),dget(base_spells,"1st",F2:F3)+dget(bonus_spells,"1st",H2:H3),0)</f>
        <v>0/6</v>
      </c>
      <c r="Z38" s="5"/>
    </row>
    <row r="39">
      <c r="B39" s="19" t="s">
        <v>14</v>
      </c>
      <c r="C39" s="19" t="s">
        <v>15</v>
      </c>
      <c r="D39" s="20" t="s">
        <v>16</v>
      </c>
      <c r="E39" s="21"/>
      <c r="F39" s="20" t="s">
        <v>17</v>
      </c>
      <c r="G39" s="21"/>
      <c r="H39" s="20" t="s">
        <v>18</v>
      </c>
      <c r="I39" s="21"/>
      <c r="J39" s="20" t="s">
        <v>19</v>
      </c>
      <c r="K39" s="21"/>
      <c r="L39" s="20" t="s">
        <v>20</v>
      </c>
      <c r="M39" s="21"/>
      <c r="N39" s="20" t="s">
        <v>21</v>
      </c>
      <c r="O39" s="21"/>
      <c r="P39" s="20" t="s">
        <v>22</v>
      </c>
      <c r="Q39" s="21"/>
      <c r="R39" s="20" t="s">
        <v>23</v>
      </c>
      <c r="S39" s="21"/>
      <c r="T39" s="20" t="s">
        <v>24</v>
      </c>
      <c r="U39" s="21"/>
      <c r="V39" s="20" t="s">
        <v>25</v>
      </c>
      <c r="W39" s="9"/>
      <c r="X39" s="9"/>
      <c r="Y39" s="21"/>
      <c r="Z39" s="19" t="s">
        <v>26</v>
      </c>
    </row>
    <row r="40">
      <c r="B40" s="23"/>
      <c r="C40" s="23"/>
      <c r="D40" s="24" t="str">
        <f t="shared" ref="D40:D60" si="5">indirect("Dupe!D"&amp;ROW())</f>
        <v/>
      </c>
      <c r="E40" s="16"/>
      <c r="F40" s="25" t="str">
        <f t="shared" ref="F40:F60" si="6">indirect("Dupe!F"&amp;ROW())</f>
        <v/>
      </c>
      <c r="G40" s="16"/>
      <c r="H4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0" s="16"/>
      <c r="J4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0" s="16"/>
      <c r="L4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0" s="16"/>
      <c r="N40" s="25" t="str">
        <f>IFERROR(__xludf.DUMMYFUNCTION("indirect(""Dupe!N""&amp;row())&amp;if(regexmatch(indirect(""C""&amp;row()),""Widen""),""
Widened
Any numeric measurements of the spell’s area increase by 100%"","""")"),"")</f>
        <v/>
      </c>
      <c r="O40" s="16"/>
      <c r="P4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0" s="16"/>
      <c r="R40" s="25" t="str">
        <f t="shared" ref="R40:R60" si="7">indirect("Dupe!R"&amp;row())</f>
        <v/>
      </c>
      <c r="S40" s="16"/>
      <c r="T40" s="25" t="str">
        <f t="shared" ref="T40:T60" si="8">indirect("Dupe!T"&amp;row())</f>
        <v/>
      </c>
      <c r="U40" s="16"/>
      <c r="V4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0" s="3"/>
      <c r="X40" s="3"/>
      <c r="Y40" s="16"/>
      <c r="Z40" s="28"/>
    </row>
    <row r="41">
      <c r="B41" s="29"/>
      <c r="C41" s="29"/>
      <c r="D41" s="30" t="str">
        <f t="shared" si="5"/>
        <v/>
      </c>
      <c r="E41" s="21"/>
      <c r="F41" s="31" t="str">
        <f t="shared" si="6"/>
        <v/>
      </c>
      <c r="G41" s="21"/>
      <c r="H4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21"/>
      <c r="J4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1" s="21"/>
      <c r="L4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21"/>
      <c r="N41" s="31" t="str">
        <f>IFERROR(__xludf.DUMMYFUNCTION("indirect(""Dupe!N""&amp;row())&amp;if(regexmatch(indirect(""C""&amp;row()),""Widen""),""
Widened
Any numeric measurements of the spell’s area increase by 100%"","""")"),"")</f>
        <v/>
      </c>
      <c r="O41" s="21"/>
      <c r="P4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21"/>
      <c r="R41" s="31" t="str">
        <f t="shared" si="7"/>
        <v/>
      </c>
      <c r="S41" s="21"/>
      <c r="T41" s="31" t="str">
        <f t="shared" si="8"/>
        <v/>
      </c>
      <c r="U41" s="21"/>
      <c r="V4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9"/>
      <c r="X41" s="9"/>
      <c r="Y41" s="21"/>
      <c r="Z41" s="34"/>
    </row>
    <row r="42">
      <c r="B42" s="35"/>
      <c r="C42" s="35"/>
      <c r="D42" s="24" t="str">
        <f t="shared" si="5"/>
        <v/>
      </c>
      <c r="E42" s="16"/>
      <c r="F42" s="25" t="str">
        <f t="shared" si="6"/>
        <v/>
      </c>
      <c r="G42" s="16"/>
      <c r="H4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16"/>
      <c r="J4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2" s="16"/>
      <c r="L4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16"/>
      <c r="N42" s="25" t="str">
        <f>IFERROR(__xludf.DUMMYFUNCTION("indirect(""Dupe!N""&amp;row())&amp;if(regexmatch(indirect(""C""&amp;row()),""Widen""),""
Widened
Any numeric measurements of the spell’s area increase by 100%"","""")"),"")</f>
        <v/>
      </c>
      <c r="O42" s="16"/>
      <c r="P4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16"/>
      <c r="R42" s="25" t="str">
        <f t="shared" si="7"/>
        <v/>
      </c>
      <c r="S42" s="16"/>
      <c r="T42" s="25" t="str">
        <f t="shared" si="8"/>
        <v/>
      </c>
      <c r="U42" s="16"/>
      <c r="V4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3"/>
      <c r="X42" s="3"/>
      <c r="Y42" s="16"/>
      <c r="Z42" s="28"/>
    </row>
    <row r="43">
      <c r="B43" s="37"/>
      <c r="C43" s="37"/>
      <c r="D43" s="30" t="str">
        <f t="shared" si="5"/>
        <v/>
      </c>
      <c r="E43" s="21"/>
      <c r="F43" s="31" t="str">
        <f t="shared" si="6"/>
        <v/>
      </c>
      <c r="G43" s="21"/>
      <c r="H4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3" s="21"/>
      <c r="J4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3" s="21"/>
      <c r="L4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3" s="21"/>
      <c r="N43" s="31" t="str">
        <f>IFERROR(__xludf.DUMMYFUNCTION("indirect(""Dupe!N""&amp;row())&amp;if(regexmatch(indirect(""C""&amp;row()),""Widen""),""
Widened
Any numeric measurements of the spell’s area increase by 100%"","""")"),"")</f>
        <v/>
      </c>
      <c r="O43" s="21"/>
      <c r="P4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3" s="21"/>
      <c r="R43" s="31" t="str">
        <f t="shared" si="7"/>
        <v/>
      </c>
      <c r="S43" s="21"/>
      <c r="T43" s="31" t="str">
        <f t="shared" si="8"/>
        <v/>
      </c>
      <c r="U43" s="21"/>
      <c r="V4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3" s="9"/>
      <c r="X43" s="9"/>
      <c r="Y43" s="21"/>
      <c r="Z43" s="34"/>
    </row>
    <row r="44">
      <c r="B44" s="35"/>
      <c r="C44" s="35"/>
      <c r="D44" s="24" t="str">
        <f t="shared" si="5"/>
        <v/>
      </c>
      <c r="E44" s="16"/>
      <c r="F44" s="25" t="str">
        <f t="shared" si="6"/>
        <v/>
      </c>
      <c r="G44" s="16"/>
      <c r="H4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4" s="16"/>
      <c r="J4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4" s="16"/>
      <c r="L4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4" s="16"/>
      <c r="N44" s="25" t="str">
        <f>IFERROR(__xludf.DUMMYFUNCTION("indirect(""Dupe!N""&amp;row())&amp;if(regexmatch(indirect(""C""&amp;row()),""Widen""),""
Widened
Any numeric measurements of the spell’s area increase by 100%"","""")"),"")</f>
        <v/>
      </c>
      <c r="O44" s="16"/>
      <c r="P4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4" s="16"/>
      <c r="R44" s="25" t="str">
        <f t="shared" si="7"/>
        <v/>
      </c>
      <c r="S44" s="16"/>
      <c r="T44" s="25" t="str">
        <f t="shared" si="8"/>
        <v/>
      </c>
      <c r="U44" s="16"/>
      <c r="V4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4" s="3"/>
      <c r="X44" s="3"/>
      <c r="Y44" s="16"/>
      <c r="Z44" s="28"/>
    </row>
    <row r="45">
      <c r="B45" s="37"/>
      <c r="C45" s="37"/>
      <c r="D45" s="30" t="str">
        <f t="shared" si="5"/>
        <v/>
      </c>
      <c r="E45" s="21"/>
      <c r="F45" s="31" t="str">
        <f t="shared" si="6"/>
        <v/>
      </c>
      <c r="G45" s="21"/>
      <c r="H4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5" s="21"/>
      <c r="J4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5" s="21"/>
      <c r="L4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5" s="21"/>
      <c r="N45" s="31" t="str">
        <f>IFERROR(__xludf.DUMMYFUNCTION("indirect(""Dupe!N""&amp;row())&amp;if(regexmatch(indirect(""C""&amp;row()),""Widen""),""
Widened
Any numeric measurements of the spell’s area increase by 100%"","""")"),"")</f>
        <v/>
      </c>
      <c r="O45" s="21"/>
      <c r="P4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5" s="21"/>
      <c r="R45" s="31" t="str">
        <f t="shared" si="7"/>
        <v/>
      </c>
      <c r="S45" s="21"/>
      <c r="T45" s="31" t="str">
        <f t="shared" si="8"/>
        <v/>
      </c>
      <c r="U45" s="21"/>
      <c r="V4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5" s="9"/>
      <c r="X45" s="9"/>
      <c r="Y45" s="21"/>
      <c r="Z45" s="34"/>
    </row>
    <row r="46">
      <c r="B46" s="35"/>
      <c r="C46" s="35"/>
      <c r="D46" s="24" t="str">
        <f t="shared" si="5"/>
        <v/>
      </c>
      <c r="E46" s="16"/>
      <c r="F46" s="25" t="str">
        <f t="shared" si="6"/>
        <v/>
      </c>
      <c r="G46" s="16"/>
      <c r="H4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6" s="16"/>
      <c r="J4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6" s="16"/>
      <c r="L4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6" s="16"/>
      <c r="N46" s="25" t="str">
        <f>IFERROR(__xludf.DUMMYFUNCTION("indirect(""Dupe!N""&amp;row())&amp;if(regexmatch(indirect(""C""&amp;row()),""Widen""),""
Widened
Any numeric measurements of the spell’s area increase by 100%"","""")"),"")</f>
        <v/>
      </c>
      <c r="O46" s="16"/>
      <c r="P4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6" s="16"/>
      <c r="R46" s="25" t="str">
        <f t="shared" si="7"/>
        <v/>
      </c>
      <c r="S46" s="16"/>
      <c r="T46" s="25" t="str">
        <f t="shared" si="8"/>
        <v/>
      </c>
      <c r="U46" s="16"/>
      <c r="V4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6" s="3"/>
      <c r="X46" s="3"/>
      <c r="Y46" s="16"/>
      <c r="Z46" s="28"/>
    </row>
    <row r="47">
      <c r="B47" s="37"/>
      <c r="C47" s="37"/>
      <c r="D47" s="30" t="str">
        <f t="shared" si="5"/>
        <v/>
      </c>
      <c r="E47" s="21"/>
      <c r="F47" s="31" t="str">
        <f t="shared" si="6"/>
        <v/>
      </c>
      <c r="G47" s="21"/>
      <c r="H4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7" s="21"/>
      <c r="J4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7" s="21"/>
      <c r="L4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7" s="21"/>
      <c r="N47" s="31" t="str">
        <f>IFERROR(__xludf.DUMMYFUNCTION("indirect(""Dupe!N""&amp;row())&amp;if(regexmatch(indirect(""C""&amp;row()),""Widen""),""
Widened
Any numeric measurements of the spell’s area increase by 100%"","""")"),"")</f>
        <v/>
      </c>
      <c r="O47" s="21"/>
      <c r="P4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7" s="21"/>
      <c r="R47" s="31" t="str">
        <f t="shared" si="7"/>
        <v/>
      </c>
      <c r="S47" s="21"/>
      <c r="T47" s="31" t="str">
        <f t="shared" si="8"/>
        <v/>
      </c>
      <c r="U47" s="21"/>
      <c r="V4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7" s="9"/>
      <c r="X47" s="9"/>
      <c r="Y47" s="21"/>
      <c r="Z47" s="34"/>
    </row>
    <row r="48">
      <c r="B48" s="35"/>
      <c r="C48" s="35"/>
      <c r="D48" s="24" t="str">
        <f t="shared" si="5"/>
        <v/>
      </c>
      <c r="E48" s="16"/>
      <c r="F48" s="25" t="str">
        <f t="shared" si="6"/>
        <v/>
      </c>
      <c r="G48" s="16"/>
      <c r="H4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8" s="16"/>
      <c r="J4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8" s="16"/>
      <c r="L4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8" s="16"/>
      <c r="N48" s="25" t="str">
        <f>IFERROR(__xludf.DUMMYFUNCTION("indirect(""Dupe!N""&amp;row())&amp;if(regexmatch(indirect(""C""&amp;row()),""Widen""),""
Widened
Any numeric measurements of the spell’s area increase by 100%"","""")"),"")</f>
        <v/>
      </c>
      <c r="O48" s="16"/>
      <c r="P4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8" s="16"/>
      <c r="R48" s="25" t="str">
        <f t="shared" si="7"/>
        <v/>
      </c>
      <c r="S48" s="16"/>
      <c r="T48" s="25" t="str">
        <f t="shared" si="8"/>
        <v/>
      </c>
      <c r="U48" s="16"/>
      <c r="V4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8" s="3"/>
      <c r="X48" s="3"/>
      <c r="Y48" s="16"/>
      <c r="Z48" s="28"/>
    </row>
    <row r="49">
      <c r="B49" s="29"/>
      <c r="C49" s="29"/>
      <c r="D49" s="30" t="str">
        <f t="shared" si="5"/>
        <v/>
      </c>
      <c r="E49" s="21"/>
      <c r="F49" s="31" t="str">
        <f t="shared" si="6"/>
        <v/>
      </c>
      <c r="G49" s="21"/>
      <c r="H4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9" s="21"/>
      <c r="J4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9" s="21"/>
      <c r="L4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9" s="21"/>
      <c r="N49" s="31" t="str">
        <f>IFERROR(__xludf.DUMMYFUNCTION("indirect(""Dupe!N""&amp;row())&amp;if(regexmatch(indirect(""C""&amp;row()),""Widen""),""
Widened
Any numeric measurements of the spell’s area increase by 100%"","""")"),"")</f>
        <v/>
      </c>
      <c r="O49" s="21"/>
      <c r="P4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9" s="21"/>
      <c r="R49" s="31" t="str">
        <f t="shared" si="7"/>
        <v/>
      </c>
      <c r="S49" s="21"/>
      <c r="T49" s="31" t="str">
        <f t="shared" si="8"/>
        <v/>
      </c>
      <c r="U49" s="21"/>
      <c r="V4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9" s="9"/>
      <c r="X49" s="9"/>
      <c r="Y49" s="21"/>
      <c r="Z49" s="34"/>
    </row>
    <row r="50">
      <c r="B50" s="35"/>
      <c r="C50" s="35"/>
      <c r="D50" s="24" t="str">
        <f t="shared" si="5"/>
        <v/>
      </c>
      <c r="E50" s="16"/>
      <c r="F50" s="25" t="str">
        <f t="shared" si="6"/>
        <v/>
      </c>
      <c r="G50" s="16"/>
      <c r="H5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0" s="16"/>
      <c r="J5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0" s="16"/>
      <c r="L5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0" s="16"/>
      <c r="N50" s="25" t="str">
        <f>IFERROR(__xludf.DUMMYFUNCTION("indirect(""Dupe!N""&amp;row())&amp;if(regexmatch(indirect(""C""&amp;row()),""Widen""),""
Widened
Any numeric measurements of the spell’s area increase by 100%"","""")"),"")</f>
        <v/>
      </c>
      <c r="O50" s="16"/>
      <c r="P5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0" s="16"/>
      <c r="R50" s="25" t="str">
        <f t="shared" si="7"/>
        <v/>
      </c>
      <c r="S50" s="16"/>
      <c r="T50" s="25" t="str">
        <f t="shared" si="8"/>
        <v/>
      </c>
      <c r="U50" s="16"/>
      <c r="V5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0" s="3"/>
      <c r="X50" s="3"/>
      <c r="Y50" s="16"/>
      <c r="Z50" s="28"/>
    </row>
    <row r="51">
      <c r="B51" s="29"/>
      <c r="C51" s="29"/>
      <c r="D51" s="30" t="str">
        <f t="shared" si="5"/>
        <v/>
      </c>
      <c r="E51" s="21"/>
      <c r="F51" s="31" t="str">
        <f t="shared" si="6"/>
        <v/>
      </c>
      <c r="G51" s="21"/>
      <c r="H5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1" s="21"/>
      <c r="J5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1" s="21"/>
      <c r="L5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1" s="21"/>
      <c r="N51" s="31" t="str">
        <f>IFERROR(__xludf.DUMMYFUNCTION("indirect(""Dupe!N""&amp;row())&amp;if(regexmatch(indirect(""C""&amp;row()),""Widen""),""
Widened
Any numeric measurements of the spell’s area increase by 100%"","""")"),"")</f>
        <v/>
      </c>
      <c r="O51" s="21"/>
      <c r="P5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1" s="21"/>
      <c r="R51" s="31" t="str">
        <f t="shared" si="7"/>
        <v/>
      </c>
      <c r="S51" s="21"/>
      <c r="T51" s="31" t="str">
        <f t="shared" si="8"/>
        <v/>
      </c>
      <c r="U51" s="21"/>
      <c r="V5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1" s="9"/>
      <c r="X51" s="9"/>
      <c r="Y51" s="21"/>
      <c r="Z51" s="34"/>
    </row>
    <row r="52">
      <c r="B52" s="41"/>
      <c r="C52" s="41"/>
      <c r="D52" s="24" t="str">
        <f t="shared" si="5"/>
        <v/>
      </c>
      <c r="E52" s="16"/>
      <c r="F52" s="25" t="str">
        <f t="shared" si="6"/>
        <v/>
      </c>
      <c r="G52" s="16"/>
      <c r="H5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2" s="16"/>
      <c r="J5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2" s="16"/>
      <c r="L5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2" s="16"/>
      <c r="N52" s="25" t="str">
        <f>IFERROR(__xludf.DUMMYFUNCTION("indirect(""Dupe!N""&amp;row())&amp;if(regexmatch(indirect(""C""&amp;row()),""Widen""),""
Widened
Any numeric measurements of the spell’s area increase by 100%"","""")"),"")</f>
        <v/>
      </c>
      <c r="O52" s="16"/>
      <c r="P5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2" s="16"/>
      <c r="R52" s="25" t="str">
        <f t="shared" si="7"/>
        <v/>
      </c>
      <c r="S52" s="16"/>
      <c r="T52" s="25" t="str">
        <f t="shared" si="8"/>
        <v/>
      </c>
      <c r="U52" s="16"/>
      <c r="V5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2" s="3"/>
      <c r="X52" s="3"/>
      <c r="Y52" s="16"/>
      <c r="Z52" s="28"/>
    </row>
    <row r="53">
      <c r="B53" s="37"/>
      <c r="C53" s="37"/>
      <c r="D53" s="30" t="str">
        <f t="shared" si="5"/>
        <v/>
      </c>
      <c r="E53" s="21"/>
      <c r="F53" s="31" t="str">
        <f t="shared" si="6"/>
        <v/>
      </c>
      <c r="G53" s="21"/>
      <c r="H5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3" s="21"/>
      <c r="J5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3" s="21"/>
      <c r="L5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3" s="21"/>
      <c r="N53" s="31" t="str">
        <f>IFERROR(__xludf.DUMMYFUNCTION("indirect(""Dupe!N""&amp;row())&amp;if(regexmatch(indirect(""C""&amp;row()),""Widen""),""
Widened
Any numeric measurements of the spell’s area increase by 100%"","""")"),"")</f>
        <v/>
      </c>
      <c r="O53" s="21"/>
      <c r="P5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3" s="21"/>
      <c r="R53" s="31" t="str">
        <f t="shared" si="7"/>
        <v/>
      </c>
      <c r="S53" s="21"/>
      <c r="T53" s="31" t="str">
        <f t="shared" si="8"/>
        <v/>
      </c>
      <c r="U53" s="21"/>
      <c r="V5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3" s="9"/>
      <c r="X53" s="9"/>
      <c r="Y53" s="21"/>
      <c r="Z53" s="34"/>
    </row>
    <row r="54">
      <c r="B54" s="35"/>
      <c r="C54" s="35"/>
      <c r="D54" s="24" t="str">
        <f t="shared" si="5"/>
        <v/>
      </c>
      <c r="E54" s="16"/>
      <c r="F54" s="25" t="str">
        <f t="shared" si="6"/>
        <v/>
      </c>
      <c r="G54" s="16"/>
      <c r="H5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4" s="16"/>
      <c r="J5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4" s="16"/>
      <c r="L5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4" s="16"/>
      <c r="N54" s="25" t="str">
        <f>IFERROR(__xludf.DUMMYFUNCTION("indirect(""Dupe!N""&amp;row())&amp;if(regexmatch(indirect(""C""&amp;row()),""Widen""),""
Widened
Any numeric measurements of the spell’s area increase by 100%"","""")"),"")</f>
        <v/>
      </c>
      <c r="O54" s="16"/>
      <c r="P5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4" s="16"/>
      <c r="R54" s="25" t="str">
        <f t="shared" si="7"/>
        <v/>
      </c>
      <c r="S54" s="16"/>
      <c r="T54" s="25" t="str">
        <f t="shared" si="8"/>
        <v/>
      </c>
      <c r="U54" s="16"/>
      <c r="V5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4" s="3"/>
      <c r="X54" s="3"/>
      <c r="Y54" s="16"/>
      <c r="Z54" s="28"/>
    </row>
    <row r="55">
      <c r="B55" s="37"/>
      <c r="C55" s="37"/>
      <c r="D55" s="30" t="str">
        <f t="shared" si="5"/>
        <v/>
      </c>
      <c r="E55" s="21"/>
      <c r="F55" s="31" t="str">
        <f t="shared" si="6"/>
        <v/>
      </c>
      <c r="G55" s="21"/>
      <c r="H5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5" s="21"/>
      <c r="J5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5" s="21"/>
      <c r="L5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5" s="21"/>
      <c r="N55" s="31" t="str">
        <f>IFERROR(__xludf.DUMMYFUNCTION("indirect(""Dupe!N""&amp;row())&amp;if(regexmatch(indirect(""C""&amp;row()),""Widen""),""
Widened
Any numeric measurements of the spell’s area increase by 100%"","""")"),"")</f>
        <v/>
      </c>
      <c r="O55" s="21"/>
      <c r="P5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5" s="21"/>
      <c r="R55" s="31" t="str">
        <f t="shared" si="7"/>
        <v/>
      </c>
      <c r="S55" s="21"/>
      <c r="T55" s="31" t="str">
        <f t="shared" si="8"/>
        <v/>
      </c>
      <c r="U55" s="21"/>
      <c r="V5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5" s="9"/>
      <c r="X55" s="9"/>
      <c r="Y55" s="21"/>
      <c r="Z55" s="34"/>
    </row>
    <row r="56">
      <c r="B56" s="35"/>
      <c r="C56" s="35"/>
      <c r="D56" s="24" t="str">
        <f t="shared" si="5"/>
        <v/>
      </c>
      <c r="E56" s="16"/>
      <c r="F56" s="25" t="str">
        <f t="shared" si="6"/>
        <v/>
      </c>
      <c r="G56" s="16"/>
      <c r="H5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6" s="16"/>
      <c r="J5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6" s="16"/>
      <c r="L5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6" s="16"/>
      <c r="N56" s="25" t="str">
        <f>IFERROR(__xludf.DUMMYFUNCTION("indirect(""Dupe!N""&amp;row())&amp;if(regexmatch(indirect(""C""&amp;row()),""Widen""),""
Widened
Any numeric measurements of the spell’s area increase by 100%"","""")"),"")</f>
        <v/>
      </c>
      <c r="O56" s="16"/>
      <c r="P5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6" s="16"/>
      <c r="R56" s="25" t="str">
        <f t="shared" si="7"/>
        <v/>
      </c>
      <c r="S56" s="16"/>
      <c r="T56" s="25" t="str">
        <f t="shared" si="8"/>
        <v/>
      </c>
      <c r="U56" s="16"/>
      <c r="V5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6" s="3"/>
      <c r="X56" s="3"/>
      <c r="Y56" s="16"/>
      <c r="Z56" s="28"/>
    </row>
    <row r="57">
      <c r="B57" s="29"/>
      <c r="C57" s="29"/>
      <c r="D57" s="30" t="str">
        <f t="shared" si="5"/>
        <v/>
      </c>
      <c r="E57" s="21"/>
      <c r="F57" s="31" t="str">
        <f t="shared" si="6"/>
        <v/>
      </c>
      <c r="G57" s="21"/>
      <c r="H5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7" s="21"/>
      <c r="J5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7" s="21"/>
      <c r="L5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7" s="21"/>
      <c r="N57" s="31" t="str">
        <f>IFERROR(__xludf.DUMMYFUNCTION("indirect(""Dupe!N""&amp;row())&amp;if(regexmatch(indirect(""C""&amp;row()),""Widen""),""
Widened
Any numeric measurements of the spell’s area increase by 100%"","""")"),"")</f>
        <v/>
      </c>
      <c r="O57" s="21"/>
      <c r="P5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7" s="21"/>
      <c r="R57" s="31" t="str">
        <f t="shared" si="7"/>
        <v/>
      </c>
      <c r="S57" s="21"/>
      <c r="T57" s="31" t="str">
        <f t="shared" si="8"/>
        <v/>
      </c>
      <c r="U57" s="21"/>
      <c r="V5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7" s="9"/>
      <c r="X57" s="9"/>
      <c r="Y57" s="21"/>
      <c r="Z57" s="34"/>
    </row>
    <row r="58">
      <c r="B58" s="35"/>
      <c r="C58" s="35"/>
      <c r="D58" s="24" t="str">
        <f t="shared" si="5"/>
        <v/>
      </c>
      <c r="E58" s="16"/>
      <c r="F58" s="25" t="str">
        <f t="shared" si="6"/>
        <v/>
      </c>
      <c r="G58" s="16"/>
      <c r="H5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8" s="16"/>
      <c r="J5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8" s="16"/>
      <c r="L5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8" s="16"/>
      <c r="N58" s="25" t="str">
        <f>IFERROR(__xludf.DUMMYFUNCTION("indirect(""Dupe!N""&amp;row())&amp;if(regexmatch(indirect(""C""&amp;row()),""Widen""),""
Widened
Any numeric measurements of the spell’s area increase by 100%"","""")"),"")</f>
        <v/>
      </c>
      <c r="O58" s="16"/>
      <c r="P5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8" s="16"/>
      <c r="R58" s="25" t="str">
        <f t="shared" si="7"/>
        <v/>
      </c>
      <c r="S58" s="16"/>
      <c r="T58" s="25" t="str">
        <f t="shared" si="8"/>
        <v/>
      </c>
      <c r="U58" s="16"/>
      <c r="V5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8" s="3"/>
      <c r="X58" s="3"/>
      <c r="Y58" s="16"/>
      <c r="Z58" s="28"/>
    </row>
    <row r="59">
      <c r="B59" s="29"/>
      <c r="C59" s="29"/>
      <c r="D59" s="30" t="str">
        <f t="shared" si="5"/>
        <v/>
      </c>
      <c r="E59" s="21"/>
      <c r="F59" s="31" t="str">
        <f t="shared" si="6"/>
        <v/>
      </c>
      <c r="G59" s="21"/>
      <c r="H5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9" s="21"/>
      <c r="J5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9" s="21"/>
      <c r="L5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9" s="21"/>
      <c r="N59" s="31" t="str">
        <f>IFERROR(__xludf.DUMMYFUNCTION("indirect(""Dupe!N""&amp;row())&amp;if(regexmatch(indirect(""C""&amp;row()),""Widen""),""
Widened
Any numeric measurements of the spell’s area increase by 100%"","""")"),"")</f>
        <v/>
      </c>
      <c r="O59" s="21"/>
      <c r="P5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9" s="21"/>
      <c r="R59" s="31" t="str">
        <f t="shared" si="7"/>
        <v/>
      </c>
      <c r="S59" s="21"/>
      <c r="T59" s="31" t="str">
        <f t="shared" si="8"/>
        <v/>
      </c>
      <c r="U59" s="21"/>
      <c r="V5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9" s="9"/>
      <c r="X59" s="9"/>
      <c r="Y59" s="21"/>
      <c r="Z59" s="34"/>
    </row>
    <row r="60">
      <c r="B60" s="35"/>
      <c r="C60" s="35"/>
      <c r="D60" s="24" t="str">
        <f t="shared" si="5"/>
        <v/>
      </c>
      <c r="E60" s="16"/>
      <c r="F60" s="25" t="str">
        <f t="shared" si="6"/>
        <v/>
      </c>
      <c r="G60" s="16"/>
      <c r="H6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0" s="16"/>
      <c r="J6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0" s="16"/>
      <c r="L6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0" s="16"/>
      <c r="N60" s="25" t="str">
        <f>IFERROR(__xludf.DUMMYFUNCTION("indirect(""Dupe!N""&amp;row())&amp;if(regexmatch(indirect(""C""&amp;row()),""Widen""),""
Widened
Any numeric measurements of the spell’s area increase by 100%"","""")"),"")</f>
        <v/>
      </c>
      <c r="O60" s="16"/>
      <c r="P6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0" s="16"/>
      <c r="R60" s="25" t="str">
        <f t="shared" si="7"/>
        <v/>
      </c>
      <c r="S60" s="16"/>
      <c r="T60" s="25" t="str">
        <f t="shared" si="8"/>
        <v/>
      </c>
      <c r="U60" s="16"/>
      <c r="V6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0" s="3"/>
      <c r="X60" s="3"/>
      <c r="Y60" s="16"/>
      <c r="Z60" s="28"/>
    </row>
    <row r="62">
      <c r="B62" s="14" t="s">
        <v>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5" t="s">
        <v>13</v>
      </c>
      <c r="W62" s="3"/>
      <c r="X62" s="16"/>
      <c r="Y62" s="17" t="str">
        <f>SUM(Z64:Z84)&amp;"/"&amp;if(dget(base_spells,"2nd",F2:F3),dget(base_spells,"2nd",F2:F3)+dget(bonus_spells,"2nd",H2:H3),0)</f>
        <v>0/5</v>
      </c>
      <c r="Z62" s="5"/>
    </row>
    <row r="63">
      <c r="B63" s="19" t="s">
        <v>14</v>
      </c>
      <c r="C63" s="19" t="s">
        <v>15</v>
      </c>
      <c r="D63" s="20" t="s">
        <v>16</v>
      </c>
      <c r="E63" s="21"/>
      <c r="F63" s="20" t="s">
        <v>17</v>
      </c>
      <c r="G63" s="21"/>
      <c r="H63" s="20" t="s">
        <v>18</v>
      </c>
      <c r="I63" s="21"/>
      <c r="J63" s="20" t="s">
        <v>19</v>
      </c>
      <c r="K63" s="21"/>
      <c r="L63" s="20" t="s">
        <v>20</v>
      </c>
      <c r="M63" s="21"/>
      <c r="N63" s="20" t="s">
        <v>21</v>
      </c>
      <c r="O63" s="21"/>
      <c r="P63" s="20" t="s">
        <v>22</v>
      </c>
      <c r="Q63" s="21"/>
      <c r="R63" s="20" t="s">
        <v>23</v>
      </c>
      <c r="S63" s="21"/>
      <c r="T63" s="20" t="s">
        <v>24</v>
      </c>
      <c r="U63" s="21"/>
      <c r="V63" s="20" t="s">
        <v>25</v>
      </c>
      <c r="W63" s="9"/>
      <c r="X63" s="9"/>
      <c r="Y63" s="21"/>
      <c r="Z63" s="19" t="s">
        <v>26</v>
      </c>
    </row>
    <row r="64">
      <c r="B64" s="23"/>
      <c r="C64" s="23"/>
      <c r="D64" s="24" t="str">
        <f t="shared" ref="D64:D84" si="9">indirect("Dupe!D"&amp;ROW())</f>
        <v/>
      </c>
      <c r="E64" s="16"/>
      <c r="F64" s="25" t="str">
        <f t="shared" ref="F64:F84" si="10">indirect("Dupe!F"&amp;ROW())</f>
        <v/>
      </c>
      <c r="G64" s="16"/>
      <c r="H6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4" s="16"/>
      <c r="J6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4" s="16"/>
      <c r="L6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4" s="16"/>
      <c r="N64" s="25" t="str">
        <f>IFERROR(__xludf.DUMMYFUNCTION("indirect(""Dupe!N""&amp;row())&amp;if(regexmatch(indirect(""C""&amp;row()),""Widen""),""
Widened
Any numeric measurements of the spell’s area increase by 100%"","""")"),"")</f>
        <v/>
      </c>
      <c r="O64" s="16"/>
      <c r="P6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4" s="16"/>
      <c r="R64" s="25" t="str">
        <f t="shared" ref="R64:R84" si="11">indirect("Dupe!R"&amp;row())</f>
        <v/>
      </c>
      <c r="S64" s="16"/>
      <c r="T64" s="25" t="str">
        <f t="shared" ref="T64:T84" si="12">indirect("Dupe!T"&amp;row())</f>
        <v/>
      </c>
      <c r="U64" s="16"/>
      <c r="V6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4" s="3"/>
      <c r="X64" s="3"/>
      <c r="Y64" s="16"/>
      <c r="Z64" s="28"/>
    </row>
    <row r="65">
      <c r="B65" s="29"/>
      <c r="C65" s="29"/>
      <c r="D65" s="30" t="str">
        <f t="shared" si="9"/>
        <v/>
      </c>
      <c r="E65" s="21"/>
      <c r="F65" s="31" t="str">
        <f t="shared" si="10"/>
        <v/>
      </c>
      <c r="G65" s="21"/>
      <c r="H6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5" s="21"/>
      <c r="J6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5" s="21"/>
      <c r="L6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5" s="21"/>
      <c r="N65" s="31" t="str">
        <f>IFERROR(__xludf.DUMMYFUNCTION("indirect(""Dupe!N""&amp;row())&amp;if(regexmatch(indirect(""C""&amp;row()),""Widen""),""
Widened
Any numeric measurements of the spell’s area increase by 100%"","""")"),"")</f>
        <v/>
      </c>
      <c r="O65" s="21"/>
      <c r="P6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5" s="21"/>
      <c r="R65" s="31" t="str">
        <f t="shared" si="11"/>
        <v/>
      </c>
      <c r="S65" s="21"/>
      <c r="T65" s="31" t="str">
        <f t="shared" si="12"/>
        <v/>
      </c>
      <c r="U65" s="21"/>
      <c r="V6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5" s="9"/>
      <c r="X65" s="9"/>
      <c r="Y65" s="21"/>
      <c r="Z65" s="34"/>
    </row>
    <row r="66">
      <c r="B66" s="35"/>
      <c r="C66" s="35"/>
      <c r="D66" s="24" t="str">
        <f t="shared" si="9"/>
        <v/>
      </c>
      <c r="E66" s="16"/>
      <c r="F66" s="25" t="str">
        <f t="shared" si="10"/>
        <v/>
      </c>
      <c r="G66" s="16"/>
      <c r="H6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6" s="16"/>
      <c r="J6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6" s="16"/>
      <c r="L6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6" s="16"/>
      <c r="N66" s="25" t="str">
        <f>IFERROR(__xludf.DUMMYFUNCTION("indirect(""Dupe!N""&amp;row())&amp;if(regexmatch(indirect(""C""&amp;row()),""Widen""),""
Widened
Any numeric measurements of the spell’s area increase by 100%"","""")"),"")</f>
        <v/>
      </c>
      <c r="O66" s="16"/>
      <c r="P6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6" s="16"/>
      <c r="R66" s="25" t="str">
        <f t="shared" si="11"/>
        <v/>
      </c>
      <c r="S66" s="16"/>
      <c r="T66" s="25" t="str">
        <f t="shared" si="12"/>
        <v/>
      </c>
      <c r="U66" s="16"/>
      <c r="V6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6" s="3"/>
      <c r="X66" s="3"/>
      <c r="Y66" s="16"/>
      <c r="Z66" s="28"/>
    </row>
    <row r="67">
      <c r="B67" s="37"/>
      <c r="C67" s="37"/>
      <c r="D67" s="30" t="str">
        <f t="shared" si="9"/>
        <v/>
      </c>
      <c r="E67" s="21"/>
      <c r="F67" s="31" t="str">
        <f t="shared" si="10"/>
        <v/>
      </c>
      <c r="G67" s="21"/>
      <c r="H6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7" s="21"/>
      <c r="J6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7" s="21"/>
      <c r="L6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7" s="21"/>
      <c r="N67" s="31" t="str">
        <f>IFERROR(__xludf.DUMMYFUNCTION("indirect(""Dupe!N""&amp;row())&amp;if(regexmatch(indirect(""C""&amp;row()),""Widen""),""
Widened
Any numeric measurements of the spell’s area increase by 100%"","""")"),"")</f>
        <v/>
      </c>
      <c r="O67" s="21"/>
      <c r="P6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7" s="21"/>
      <c r="R67" s="31" t="str">
        <f t="shared" si="11"/>
        <v/>
      </c>
      <c r="S67" s="21"/>
      <c r="T67" s="31" t="str">
        <f t="shared" si="12"/>
        <v/>
      </c>
      <c r="U67" s="21"/>
      <c r="V6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7" s="9"/>
      <c r="X67" s="9"/>
      <c r="Y67" s="21"/>
      <c r="Z67" s="34"/>
    </row>
    <row r="68">
      <c r="B68" s="35"/>
      <c r="C68" s="35"/>
      <c r="D68" s="24" t="str">
        <f t="shared" si="9"/>
        <v/>
      </c>
      <c r="E68" s="16"/>
      <c r="F68" s="25" t="str">
        <f t="shared" si="10"/>
        <v/>
      </c>
      <c r="G68" s="16"/>
      <c r="H6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8" s="16"/>
      <c r="J6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8" s="16"/>
      <c r="L6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8" s="16"/>
      <c r="N68" s="25" t="str">
        <f>IFERROR(__xludf.DUMMYFUNCTION("indirect(""Dupe!N""&amp;row())&amp;if(regexmatch(indirect(""C""&amp;row()),""Widen""),""
Widened
Any numeric measurements of the spell’s area increase by 100%"","""")"),"")</f>
        <v/>
      </c>
      <c r="O68" s="16"/>
      <c r="P6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8" s="16"/>
      <c r="R68" s="25" t="str">
        <f t="shared" si="11"/>
        <v/>
      </c>
      <c r="S68" s="16"/>
      <c r="T68" s="25" t="str">
        <f t="shared" si="12"/>
        <v/>
      </c>
      <c r="U68" s="16"/>
      <c r="V6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8" s="3"/>
      <c r="X68" s="3"/>
      <c r="Y68" s="16"/>
      <c r="Z68" s="28"/>
    </row>
    <row r="69">
      <c r="B69" s="37"/>
      <c r="C69" s="37"/>
      <c r="D69" s="30" t="str">
        <f t="shared" si="9"/>
        <v/>
      </c>
      <c r="E69" s="21"/>
      <c r="F69" s="31" t="str">
        <f t="shared" si="10"/>
        <v/>
      </c>
      <c r="G69" s="21"/>
      <c r="H6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9" s="21"/>
      <c r="J6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9" s="21"/>
      <c r="L6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9" s="21"/>
      <c r="N69" s="31" t="str">
        <f>IFERROR(__xludf.DUMMYFUNCTION("indirect(""Dupe!N""&amp;row())&amp;if(regexmatch(indirect(""C""&amp;row()),""Widen""),""
Widened
Any numeric measurements of the spell’s area increase by 100%"","""")"),"")</f>
        <v/>
      </c>
      <c r="O69" s="21"/>
      <c r="P6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9" s="21"/>
      <c r="R69" s="31" t="str">
        <f t="shared" si="11"/>
        <v/>
      </c>
      <c r="S69" s="21"/>
      <c r="T69" s="31" t="str">
        <f t="shared" si="12"/>
        <v/>
      </c>
      <c r="U69" s="21"/>
      <c r="V6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9" s="9"/>
      <c r="X69" s="9"/>
      <c r="Y69" s="21"/>
      <c r="Z69" s="34"/>
    </row>
    <row r="70">
      <c r="B70" s="35"/>
      <c r="C70" s="35"/>
      <c r="D70" s="24" t="str">
        <f t="shared" si="9"/>
        <v/>
      </c>
      <c r="E70" s="16"/>
      <c r="F70" s="25" t="str">
        <f t="shared" si="10"/>
        <v/>
      </c>
      <c r="G70" s="16"/>
      <c r="H7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0" s="16"/>
      <c r="J7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0" s="16"/>
      <c r="L7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0" s="16"/>
      <c r="N70" s="25" t="str">
        <f>IFERROR(__xludf.DUMMYFUNCTION("indirect(""Dupe!N""&amp;row())&amp;if(regexmatch(indirect(""C""&amp;row()),""Widen""),""
Widened
Any numeric measurements of the spell’s area increase by 100%"","""")"),"")</f>
        <v/>
      </c>
      <c r="O70" s="16"/>
      <c r="P7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0" s="16"/>
      <c r="R70" s="25" t="str">
        <f t="shared" si="11"/>
        <v/>
      </c>
      <c r="S70" s="16"/>
      <c r="T70" s="25" t="str">
        <f t="shared" si="12"/>
        <v/>
      </c>
      <c r="U70" s="16"/>
      <c r="V7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0" s="3"/>
      <c r="X70" s="3"/>
      <c r="Y70" s="16"/>
      <c r="Z70" s="28"/>
    </row>
    <row r="71">
      <c r="B71" s="37"/>
      <c r="C71" s="37"/>
      <c r="D71" s="30" t="str">
        <f t="shared" si="9"/>
        <v/>
      </c>
      <c r="E71" s="21"/>
      <c r="F71" s="31" t="str">
        <f t="shared" si="10"/>
        <v/>
      </c>
      <c r="G71" s="21"/>
      <c r="H7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1" s="21"/>
      <c r="J7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1" s="21"/>
      <c r="L7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1" s="21"/>
      <c r="N71" s="31" t="str">
        <f>IFERROR(__xludf.DUMMYFUNCTION("indirect(""Dupe!N""&amp;row())&amp;if(regexmatch(indirect(""C""&amp;row()),""Widen""),""
Widened
Any numeric measurements of the spell’s area increase by 100%"","""")"),"")</f>
        <v/>
      </c>
      <c r="O71" s="21"/>
      <c r="P7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1" s="21"/>
      <c r="R71" s="31" t="str">
        <f t="shared" si="11"/>
        <v/>
      </c>
      <c r="S71" s="21"/>
      <c r="T71" s="31" t="str">
        <f t="shared" si="12"/>
        <v/>
      </c>
      <c r="U71" s="21"/>
      <c r="V7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1" s="9"/>
      <c r="X71" s="9"/>
      <c r="Y71" s="21"/>
      <c r="Z71" s="34"/>
    </row>
    <row r="72">
      <c r="B72" s="35"/>
      <c r="C72" s="35"/>
      <c r="D72" s="24" t="str">
        <f t="shared" si="9"/>
        <v/>
      </c>
      <c r="E72" s="16"/>
      <c r="F72" s="25" t="str">
        <f t="shared" si="10"/>
        <v/>
      </c>
      <c r="G72" s="16"/>
      <c r="H7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2" s="16"/>
      <c r="J7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2" s="16"/>
      <c r="L7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2" s="16"/>
      <c r="N72" s="25" t="str">
        <f>IFERROR(__xludf.DUMMYFUNCTION("indirect(""Dupe!N""&amp;row())&amp;if(regexmatch(indirect(""C""&amp;row()),""Widen""),""
Widened
Any numeric measurements of the spell’s area increase by 100%"","""")"),"")</f>
        <v/>
      </c>
      <c r="O72" s="16"/>
      <c r="P7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2" s="16"/>
      <c r="R72" s="25" t="str">
        <f t="shared" si="11"/>
        <v/>
      </c>
      <c r="S72" s="16"/>
      <c r="T72" s="25" t="str">
        <f t="shared" si="12"/>
        <v/>
      </c>
      <c r="U72" s="16"/>
      <c r="V7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2" s="3"/>
      <c r="X72" s="3"/>
      <c r="Y72" s="16"/>
      <c r="Z72" s="28"/>
    </row>
    <row r="73">
      <c r="B73" s="29"/>
      <c r="C73" s="29"/>
      <c r="D73" s="30" t="str">
        <f t="shared" si="9"/>
        <v/>
      </c>
      <c r="E73" s="21"/>
      <c r="F73" s="31" t="str">
        <f t="shared" si="10"/>
        <v/>
      </c>
      <c r="G73" s="21"/>
      <c r="H7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3" s="21"/>
      <c r="J7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3" s="21"/>
      <c r="L7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3" s="21"/>
      <c r="N73" s="31" t="str">
        <f>IFERROR(__xludf.DUMMYFUNCTION("indirect(""Dupe!N""&amp;row())&amp;if(regexmatch(indirect(""C""&amp;row()),""Widen""),""
Widened
Any numeric measurements of the spell’s area increase by 100%"","""")"),"")</f>
        <v/>
      </c>
      <c r="O73" s="21"/>
      <c r="P7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3" s="21"/>
      <c r="R73" s="31" t="str">
        <f t="shared" si="11"/>
        <v/>
      </c>
      <c r="S73" s="21"/>
      <c r="T73" s="31" t="str">
        <f t="shared" si="12"/>
        <v/>
      </c>
      <c r="U73" s="21"/>
      <c r="V7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3" s="9"/>
      <c r="X73" s="9"/>
      <c r="Y73" s="21"/>
      <c r="Z73" s="34"/>
    </row>
    <row r="74">
      <c r="B74" s="35"/>
      <c r="C74" s="35"/>
      <c r="D74" s="24" t="str">
        <f t="shared" si="9"/>
        <v/>
      </c>
      <c r="E74" s="16"/>
      <c r="F74" s="25" t="str">
        <f t="shared" si="10"/>
        <v/>
      </c>
      <c r="G74" s="16"/>
      <c r="H7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4" s="16"/>
      <c r="J7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4" s="16"/>
      <c r="L7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4" s="16"/>
      <c r="N74" s="25" t="str">
        <f>IFERROR(__xludf.DUMMYFUNCTION("indirect(""Dupe!N""&amp;row())&amp;if(regexmatch(indirect(""C""&amp;row()),""Widen""),""
Widened
Any numeric measurements of the spell’s area increase by 100%"","""")"),"")</f>
        <v/>
      </c>
      <c r="O74" s="16"/>
      <c r="P7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4" s="16"/>
      <c r="R74" s="25" t="str">
        <f t="shared" si="11"/>
        <v/>
      </c>
      <c r="S74" s="16"/>
      <c r="T74" s="25" t="str">
        <f t="shared" si="12"/>
        <v/>
      </c>
      <c r="U74" s="16"/>
      <c r="V7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4" s="3"/>
      <c r="X74" s="3"/>
      <c r="Y74" s="16"/>
      <c r="Z74" s="28"/>
    </row>
    <row r="75">
      <c r="B75" s="29"/>
      <c r="C75" s="29"/>
      <c r="D75" s="30" t="str">
        <f t="shared" si="9"/>
        <v/>
      </c>
      <c r="E75" s="21"/>
      <c r="F75" s="31" t="str">
        <f t="shared" si="10"/>
        <v/>
      </c>
      <c r="G75" s="21"/>
      <c r="H7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5" s="21"/>
      <c r="J7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5" s="21"/>
      <c r="L7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5" s="21"/>
      <c r="N75" s="31" t="str">
        <f>IFERROR(__xludf.DUMMYFUNCTION("indirect(""Dupe!N""&amp;row())&amp;if(regexmatch(indirect(""C""&amp;row()),""Widen""),""
Widened
Any numeric measurements of the spell’s area increase by 100%"","""")"),"")</f>
        <v/>
      </c>
      <c r="O75" s="21"/>
      <c r="P7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5" s="21"/>
      <c r="R75" s="31" t="str">
        <f t="shared" si="11"/>
        <v/>
      </c>
      <c r="S75" s="21"/>
      <c r="T75" s="31" t="str">
        <f t="shared" si="12"/>
        <v/>
      </c>
      <c r="U75" s="21"/>
      <c r="V7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5" s="9"/>
      <c r="X75" s="9"/>
      <c r="Y75" s="21"/>
      <c r="Z75" s="34"/>
    </row>
    <row r="76">
      <c r="B76" s="41"/>
      <c r="C76" s="41"/>
      <c r="D76" s="24" t="str">
        <f t="shared" si="9"/>
        <v/>
      </c>
      <c r="E76" s="16"/>
      <c r="F76" s="25" t="str">
        <f t="shared" si="10"/>
        <v/>
      </c>
      <c r="G76" s="16"/>
      <c r="H7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6" s="16"/>
      <c r="J7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6" s="16"/>
      <c r="L7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6" s="16"/>
      <c r="N76" s="25" t="str">
        <f>IFERROR(__xludf.DUMMYFUNCTION("indirect(""Dupe!N""&amp;row())&amp;if(regexmatch(indirect(""C""&amp;row()),""Widen""),""
Widened
Any numeric measurements of the spell’s area increase by 100%"","""")"),"")</f>
        <v/>
      </c>
      <c r="O76" s="16"/>
      <c r="P7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6" s="16"/>
      <c r="R76" s="25" t="str">
        <f t="shared" si="11"/>
        <v/>
      </c>
      <c r="S76" s="16"/>
      <c r="T76" s="25" t="str">
        <f t="shared" si="12"/>
        <v/>
      </c>
      <c r="U76" s="16"/>
      <c r="V7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6" s="3"/>
      <c r="X76" s="3"/>
      <c r="Y76" s="16"/>
      <c r="Z76" s="28"/>
    </row>
    <row r="77">
      <c r="B77" s="37"/>
      <c r="C77" s="37"/>
      <c r="D77" s="30" t="str">
        <f t="shared" si="9"/>
        <v/>
      </c>
      <c r="E77" s="21"/>
      <c r="F77" s="31" t="str">
        <f t="shared" si="10"/>
        <v/>
      </c>
      <c r="G77" s="21"/>
      <c r="H7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7" s="21"/>
      <c r="J7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7" s="21"/>
      <c r="L7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7" s="21"/>
      <c r="N77" s="31" t="str">
        <f>IFERROR(__xludf.DUMMYFUNCTION("indirect(""Dupe!N""&amp;row())&amp;if(regexmatch(indirect(""C""&amp;row()),""Widen""),""
Widened
Any numeric measurements of the spell’s area increase by 100%"","""")"),"")</f>
        <v/>
      </c>
      <c r="O77" s="21"/>
      <c r="P7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7" s="21"/>
      <c r="R77" s="31" t="str">
        <f t="shared" si="11"/>
        <v/>
      </c>
      <c r="S77" s="21"/>
      <c r="T77" s="31" t="str">
        <f t="shared" si="12"/>
        <v/>
      </c>
      <c r="U77" s="21"/>
      <c r="V7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7" s="9"/>
      <c r="X77" s="9"/>
      <c r="Y77" s="21"/>
      <c r="Z77" s="34"/>
    </row>
    <row r="78">
      <c r="B78" s="35"/>
      <c r="C78" s="35"/>
      <c r="D78" s="24" t="str">
        <f t="shared" si="9"/>
        <v/>
      </c>
      <c r="E78" s="16"/>
      <c r="F78" s="25" t="str">
        <f t="shared" si="10"/>
        <v/>
      </c>
      <c r="G78" s="16"/>
      <c r="H7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8" s="16"/>
      <c r="J7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8" s="16"/>
      <c r="L7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8" s="16"/>
      <c r="N78" s="25" t="str">
        <f>IFERROR(__xludf.DUMMYFUNCTION("indirect(""Dupe!N""&amp;row())&amp;if(regexmatch(indirect(""C""&amp;row()),""Widen""),""
Widened
Any numeric measurements of the spell’s area increase by 100%"","""")"),"")</f>
        <v/>
      </c>
      <c r="O78" s="16"/>
      <c r="P7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8" s="16"/>
      <c r="R78" s="25" t="str">
        <f t="shared" si="11"/>
        <v/>
      </c>
      <c r="S78" s="16"/>
      <c r="T78" s="25" t="str">
        <f t="shared" si="12"/>
        <v/>
      </c>
      <c r="U78" s="16"/>
      <c r="V7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8" s="3"/>
      <c r="X78" s="3"/>
      <c r="Y78" s="16"/>
      <c r="Z78" s="28"/>
    </row>
    <row r="79">
      <c r="B79" s="37"/>
      <c r="C79" s="37"/>
      <c r="D79" s="30" t="str">
        <f t="shared" si="9"/>
        <v/>
      </c>
      <c r="E79" s="21"/>
      <c r="F79" s="31" t="str">
        <f t="shared" si="10"/>
        <v/>
      </c>
      <c r="G79" s="21"/>
      <c r="H7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9" s="21"/>
      <c r="J7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9" s="21"/>
      <c r="L7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9" s="21"/>
      <c r="N79" s="31" t="str">
        <f>IFERROR(__xludf.DUMMYFUNCTION("indirect(""Dupe!N""&amp;row())&amp;if(regexmatch(indirect(""C""&amp;row()),""Widen""),""
Widened
Any numeric measurements of the spell’s area increase by 100%"","""")"),"")</f>
        <v/>
      </c>
      <c r="O79" s="21"/>
      <c r="P7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9" s="21"/>
      <c r="R79" s="31" t="str">
        <f t="shared" si="11"/>
        <v/>
      </c>
      <c r="S79" s="21"/>
      <c r="T79" s="31" t="str">
        <f t="shared" si="12"/>
        <v/>
      </c>
      <c r="U79" s="21"/>
      <c r="V7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9" s="9"/>
      <c r="X79" s="9"/>
      <c r="Y79" s="21"/>
      <c r="Z79" s="34"/>
    </row>
    <row r="80">
      <c r="B80" s="35"/>
      <c r="C80" s="35"/>
      <c r="D80" s="24" t="str">
        <f t="shared" si="9"/>
        <v/>
      </c>
      <c r="E80" s="16"/>
      <c r="F80" s="25" t="str">
        <f t="shared" si="10"/>
        <v/>
      </c>
      <c r="G80" s="16"/>
      <c r="H8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0" s="16"/>
      <c r="J8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0" s="16"/>
      <c r="L8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0" s="16"/>
      <c r="N80" s="25" t="str">
        <f>IFERROR(__xludf.DUMMYFUNCTION("indirect(""Dupe!N""&amp;row())&amp;if(regexmatch(indirect(""C""&amp;row()),""Widen""),""
Widened
Any numeric measurements of the spell’s area increase by 100%"","""")"),"")</f>
        <v/>
      </c>
      <c r="O80" s="16"/>
      <c r="P8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0" s="16"/>
      <c r="R80" s="25" t="str">
        <f t="shared" si="11"/>
        <v/>
      </c>
      <c r="S80" s="16"/>
      <c r="T80" s="25" t="str">
        <f t="shared" si="12"/>
        <v/>
      </c>
      <c r="U80" s="16"/>
      <c r="V8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0" s="3"/>
      <c r="X80" s="3"/>
      <c r="Y80" s="16"/>
      <c r="Z80" s="28"/>
    </row>
    <row r="81">
      <c r="B81" s="29"/>
      <c r="C81" s="29"/>
      <c r="D81" s="30" t="str">
        <f t="shared" si="9"/>
        <v/>
      </c>
      <c r="E81" s="21"/>
      <c r="F81" s="31" t="str">
        <f t="shared" si="10"/>
        <v/>
      </c>
      <c r="G81" s="21"/>
      <c r="H8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1" s="21"/>
      <c r="J8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1" s="21"/>
      <c r="L8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1" s="21"/>
      <c r="N81" s="31" t="str">
        <f>IFERROR(__xludf.DUMMYFUNCTION("indirect(""Dupe!N""&amp;row())&amp;if(regexmatch(indirect(""C""&amp;row()),""Widen""),""
Widened
Any numeric measurements of the spell’s area increase by 100%"","""")"),"")</f>
        <v/>
      </c>
      <c r="O81" s="21"/>
      <c r="P8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1" s="21"/>
      <c r="R81" s="31" t="str">
        <f t="shared" si="11"/>
        <v/>
      </c>
      <c r="S81" s="21"/>
      <c r="T81" s="31" t="str">
        <f t="shared" si="12"/>
        <v/>
      </c>
      <c r="U81" s="21"/>
      <c r="V8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1" s="9"/>
      <c r="X81" s="9"/>
      <c r="Y81" s="21"/>
      <c r="Z81" s="34"/>
    </row>
    <row r="82">
      <c r="B82" s="35"/>
      <c r="C82" s="35"/>
      <c r="D82" s="24" t="str">
        <f t="shared" si="9"/>
        <v/>
      </c>
      <c r="E82" s="16"/>
      <c r="F82" s="25" t="str">
        <f t="shared" si="10"/>
        <v/>
      </c>
      <c r="G82" s="16"/>
      <c r="H8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2" s="16"/>
      <c r="J8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2" s="16"/>
      <c r="L8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2" s="16"/>
      <c r="N82" s="25" t="str">
        <f>IFERROR(__xludf.DUMMYFUNCTION("indirect(""Dupe!N""&amp;row())&amp;if(regexmatch(indirect(""C""&amp;row()),""Widen""),""
Widened
Any numeric measurements of the spell’s area increase by 100%"","""")"),"")</f>
        <v/>
      </c>
      <c r="O82" s="16"/>
      <c r="P8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2" s="16"/>
      <c r="R82" s="25" t="str">
        <f t="shared" si="11"/>
        <v/>
      </c>
      <c r="S82" s="16"/>
      <c r="T82" s="25" t="str">
        <f t="shared" si="12"/>
        <v/>
      </c>
      <c r="U82" s="16"/>
      <c r="V8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2" s="3"/>
      <c r="X82" s="3"/>
      <c r="Y82" s="16"/>
      <c r="Z82" s="28"/>
    </row>
    <row r="83">
      <c r="B83" s="29"/>
      <c r="C83" s="29"/>
      <c r="D83" s="30" t="str">
        <f t="shared" si="9"/>
        <v/>
      </c>
      <c r="E83" s="21"/>
      <c r="F83" s="31" t="str">
        <f t="shared" si="10"/>
        <v/>
      </c>
      <c r="G83" s="21"/>
      <c r="H8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3" s="21"/>
      <c r="J8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3" s="21"/>
      <c r="L8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3" s="21"/>
      <c r="N83" s="31" t="str">
        <f>IFERROR(__xludf.DUMMYFUNCTION("indirect(""Dupe!N""&amp;row())&amp;if(regexmatch(indirect(""C""&amp;row()),""Widen""),""
Widened
Any numeric measurements of the spell’s area increase by 100%"","""")"),"")</f>
        <v/>
      </c>
      <c r="O83" s="21"/>
      <c r="P8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3" s="21"/>
      <c r="R83" s="31" t="str">
        <f t="shared" si="11"/>
        <v/>
      </c>
      <c r="S83" s="21"/>
      <c r="T83" s="31" t="str">
        <f t="shared" si="12"/>
        <v/>
      </c>
      <c r="U83" s="21"/>
      <c r="V8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3" s="9"/>
      <c r="X83" s="9"/>
      <c r="Y83" s="21"/>
      <c r="Z83" s="34"/>
    </row>
    <row r="84">
      <c r="B84" s="35"/>
      <c r="C84" s="35"/>
      <c r="D84" s="24" t="str">
        <f t="shared" si="9"/>
        <v/>
      </c>
      <c r="E84" s="16"/>
      <c r="F84" s="25" t="str">
        <f t="shared" si="10"/>
        <v/>
      </c>
      <c r="G84" s="16"/>
      <c r="H8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4" s="16"/>
      <c r="J8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4" s="16"/>
      <c r="L8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4" s="16"/>
      <c r="N84" s="25" t="str">
        <f>IFERROR(__xludf.DUMMYFUNCTION("indirect(""Dupe!N""&amp;row())&amp;if(regexmatch(indirect(""C""&amp;row()),""Widen""),""
Widened
Any numeric measurements of the spell’s area increase by 100%"","""")"),"")</f>
        <v/>
      </c>
      <c r="O84" s="16"/>
      <c r="P8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4" s="16"/>
      <c r="R84" s="25" t="str">
        <f t="shared" si="11"/>
        <v/>
      </c>
      <c r="S84" s="16"/>
      <c r="T84" s="25" t="str">
        <f t="shared" si="12"/>
        <v/>
      </c>
      <c r="U84" s="16"/>
      <c r="V8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4" s="3"/>
      <c r="X84" s="3"/>
      <c r="Y84" s="16"/>
      <c r="Z84" s="28"/>
    </row>
    <row r="86">
      <c r="B86" s="14" t="s">
        <v>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15" t="s">
        <v>13</v>
      </c>
      <c r="W86" s="3"/>
      <c r="X86" s="16"/>
      <c r="Y86" s="17" t="str">
        <f>SUM(Z88:Z108)&amp;"/"&amp;if(dget(base_spells,"3rd",F2:F3),dget(base_spells,"3rd",F2:F3)+dget(bonus_spells,"3rd",H2:H3),0)</f>
        <v>0/5</v>
      </c>
      <c r="Z86" s="5"/>
    </row>
    <row r="87">
      <c r="B87" s="19" t="s">
        <v>14</v>
      </c>
      <c r="C87" s="19" t="s">
        <v>15</v>
      </c>
      <c r="D87" s="20" t="s">
        <v>16</v>
      </c>
      <c r="E87" s="21"/>
      <c r="F87" s="20" t="s">
        <v>17</v>
      </c>
      <c r="G87" s="21"/>
      <c r="H87" s="20" t="s">
        <v>18</v>
      </c>
      <c r="I87" s="21"/>
      <c r="J87" s="20" t="s">
        <v>19</v>
      </c>
      <c r="K87" s="21"/>
      <c r="L87" s="20" t="s">
        <v>20</v>
      </c>
      <c r="M87" s="21"/>
      <c r="N87" s="20" t="s">
        <v>21</v>
      </c>
      <c r="O87" s="21"/>
      <c r="P87" s="20" t="s">
        <v>22</v>
      </c>
      <c r="Q87" s="21"/>
      <c r="R87" s="20" t="s">
        <v>23</v>
      </c>
      <c r="S87" s="21"/>
      <c r="T87" s="20" t="s">
        <v>24</v>
      </c>
      <c r="U87" s="21"/>
      <c r="V87" s="20" t="s">
        <v>25</v>
      </c>
      <c r="W87" s="9"/>
      <c r="X87" s="9"/>
      <c r="Y87" s="21"/>
      <c r="Z87" s="19" t="s">
        <v>26</v>
      </c>
    </row>
    <row r="88">
      <c r="B88" s="23"/>
      <c r="C88" s="23"/>
      <c r="D88" s="24" t="str">
        <f t="shared" ref="D88:D108" si="13">indirect("Dupe!D"&amp;ROW())</f>
        <v/>
      </c>
      <c r="E88" s="16"/>
      <c r="F88" s="25" t="str">
        <f t="shared" ref="F88:F108" si="14">indirect("Dupe!F"&amp;ROW())</f>
        <v/>
      </c>
      <c r="G88" s="16"/>
      <c r="H8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8" s="16"/>
      <c r="J8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8" s="16"/>
      <c r="L8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8" s="16"/>
      <c r="N88" s="25" t="str">
        <f>IFERROR(__xludf.DUMMYFUNCTION("indirect(""Dupe!N""&amp;row())&amp;if(regexmatch(indirect(""C""&amp;row()),""Widen""),""
Widened
Any numeric measurements of the spell’s area increase by 100%"","""")"),"")</f>
        <v/>
      </c>
      <c r="O88" s="16"/>
      <c r="P8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8" s="16"/>
      <c r="R88" s="25" t="str">
        <f t="shared" ref="R88:R108" si="15">indirect("Dupe!R"&amp;row())</f>
        <v/>
      </c>
      <c r="S88" s="16"/>
      <c r="T88" s="25" t="str">
        <f t="shared" ref="T88:T108" si="16">indirect("Dupe!T"&amp;row())</f>
        <v/>
      </c>
      <c r="U88" s="16"/>
      <c r="V8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8" s="3"/>
      <c r="X88" s="3"/>
      <c r="Y88" s="16"/>
      <c r="Z88" s="28"/>
    </row>
    <row r="89">
      <c r="B89" s="29"/>
      <c r="C89" s="29"/>
      <c r="D89" s="30" t="str">
        <f t="shared" si="13"/>
        <v/>
      </c>
      <c r="E89" s="21"/>
      <c r="F89" s="31" t="str">
        <f t="shared" si="14"/>
        <v/>
      </c>
      <c r="G89" s="21"/>
      <c r="H8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9" s="21"/>
      <c r="J8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9" s="21"/>
      <c r="L8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9" s="21"/>
      <c r="N89" s="31" t="str">
        <f>IFERROR(__xludf.DUMMYFUNCTION("indirect(""Dupe!N""&amp;row())&amp;if(regexmatch(indirect(""C""&amp;row()),""Widen""),""
Widened
Any numeric measurements of the spell’s area increase by 100%"","""")"),"")</f>
        <v/>
      </c>
      <c r="O89" s="21"/>
      <c r="P8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9" s="21"/>
      <c r="R89" s="31" t="str">
        <f t="shared" si="15"/>
        <v/>
      </c>
      <c r="S89" s="21"/>
      <c r="T89" s="31" t="str">
        <f t="shared" si="16"/>
        <v/>
      </c>
      <c r="U89" s="21"/>
      <c r="V8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9" s="9"/>
      <c r="X89" s="9"/>
      <c r="Y89" s="21"/>
      <c r="Z89" s="34"/>
    </row>
    <row r="90">
      <c r="B90" s="35"/>
      <c r="C90" s="35"/>
      <c r="D90" s="24" t="str">
        <f t="shared" si="13"/>
        <v/>
      </c>
      <c r="E90" s="16"/>
      <c r="F90" s="25" t="str">
        <f t="shared" si="14"/>
        <v/>
      </c>
      <c r="G90" s="16"/>
      <c r="H9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0" s="16"/>
      <c r="J9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0" s="16"/>
      <c r="L9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0" s="16"/>
      <c r="N90" s="25" t="str">
        <f>IFERROR(__xludf.DUMMYFUNCTION("indirect(""Dupe!N""&amp;row())&amp;if(regexmatch(indirect(""C""&amp;row()),""Widen""),""
Widened
Any numeric measurements of the spell’s area increase by 100%"","""")"),"")</f>
        <v/>
      </c>
      <c r="O90" s="16"/>
      <c r="P9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0" s="16"/>
      <c r="R90" s="25" t="str">
        <f t="shared" si="15"/>
        <v/>
      </c>
      <c r="S90" s="16"/>
      <c r="T90" s="25" t="str">
        <f t="shared" si="16"/>
        <v/>
      </c>
      <c r="U90" s="16"/>
      <c r="V9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0" s="3"/>
      <c r="X90" s="3"/>
      <c r="Y90" s="16"/>
      <c r="Z90" s="28"/>
    </row>
    <row r="91">
      <c r="B91" s="37"/>
      <c r="C91" s="37"/>
      <c r="D91" s="30" t="str">
        <f t="shared" si="13"/>
        <v/>
      </c>
      <c r="E91" s="21"/>
      <c r="F91" s="31" t="str">
        <f t="shared" si="14"/>
        <v/>
      </c>
      <c r="G91" s="21"/>
      <c r="H9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1" s="21"/>
      <c r="J9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1" s="21"/>
      <c r="L9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1" s="21"/>
      <c r="N91" s="31" t="str">
        <f>IFERROR(__xludf.DUMMYFUNCTION("indirect(""Dupe!N""&amp;row())&amp;if(regexmatch(indirect(""C""&amp;row()),""Widen""),""
Widened
Any numeric measurements of the spell’s area increase by 100%"","""")"),"")</f>
        <v/>
      </c>
      <c r="O91" s="21"/>
      <c r="P9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1" s="21"/>
      <c r="R91" s="31" t="str">
        <f t="shared" si="15"/>
        <v/>
      </c>
      <c r="S91" s="21"/>
      <c r="T91" s="31" t="str">
        <f t="shared" si="16"/>
        <v/>
      </c>
      <c r="U91" s="21"/>
      <c r="V9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1" s="9"/>
      <c r="X91" s="9"/>
      <c r="Y91" s="21"/>
      <c r="Z91" s="34"/>
    </row>
    <row r="92">
      <c r="B92" s="35"/>
      <c r="C92" s="35"/>
      <c r="D92" s="24" t="str">
        <f t="shared" si="13"/>
        <v/>
      </c>
      <c r="E92" s="16"/>
      <c r="F92" s="25" t="str">
        <f t="shared" si="14"/>
        <v/>
      </c>
      <c r="G92" s="16"/>
      <c r="H9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2" s="16"/>
      <c r="J9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2" s="16"/>
      <c r="L9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2" s="16"/>
      <c r="N92" s="25" t="str">
        <f>IFERROR(__xludf.DUMMYFUNCTION("indirect(""Dupe!N""&amp;row())&amp;if(regexmatch(indirect(""C""&amp;row()),""Widen""),""
Widened
Any numeric measurements of the spell’s area increase by 100%"","""")"),"")</f>
        <v/>
      </c>
      <c r="O92" s="16"/>
      <c r="P9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2" s="16"/>
      <c r="R92" s="25" t="str">
        <f t="shared" si="15"/>
        <v/>
      </c>
      <c r="S92" s="16"/>
      <c r="T92" s="25" t="str">
        <f t="shared" si="16"/>
        <v/>
      </c>
      <c r="U92" s="16"/>
      <c r="V9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2" s="3"/>
      <c r="X92" s="3"/>
      <c r="Y92" s="16"/>
      <c r="Z92" s="28"/>
    </row>
    <row r="93">
      <c r="B93" s="37"/>
      <c r="C93" s="37"/>
      <c r="D93" s="30" t="str">
        <f t="shared" si="13"/>
        <v/>
      </c>
      <c r="E93" s="21"/>
      <c r="F93" s="31" t="str">
        <f t="shared" si="14"/>
        <v/>
      </c>
      <c r="G93" s="21"/>
      <c r="H9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3" s="21"/>
      <c r="J9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3" s="21"/>
      <c r="L9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3" s="21"/>
      <c r="N93" s="31" t="str">
        <f>IFERROR(__xludf.DUMMYFUNCTION("indirect(""Dupe!N""&amp;row())&amp;if(regexmatch(indirect(""C""&amp;row()),""Widen""),""
Widened
Any numeric measurements of the spell’s area increase by 100%"","""")"),"")</f>
        <v/>
      </c>
      <c r="O93" s="21"/>
      <c r="P9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3" s="21"/>
      <c r="R93" s="31" t="str">
        <f t="shared" si="15"/>
        <v/>
      </c>
      <c r="S93" s="21"/>
      <c r="T93" s="31" t="str">
        <f t="shared" si="16"/>
        <v/>
      </c>
      <c r="U93" s="21"/>
      <c r="V9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3" s="9"/>
      <c r="X93" s="9"/>
      <c r="Y93" s="21"/>
      <c r="Z93" s="34"/>
    </row>
    <row r="94">
      <c r="B94" s="35"/>
      <c r="C94" s="35"/>
      <c r="D94" s="24" t="str">
        <f t="shared" si="13"/>
        <v/>
      </c>
      <c r="E94" s="16"/>
      <c r="F94" s="25" t="str">
        <f t="shared" si="14"/>
        <v/>
      </c>
      <c r="G94" s="16"/>
      <c r="H9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4" s="16"/>
      <c r="J9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4" s="16"/>
      <c r="L9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4" s="16"/>
      <c r="N94" s="25" t="str">
        <f>IFERROR(__xludf.DUMMYFUNCTION("indirect(""Dupe!N""&amp;row())&amp;if(regexmatch(indirect(""C""&amp;row()),""Widen""),""
Widened
Any numeric measurements of the spell’s area increase by 100%"","""")"),"")</f>
        <v/>
      </c>
      <c r="O94" s="16"/>
      <c r="P9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4" s="16"/>
      <c r="R94" s="25" t="str">
        <f t="shared" si="15"/>
        <v/>
      </c>
      <c r="S94" s="16"/>
      <c r="T94" s="25" t="str">
        <f t="shared" si="16"/>
        <v/>
      </c>
      <c r="U94" s="16"/>
      <c r="V9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4" s="3"/>
      <c r="X94" s="3"/>
      <c r="Y94" s="16"/>
      <c r="Z94" s="28"/>
    </row>
    <row r="95">
      <c r="B95" s="37"/>
      <c r="C95" s="37"/>
      <c r="D95" s="30" t="str">
        <f t="shared" si="13"/>
        <v/>
      </c>
      <c r="E95" s="21"/>
      <c r="F95" s="31" t="str">
        <f t="shared" si="14"/>
        <v/>
      </c>
      <c r="G95" s="21"/>
      <c r="H9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5" s="21"/>
      <c r="J9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5" s="21"/>
      <c r="L9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5" s="21"/>
      <c r="N95" s="31" t="str">
        <f>IFERROR(__xludf.DUMMYFUNCTION("indirect(""Dupe!N""&amp;row())&amp;if(regexmatch(indirect(""C""&amp;row()),""Widen""),""
Widened
Any numeric measurements of the spell’s area increase by 100%"","""")"),"")</f>
        <v/>
      </c>
      <c r="O95" s="21"/>
      <c r="P9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5" s="21"/>
      <c r="R95" s="31" t="str">
        <f t="shared" si="15"/>
        <v/>
      </c>
      <c r="S95" s="21"/>
      <c r="T95" s="31" t="str">
        <f t="shared" si="16"/>
        <v/>
      </c>
      <c r="U95" s="21"/>
      <c r="V9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5" s="9"/>
      <c r="X95" s="9"/>
      <c r="Y95" s="21"/>
      <c r="Z95" s="34"/>
    </row>
    <row r="96">
      <c r="B96" s="35"/>
      <c r="C96" s="35"/>
      <c r="D96" s="24" t="str">
        <f t="shared" si="13"/>
        <v/>
      </c>
      <c r="E96" s="16"/>
      <c r="F96" s="25" t="str">
        <f t="shared" si="14"/>
        <v/>
      </c>
      <c r="G96" s="16"/>
      <c r="H9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6" s="16"/>
      <c r="J9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6" s="16"/>
      <c r="L9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6" s="16"/>
      <c r="N96" s="25" t="str">
        <f>IFERROR(__xludf.DUMMYFUNCTION("indirect(""Dupe!N""&amp;row())&amp;if(regexmatch(indirect(""C""&amp;row()),""Widen""),""
Widened
Any numeric measurements of the spell’s area increase by 100%"","""")"),"")</f>
        <v/>
      </c>
      <c r="O96" s="16"/>
      <c r="P9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6" s="16"/>
      <c r="R96" s="25" t="str">
        <f t="shared" si="15"/>
        <v/>
      </c>
      <c r="S96" s="16"/>
      <c r="T96" s="25" t="str">
        <f t="shared" si="16"/>
        <v/>
      </c>
      <c r="U96" s="16"/>
      <c r="V9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6" s="3"/>
      <c r="X96" s="3"/>
      <c r="Y96" s="16"/>
      <c r="Z96" s="28"/>
    </row>
    <row r="97">
      <c r="B97" s="29"/>
      <c r="C97" s="29"/>
      <c r="D97" s="30" t="str">
        <f t="shared" si="13"/>
        <v/>
      </c>
      <c r="E97" s="21"/>
      <c r="F97" s="31" t="str">
        <f t="shared" si="14"/>
        <v/>
      </c>
      <c r="G97" s="21"/>
      <c r="H9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7" s="21"/>
      <c r="J9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7" s="21"/>
      <c r="L9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7" s="21"/>
      <c r="N97" s="31" t="str">
        <f>IFERROR(__xludf.DUMMYFUNCTION("indirect(""Dupe!N""&amp;row())&amp;if(regexmatch(indirect(""C""&amp;row()),""Widen""),""
Widened
Any numeric measurements of the spell’s area increase by 100%"","""")"),"")</f>
        <v/>
      </c>
      <c r="O97" s="21"/>
      <c r="P9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7" s="21"/>
      <c r="R97" s="31" t="str">
        <f t="shared" si="15"/>
        <v/>
      </c>
      <c r="S97" s="21"/>
      <c r="T97" s="31" t="str">
        <f t="shared" si="16"/>
        <v/>
      </c>
      <c r="U97" s="21"/>
      <c r="V9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7" s="9"/>
      <c r="X97" s="9"/>
      <c r="Y97" s="21"/>
      <c r="Z97" s="34"/>
    </row>
    <row r="98">
      <c r="B98" s="35"/>
      <c r="C98" s="35"/>
      <c r="D98" s="24" t="str">
        <f t="shared" si="13"/>
        <v/>
      </c>
      <c r="E98" s="16"/>
      <c r="F98" s="25" t="str">
        <f t="shared" si="14"/>
        <v/>
      </c>
      <c r="G98" s="16"/>
      <c r="H9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8" s="16"/>
      <c r="J9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8" s="16"/>
      <c r="L9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8" s="16"/>
      <c r="N98" s="25" t="str">
        <f>IFERROR(__xludf.DUMMYFUNCTION("indirect(""Dupe!N""&amp;row())&amp;if(regexmatch(indirect(""C""&amp;row()),""Widen""),""
Widened
Any numeric measurements of the spell’s area increase by 100%"","""")"),"")</f>
        <v/>
      </c>
      <c r="O98" s="16"/>
      <c r="P9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8" s="16"/>
      <c r="R98" s="25" t="str">
        <f t="shared" si="15"/>
        <v/>
      </c>
      <c r="S98" s="16"/>
      <c r="T98" s="25" t="str">
        <f t="shared" si="16"/>
        <v/>
      </c>
      <c r="U98" s="16"/>
      <c r="V9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8" s="3"/>
      <c r="X98" s="3"/>
      <c r="Y98" s="16"/>
      <c r="Z98" s="28"/>
    </row>
    <row r="99">
      <c r="B99" s="29"/>
      <c r="C99" s="29"/>
      <c r="D99" s="30" t="str">
        <f t="shared" si="13"/>
        <v/>
      </c>
      <c r="E99" s="21"/>
      <c r="F99" s="31" t="str">
        <f t="shared" si="14"/>
        <v/>
      </c>
      <c r="G99" s="21"/>
      <c r="H9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9" s="21"/>
      <c r="J9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9" s="21"/>
      <c r="L9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9" s="21"/>
      <c r="N99" s="31" t="str">
        <f>IFERROR(__xludf.DUMMYFUNCTION("indirect(""Dupe!N""&amp;row())&amp;if(regexmatch(indirect(""C""&amp;row()),""Widen""),""
Widened
Any numeric measurements of the spell’s area increase by 100%"","""")"),"")</f>
        <v/>
      </c>
      <c r="O99" s="21"/>
      <c r="P9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9" s="21"/>
      <c r="R99" s="31" t="str">
        <f t="shared" si="15"/>
        <v/>
      </c>
      <c r="S99" s="21"/>
      <c r="T99" s="31" t="str">
        <f t="shared" si="16"/>
        <v/>
      </c>
      <c r="U99" s="21"/>
      <c r="V9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9" s="9"/>
      <c r="X99" s="9"/>
      <c r="Y99" s="21"/>
      <c r="Z99" s="34"/>
    </row>
    <row r="100">
      <c r="B100" s="41"/>
      <c r="C100" s="41"/>
      <c r="D100" s="24" t="str">
        <f t="shared" si="13"/>
        <v/>
      </c>
      <c r="E100" s="16"/>
      <c r="F100" s="25" t="str">
        <f t="shared" si="14"/>
        <v/>
      </c>
      <c r="G100" s="16"/>
      <c r="H10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0" s="16"/>
      <c r="J10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0" s="16"/>
      <c r="L10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0" s="16"/>
      <c r="N100" s="25" t="str">
        <f>IFERROR(__xludf.DUMMYFUNCTION("indirect(""Dupe!N""&amp;row())&amp;if(regexmatch(indirect(""C""&amp;row()),""Widen""),""
Widened
Any numeric measurements of the spell’s area increase by 100%"","""")"),"")</f>
        <v/>
      </c>
      <c r="O100" s="16"/>
      <c r="P10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0" s="16"/>
      <c r="R100" s="25" t="str">
        <f t="shared" si="15"/>
        <v/>
      </c>
      <c r="S100" s="16"/>
      <c r="T100" s="25" t="str">
        <f t="shared" si="16"/>
        <v/>
      </c>
      <c r="U100" s="16"/>
      <c r="V10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0" s="3"/>
      <c r="X100" s="3"/>
      <c r="Y100" s="16"/>
      <c r="Z100" s="28"/>
    </row>
    <row r="101">
      <c r="B101" s="37"/>
      <c r="C101" s="37"/>
      <c r="D101" s="30" t="str">
        <f t="shared" si="13"/>
        <v/>
      </c>
      <c r="E101" s="21"/>
      <c r="F101" s="31" t="str">
        <f t="shared" si="14"/>
        <v/>
      </c>
      <c r="G101" s="21"/>
      <c r="H10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1" s="21"/>
      <c r="J10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1" s="21"/>
      <c r="L10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1" s="21"/>
      <c r="N101" s="31" t="str">
        <f>IFERROR(__xludf.DUMMYFUNCTION("indirect(""Dupe!N""&amp;row())&amp;if(regexmatch(indirect(""C""&amp;row()),""Widen""),""
Widened
Any numeric measurements of the spell’s area increase by 100%"","""")"),"")</f>
        <v/>
      </c>
      <c r="O101" s="21"/>
      <c r="P10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1" s="21"/>
      <c r="R101" s="31" t="str">
        <f t="shared" si="15"/>
        <v/>
      </c>
      <c r="S101" s="21"/>
      <c r="T101" s="31" t="str">
        <f t="shared" si="16"/>
        <v/>
      </c>
      <c r="U101" s="21"/>
      <c r="V10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1" s="9"/>
      <c r="X101" s="9"/>
      <c r="Y101" s="21"/>
      <c r="Z101" s="34"/>
    </row>
    <row r="102">
      <c r="B102" s="35"/>
      <c r="C102" s="35"/>
      <c r="D102" s="24" t="str">
        <f t="shared" si="13"/>
        <v/>
      </c>
      <c r="E102" s="16"/>
      <c r="F102" s="25" t="str">
        <f t="shared" si="14"/>
        <v/>
      </c>
      <c r="G102" s="16"/>
      <c r="H10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2" s="16"/>
      <c r="J10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2" s="16"/>
      <c r="L10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2" s="16"/>
      <c r="N102" s="25" t="str">
        <f>IFERROR(__xludf.DUMMYFUNCTION("indirect(""Dupe!N""&amp;row())&amp;if(regexmatch(indirect(""C""&amp;row()),""Widen""),""
Widened
Any numeric measurements of the spell’s area increase by 100%"","""")"),"")</f>
        <v/>
      </c>
      <c r="O102" s="16"/>
      <c r="P10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2" s="16"/>
      <c r="R102" s="25" t="str">
        <f t="shared" si="15"/>
        <v/>
      </c>
      <c r="S102" s="16"/>
      <c r="T102" s="25" t="str">
        <f t="shared" si="16"/>
        <v/>
      </c>
      <c r="U102" s="16"/>
      <c r="V10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2" s="3"/>
      <c r="X102" s="3"/>
      <c r="Y102" s="16"/>
      <c r="Z102" s="28"/>
    </row>
    <row r="103">
      <c r="B103" s="37"/>
      <c r="C103" s="37"/>
      <c r="D103" s="30" t="str">
        <f t="shared" si="13"/>
        <v/>
      </c>
      <c r="E103" s="21"/>
      <c r="F103" s="31" t="str">
        <f t="shared" si="14"/>
        <v/>
      </c>
      <c r="G103" s="21"/>
      <c r="H10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3" s="21"/>
      <c r="J10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3" s="21"/>
      <c r="L10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3" s="21"/>
      <c r="N103" s="31" t="str">
        <f>IFERROR(__xludf.DUMMYFUNCTION("indirect(""Dupe!N""&amp;row())&amp;if(regexmatch(indirect(""C""&amp;row()),""Widen""),""
Widened
Any numeric measurements of the spell’s area increase by 100%"","""")"),"")</f>
        <v/>
      </c>
      <c r="O103" s="21"/>
      <c r="P10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3" s="21"/>
      <c r="R103" s="31" t="str">
        <f t="shared" si="15"/>
        <v/>
      </c>
      <c r="S103" s="21"/>
      <c r="T103" s="31" t="str">
        <f t="shared" si="16"/>
        <v/>
      </c>
      <c r="U103" s="21"/>
      <c r="V10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3" s="9"/>
      <c r="X103" s="9"/>
      <c r="Y103" s="21"/>
      <c r="Z103" s="34"/>
    </row>
    <row r="104">
      <c r="B104" s="35"/>
      <c r="C104" s="35"/>
      <c r="D104" s="24" t="str">
        <f t="shared" si="13"/>
        <v/>
      </c>
      <c r="E104" s="16"/>
      <c r="F104" s="25" t="str">
        <f t="shared" si="14"/>
        <v/>
      </c>
      <c r="G104" s="16"/>
      <c r="H10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4" s="16"/>
      <c r="J10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4" s="16"/>
      <c r="L10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4" s="16"/>
      <c r="N104" s="25" t="str">
        <f>IFERROR(__xludf.DUMMYFUNCTION("indirect(""Dupe!N""&amp;row())&amp;if(regexmatch(indirect(""C""&amp;row()),""Widen""),""
Widened
Any numeric measurements of the spell’s area increase by 100%"","""")"),"")</f>
        <v/>
      </c>
      <c r="O104" s="16"/>
      <c r="P10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4" s="16"/>
      <c r="R104" s="25" t="str">
        <f t="shared" si="15"/>
        <v/>
      </c>
      <c r="S104" s="16"/>
      <c r="T104" s="25" t="str">
        <f t="shared" si="16"/>
        <v/>
      </c>
      <c r="U104" s="16"/>
      <c r="V10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4" s="3"/>
      <c r="X104" s="3"/>
      <c r="Y104" s="16"/>
      <c r="Z104" s="28"/>
    </row>
    <row r="105">
      <c r="B105" s="29"/>
      <c r="C105" s="29"/>
      <c r="D105" s="30" t="str">
        <f t="shared" si="13"/>
        <v/>
      </c>
      <c r="E105" s="21"/>
      <c r="F105" s="31" t="str">
        <f t="shared" si="14"/>
        <v/>
      </c>
      <c r="G105" s="21"/>
      <c r="H10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5" s="21"/>
      <c r="J10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5" s="21"/>
      <c r="L10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5" s="21"/>
      <c r="N105" s="31" t="str">
        <f>IFERROR(__xludf.DUMMYFUNCTION("indirect(""Dupe!N""&amp;row())&amp;if(regexmatch(indirect(""C""&amp;row()),""Widen""),""
Widened
Any numeric measurements of the spell’s area increase by 100%"","""")"),"")</f>
        <v/>
      </c>
      <c r="O105" s="21"/>
      <c r="P10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5" s="21"/>
      <c r="R105" s="31" t="str">
        <f t="shared" si="15"/>
        <v/>
      </c>
      <c r="S105" s="21"/>
      <c r="T105" s="31" t="str">
        <f t="shared" si="16"/>
        <v/>
      </c>
      <c r="U105" s="21"/>
      <c r="V10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5" s="9"/>
      <c r="X105" s="9"/>
      <c r="Y105" s="21"/>
      <c r="Z105" s="34"/>
    </row>
    <row r="106">
      <c r="B106" s="35"/>
      <c r="C106" s="35"/>
      <c r="D106" s="24" t="str">
        <f t="shared" si="13"/>
        <v/>
      </c>
      <c r="E106" s="16"/>
      <c r="F106" s="25" t="str">
        <f t="shared" si="14"/>
        <v/>
      </c>
      <c r="G106" s="16"/>
      <c r="H10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6" s="16"/>
      <c r="J10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6" s="16"/>
      <c r="L10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6" s="16"/>
      <c r="N106" s="25" t="str">
        <f>IFERROR(__xludf.DUMMYFUNCTION("indirect(""Dupe!N""&amp;row())&amp;if(regexmatch(indirect(""C""&amp;row()),""Widen""),""
Widened
Any numeric measurements of the spell’s area increase by 100%"","""")"),"")</f>
        <v/>
      </c>
      <c r="O106" s="16"/>
      <c r="P10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6" s="16"/>
      <c r="R106" s="25" t="str">
        <f t="shared" si="15"/>
        <v/>
      </c>
      <c r="S106" s="16"/>
      <c r="T106" s="25" t="str">
        <f t="shared" si="16"/>
        <v/>
      </c>
      <c r="U106" s="16"/>
      <c r="V10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6" s="3"/>
      <c r="X106" s="3"/>
      <c r="Y106" s="16"/>
      <c r="Z106" s="28"/>
    </row>
    <row r="107">
      <c r="B107" s="29"/>
      <c r="C107" s="29"/>
      <c r="D107" s="30" t="str">
        <f t="shared" si="13"/>
        <v/>
      </c>
      <c r="E107" s="21"/>
      <c r="F107" s="31" t="str">
        <f t="shared" si="14"/>
        <v/>
      </c>
      <c r="G107" s="21"/>
      <c r="H10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7" s="21"/>
      <c r="J10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7" s="21"/>
      <c r="L10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7" s="21"/>
      <c r="N107" s="31" t="str">
        <f>IFERROR(__xludf.DUMMYFUNCTION("indirect(""Dupe!N""&amp;row())&amp;if(regexmatch(indirect(""C""&amp;row()),""Widen""),""
Widened
Any numeric measurements of the spell’s area increase by 100%"","""")"),"")</f>
        <v/>
      </c>
      <c r="O107" s="21"/>
      <c r="P10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7" s="21"/>
      <c r="R107" s="31" t="str">
        <f t="shared" si="15"/>
        <v/>
      </c>
      <c r="S107" s="21"/>
      <c r="T107" s="31" t="str">
        <f t="shared" si="16"/>
        <v/>
      </c>
      <c r="U107" s="21"/>
      <c r="V10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7" s="9"/>
      <c r="X107" s="9"/>
      <c r="Y107" s="21"/>
      <c r="Z107" s="34"/>
    </row>
    <row r="108">
      <c r="B108" s="35"/>
      <c r="C108" s="35"/>
      <c r="D108" s="24" t="str">
        <f t="shared" si="13"/>
        <v/>
      </c>
      <c r="E108" s="16"/>
      <c r="F108" s="25" t="str">
        <f t="shared" si="14"/>
        <v/>
      </c>
      <c r="G108" s="16"/>
      <c r="H10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8" s="16"/>
      <c r="J10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8" s="16"/>
      <c r="L10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8" s="16"/>
      <c r="N108" s="25" t="str">
        <f>IFERROR(__xludf.DUMMYFUNCTION("indirect(""Dupe!N""&amp;row())&amp;if(regexmatch(indirect(""C""&amp;row()),""Widen""),""
Widened
Any numeric measurements of the spell’s area increase by 100%"","""")"),"")</f>
        <v/>
      </c>
      <c r="O108" s="16"/>
      <c r="P10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8" s="16"/>
      <c r="R108" s="25" t="str">
        <f t="shared" si="15"/>
        <v/>
      </c>
      <c r="S108" s="16"/>
      <c r="T108" s="25" t="str">
        <f t="shared" si="16"/>
        <v/>
      </c>
      <c r="U108" s="16"/>
      <c r="V10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8" s="3"/>
      <c r="X108" s="3"/>
      <c r="Y108" s="16"/>
      <c r="Z108" s="28"/>
    </row>
    <row r="110">
      <c r="B110" s="14" t="s">
        <v>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15" t="s">
        <v>13</v>
      </c>
      <c r="W110" s="3"/>
      <c r="X110" s="16"/>
      <c r="Y110" s="17" t="str">
        <f>SUM(Z112:Z132)&amp;"/"&amp;if(dget(base_spells,"4th",F2:F3),dget(base_spells,"4th",F2:F3)+dget(bonus_spells,"4th",H2:H3),0)</f>
        <v>0/5</v>
      </c>
      <c r="Z110" s="5"/>
    </row>
    <row r="111">
      <c r="B111" s="19" t="s">
        <v>14</v>
      </c>
      <c r="C111" s="19" t="s">
        <v>15</v>
      </c>
      <c r="D111" s="20" t="s">
        <v>16</v>
      </c>
      <c r="E111" s="21"/>
      <c r="F111" s="20" t="s">
        <v>17</v>
      </c>
      <c r="G111" s="21"/>
      <c r="H111" s="20" t="s">
        <v>18</v>
      </c>
      <c r="I111" s="21"/>
      <c r="J111" s="20" t="s">
        <v>19</v>
      </c>
      <c r="K111" s="21"/>
      <c r="L111" s="20" t="s">
        <v>20</v>
      </c>
      <c r="M111" s="21"/>
      <c r="N111" s="20" t="s">
        <v>21</v>
      </c>
      <c r="O111" s="21"/>
      <c r="P111" s="20" t="s">
        <v>22</v>
      </c>
      <c r="Q111" s="21"/>
      <c r="R111" s="20" t="s">
        <v>23</v>
      </c>
      <c r="S111" s="21"/>
      <c r="T111" s="20" t="s">
        <v>24</v>
      </c>
      <c r="U111" s="21"/>
      <c r="V111" s="20" t="s">
        <v>25</v>
      </c>
      <c r="W111" s="9"/>
      <c r="X111" s="9"/>
      <c r="Y111" s="21"/>
      <c r="Z111" s="19" t="s">
        <v>26</v>
      </c>
    </row>
    <row r="112">
      <c r="B112" s="23"/>
      <c r="C112" s="23"/>
      <c r="D112" s="24" t="str">
        <f t="shared" ref="D112:D132" si="17">indirect("Dupe!D"&amp;ROW())</f>
        <v/>
      </c>
      <c r="E112" s="16"/>
      <c r="F112" s="25" t="str">
        <f t="shared" ref="F112:F132" si="18">indirect("Dupe!F"&amp;ROW())</f>
        <v/>
      </c>
      <c r="G112" s="16"/>
      <c r="H11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2" s="16"/>
      <c r="J11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2" s="16"/>
      <c r="L11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2" s="16"/>
      <c r="N112" s="25" t="str">
        <f>IFERROR(__xludf.DUMMYFUNCTION("indirect(""Dupe!N""&amp;row())&amp;if(regexmatch(indirect(""C""&amp;row()),""Widen""),""
Widened
Any numeric measurements of the spell’s area increase by 100%"","""")"),"")</f>
        <v/>
      </c>
      <c r="O112" s="16"/>
      <c r="P11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2" s="16"/>
      <c r="R112" s="25" t="str">
        <f t="shared" ref="R112:R132" si="19">indirect("Dupe!R"&amp;row())</f>
        <v/>
      </c>
      <c r="S112" s="16"/>
      <c r="T112" s="25" t="str">
        <f t="shared" ref="T112:T132" si="20">indirect("Dupe!T"&amp;row())</f>
        <v/>
      </c>
      <c r="U112" s="16"/>
      <c r="V11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2" s="3"/>
      <c r="X112" s="3"/>
      <c r="Y112" s="16"/>
      <c r="Z112" s="28"/>
    </row>
    <row r="113">
      <c r="B113" s="29"/>
      <c r="C113" s="29"/>
      <c r="D113" s="30" t="str">
        <f t="shared" si="17"/>
        <v/>
      </c>
      <c r="E113" s="21"/>
      <c r="F113" s="31" t="str">
        <f t="shared" si="18"/>
        <v/>
      </c>
      <c r="G113" s="21"/>
      <c r="H11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3" s="21"/>
      <c r="J11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3" s="21"/>
      <c r="L11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3" s="21"/>
      <c r="N113" s="31" t="str">
        <f>IFERROR(__xludf.DUMMYFUNCTION("indirect(""Dupe!N""&amp;row())&amp;if(regexmatch(indirect(""C""&amp;row()),""Widen""),""
Widened
Any numeric measurements of the spell’s area increase by 100%"","""")"),"")</f>
        <v/>
      </c>
      <c r="O113" s="21"/>
      <c r="P11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3" s="21"/>
      <c r="R113" s="31" t="str">
        <f t="shared" si="19"/>
        <v/>
      </c>
      <c r="S113" s="21"/>
      <c r="T113" s="31" t="str">
        <f t="shared" si="20"/>
        <v/>
      </c>
      <c r="U113" s="21"/>
      <c r="V11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3" s="9"/>
      <c r="X113" s="9"/>
      <c r="Y113" s="21"/>
      <c r="Z113" s="34"/>
    </row>
    <row r="114">
      <c r="B114" s="35"/>
      <c r="C114" s="35"/>
      <c r="D114" s="24" t="str">
        <f t="shared" si="17"/>
        <v/>
      </c>
      <c r="E114" s="16"/>
      <c r="F114" s="25" t="str">
        <f t="shared" si="18"/>
        <v/>
      </c>
      <c r="G114" s="16"/>
      <c r="H11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4" s="16"/>
      <c r="J11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4" s="16"/>
      <c r="L11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4" s="16"/>
      <c r="N114" s="25" t="str">
        <f>IFERROR(__xludf.DUMMYFUNCTION("indirect(""Dupe!N""&amp;row())&amp;if(regexmatch(indirect(""C""&amp;row()),""Widen""),""
Widened
Any numeric measurements of the spell’s area increase by 100%"","""")"),"")</f>
        <v/>
      </c>
      <c r="O114" s="16"/>
      <c r="P11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4" s="16"/>
      <c r="R114" s="25" t="str">
        <f t="shared" si="19"/>
        <v/>
      </c>
      <c r="S114" s="16"/>
      <c r="T114" s="25" t="str">
        <f t="shared" si="20"/>
        <v/>
      </c>
      <c r="U114" s="16"/>
      <c r="V11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4" s="3"/>
      <c r="X114" s="3"/>
      <c r="Y114" s="16"/>
      <c r="Z114" s="28"/>
    </row>
    <row r="115">
      <c r="B115" s="37"/>
      <c r="C115" s="37"/>
      <c r="D115" s="30" t="str">
        <f t="shared" si="17"/>
        <v/>
      </c>
      <c r="E115" s="21"/>
      <c r="F115" s="31" t="str">
        <f t="shared" si="18"/>
        <v/>
      </c>
      <c r="G115" s="21"/>
      <c r="H11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5" s="21"/>
      <c r="J11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5" s="21"/>
      <c r="L11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5" s="21"/>
      <c r="N115" s="31" t="str">
        <f>IFERROR(__xludf.DUMMYFUNCTION("indirect(""Dupe!N""&amp;row())&amp;if(regexmatch(indirect(""C""&amp;row()),""Widen""),""
Widened
Any numeric measurements of the spell’s area increase by 100%"","""")"),"")</f>
        <v/>
      </c>
      <c r="O115" s="21"/>
      <c r="P11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5" s="21"/>
      <c r="R115" s="31" t="str">
        <f t="shared" si="19"/>
        <v/>
      </c>
      <c r="S115" s="21"/>
      <c r="T115" s="31" t="str">
        <f t="shared" si="20"/>
        <v/>
      </c>
      <c r="U115" s="21"/>
      <c r="V11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5" s="9"/>
      <c r="X115" s="9"/>
      <c r="Y115" s="21"/>
      <c r="Z115" s="34"/>
    </row>
    <row r="116">
      <c r="B116" s="35"/>
      <c r="C116" s="35"/>
      <c r="D116" s="24" t="str">
        <f t="shared" si="17"/>
        <v/>
      </c>
      <c r="E116" s="16"/>
      <c r="F116" s="25" t="str">
        <f t="shared" si="18"/>
        <v/>
      </c>
      <c r="G116" s="16"/>
      <c r="H11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6" s="16"/>
      <c r="J11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6" s="16"/>
      <c r="L11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6" s="16"/>
      <c r="N116" s="25" t="str">
        <f>IFERROR(__xludf.DUMMYFUNCTION("indirect(""Dupe!N""&amp;row())&amp;if(regexmatch(indirect(""C""&amp;row()),""Widen""),""
Widened
Any numeric measurements of the spell’s area increase by 100%"","""")"),"")</f>
        <v/>
      </c>
      <c r="O116" s="16"/>
      <c r="P11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6" s="16"/>
      <c r="R116" s="25" t="str">
        <f t="shared" si="19"/>
        <v/>
      </c>
      <c r="S116" s="16"/>
      <c r="T116" s="25" t="str">
        <f t="shared" si="20"/>
        <v/>
      </c>
      <c r="U116" s="16"/>
      <c r="V11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6" s="3"/>
      <c r="X116" s="3"/>
      <c r="Y116" s="16"/>
      <c r="Z116" s="28"/>
    </row>
    <row r="117">
      <c r="B117" s="37"/>
      <c r="C117" s="37"/>
      <c r="D117" s="30" t="str">
        <f t="shared" si="17"/>
        <v/>
      </c>
      <c r="E117" s="21"/>
      <c r="F117" s="31" t="str">
        <f t="shared" si="18"/>
        <v/>
      </c>
      <c r="G117" s="21"/>
      <c r="H11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7" s="21"/>
      <c r="J11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7" s="21"/>
      <c r="L11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7" s="21"/>
      <c r="N117" s="31" t="str">
        <f>IFERROR(__xludf.DUMMYFUNCTION("indirect(""Dupe!N""&amp;row())&amp;if(regexmatch(indirect(""C""&amp;row()),""Widen""),""
Widened
Any numeric measurements of the spell’s area increase by 100%"","""")"),"")</f>
        <v/>
      </c>
      <c r="O117" s="21"/>
      <c r="P11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7" s="21"/>
      <c r="R117" s="31" t="str">
        <f t="shared" si="19"/>
        <v/>
      </c>
      <c r="S117" s="21"/>
      <c r="T117" s="31" t="str">
        <f t="shared" si="20"/>
        <v/>
      </c>
      <c r="U117" s="21"/>
      <c r="V11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7" s="9"/>
      <c r="X117" s="9"/>
      <c r="Y117" s="21"/>
      <c r="Z117" s="34"/>
    </row>
    <row r="118">
      <c r="B118" s="35"/>
      <c r="C118" s="35"/>
      <c r="D118" s="24" t="str">
        <f t="shared" si="17"/>
        <v/>
      </c>
      <c r="E118" s="16"/>
      <c r="F118" s="25" t="str">
        <f t="shared" si="18"/>
        <v/>
      </c>
      <c r="G118" s="16"/>
      <c r="H11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8" s="16"/>
      <c r="J11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8" s="16"/>
      <c r="L11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8" s="16"/>
      <c r="N118" s="25" t="str">
        <f>IFERROR(__xludf.DUMMYFUNCTION("indirect(""Dupe!N""&amp;row())&amp;if(regexmatch(indirect(""C""&amp;row()),""Widen""),""
Widened
Any numeric measurements of the spell’s area increase by 100%"","""")"),"")</f>
        <v/>
      </c>
      <c r="O118" s="16"/>
      <c r="P11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8" s="16"/>
      <c r="R118" s="25" t="str">
        <f t="shared" si="19"/>
        <v/>
      </c>
      <c r="S118" s="16"/>
      <c r="T118" s="25" t="str">
        <f t="shared" si="20"/>
        <v/>
      </c>
      <c r="U118" s="16"/>
      <c r="V11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8" s="3"/>
      <c r="X118" s="3"/>
      <c r="Y118" s="16"/>
      <c r="Z118" s="28"/>
    </row>
    <row r="119">
      <c r="B119" s="37"/>
      <c r="C119" s="37"/>
      <c r="D119" s="30" t="str">
        <f t="shared" si="17"/>
        <v/>
      </c>
      <c r="E119" s="21"/>
      <c r="F119" s="31" t="str">
        <f t="shared" si="18"/>
        <v/>
      </c>
      <c r="G119" s="21"/>
      <c r="H11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9" s="21"/>
      <c r="J11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9" s="21"/>
      <c r="L11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9" s="21"/>
      <c r="N119" s="31" t="str">
        <f>IFERROR(__xludf.DUMMYFUNCTION("indirect(""Dupe!N""&amp;row())&amp;if(regexmatch(indirect(""C""&amp;row()),""Widen""),""
Widened
Any numeric measurements of the spell’s area increase by 100%"","""")"),"")</f>
        <v/>
      </c>
      <c r="O119" s="21"/>
      <c r="P11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9" s="21"/>
      <c r="R119" s="31" t="str">
        <f t="shared" si="19"/>
        <v/>
      </c>
      <c r="S119" s="21"/>
      <c r="T119" s="31" t="str">
        <f t="shared" si="20"/>
        <v/>
      </c>
      <c r="U119" s="21"/>
      <c r="V11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9" s="9"/>
      <c r="X119" s="9"/>
      <c r="Y119" s="21"/>
      <c r="Z119" s="34"/>
    </row>
    <row r="120">
      <c r="B120" s="35"/>
      <c r="C120" s="35"/>
      <c r="D120" s="24" t="str">
        <f t="shared" si="17"/>
        <v/>
      </c>
      <c r="E120" s="16"/>
      <c r="F120" s="25" t="str">
        <f t="shared" si="18"/>
        <v/>
      </c>
      <c r="G120" s="16"/>
      <c r="H12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0" s="16"/>
      <c r="J12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0" s="16"/>
      <c r="L12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0" s="16"/>
      <c r="N120" s="25" t="str">
        <f>IFERROR(__xludf.DUMMYFUNCTION("indirect(""Dupe!N""&amp;row())&amp;if(regexmatch(indirect(""C""&amp;row()),""Widen""),""
Widened
Any numeric measurements of the spell’s area increase by 100%"","""")"),"")</f>
        <v/>
      </c>
      <c r="O120" s="16"/>
      <c r="P12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0" s="16"/>
      <c r="R120" s="25" t="str">
        <f t="shared" si="19"/>
        <v/>
      </c>
      <c r="S120" s="16"/>
      <c r="T120" s="25" t="str">
        <f t="shared" si="20"/>
        <v/>
      </c>
      <c r="U120" s="16"/>
      <c r="V12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0" s="3"/>
      <c r="X120" s="3"/>
      <c r="Y120" s="16"/>
      <c r="Z120" s="28"/>
    </row>
    <row r="121">
      <c r="B121" s="29"/>
      <c r="C121" s="29"/>
      <c r="D121" s="30" t="str">
        <f t="shared" si="17"/>
        <v/>
      </c>
      <c r="E121" s="21"/>
      <c r="F121" s="31" t="str">
        <f t="shared" si="18"/>
        <v/>
      </c>
      <c r="G121" s="21"/>
      <c r="H12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1" s="21"/>
      <c r="J12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1" s="21"/>
      <c r="L12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1" s="21"/>
      <c r="N121" s="31" t="str">
        <f>IFERROR(__xludf.DUMMYFUNCTION("indirect(""Dupe!N""&amp;row())&amp;if(regexmatch(indirect(""C""&amp;row()),""Widen""),""
Widened
Any numeric measurements of the spell’s area increase by 100%"","""")"),"")</f>
        <v/>
      </c>
      <c r="O121" s="21"/>
      <c r="P12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1" s="21"/>
      <c r="R121" s="31" t="str">
        <f t="shared" si="19"/>
        <v/>
      </c>
      <c r="S121" s="21"/>
      <c r="T121" s="31" t="str">
        <f t="shared" si="20"/>
        <v/>
      </c>
      <c r="U121" s="21"/>
      <c r="V12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1" s="9"/>
      <c r="X121" s="9"/>
      <c r="Y121" s="21"/>
      <c r="Z121" s="34"/>
    </row>
    <row r="122">
      <c r="B122" s="35"/>
      <c r="C122" s="35"/>
      <c r="D122" s="24" t="str">
        <f t="shared" si="17"/>
        <v/>
      </c>
      <c r="E122" s="16"/>
      <c r="F122" s="25" t="str">
        <f t="shared" si="18"/>
        <v/>
      </c>
      <c r="G122" s="16"/>
      <c r="H12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2" s="16"/>
      <c r="J12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2" s="16"/>
      <c r="L12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2" s="16"/>
      <c r="N122" s="25" t="str">
        <f>IFERROR(__xludf.DUMMYFUNCTION("indirect(""Dupe!N""&amp;row())&amp;if(regexmatch(indirect(""C""&amp;row()),""Widen""),""
Widened
Any numeric measurements of the spell’s area increase by 100%"","""")"),"")</f>
        <v/>
      </c>
      <c r="O122" s="16"/>
      <c r="P12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2" s="16"/>
      <c r="R122" s="25" t="str">
        <f t="shared" si="19"/>
        <v/>
      </c>
      <c r="S122" s="16"/>
      <c r="T122" s="25" t="str">
        <f t="shared" si="20"/>
        <v/>
      </c>
      <c r="U122" s="16"/>
      <c r="V12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2" s="3"/>
      <c r="X122" s="3"/>
      <c r="Y122" s="16"/>
      <c r="Z122" s="28"/>
    </row>
    <row r="123">
      <c r="B123" s="29"/>
      <c r="C123" s="29"/>
      <c r="D123" s="30" t="str">
        <f t="shared" si="17"/>
        <v/>
      </c>
      <c r="E123" s="21"/>
      <c r="F123" s="31" t="str">
        <f t="shared" si="18"/>
        <v/>
      </c>
      <c r="G123" s="21"/>
      <c r="H12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3" s="21"/>
      <c r="J12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3" s="21"/>
      <c r="L12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3" s="21"/>
      <c r="N123" s="31" t="str">
        <f>IFERROR(__xludf.DUMMYFUNCTION("indirect(""Dupe!N""&amp;row())&amp;if(regexmatch(indirect(""C""&amp;row()),""Widen""),""
Widened
Any numeric measurements of the spell’s area increase by 100%"","""")"),"")</f>
        <v/>
      </c>
      <c r="O123" s="21"/>
      <c r="P12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3" s="21"/>
      <c r="R123" s="31" t="str">
        <f t="shared" si="19"/>
        <v/>
      </c>
      <c r="S123" s="21"/>
      <c r="T123" s="31" t="str">
        <f t="shared" si="20"/>
        <v/>
      </c>
      <c r="U123" s="21"/>
      <c r="V12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3" s="9"/>
      <c r="X123" s="9"/>
      <c r="Y123" s="21"/>
      <c r="Z123" s="34"/>
    </row>
    <row r="124">
      <c r="B124" s="41"/>
      <c r="C124" s="41"/>
      <c r="D124" s="24" t="str">
        <f t="shared" si="17"/>
        <v/>
      </c>
      <c r="E124" s="16"/>
      <c r="F124" s="25" t="str">
        <f t="shared" si="18"/>
        <v/>
      </c>
      <c r="G124" s="16"/>
      <c r="H12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4" s="16"/>
      <c r="J12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4" s="16"/>
      <c r="L12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4" s="16"/>
      <c r="N124" s="25" t="str">
        <f>IFERROR(__xludf.DUMMYFUNCTION("indirect(""Dupe!N""&amp;row())&amp;if(regexmatch(indirect(""C""&amp;row()),""Widen""),""
Widened
Any numeric measurements of the spell’s area increase by 100%"","""")"),"")</f>
        <v/>
      </c>
      <c r="O124" s="16"/>
      <c r="P12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4" s="16"/>
      <c r="R124" s="25" t="str">
        <f t="shared" si="19"/>
        <v/>
      </c>
      <c r="S124" s="16"/>
      <c r="T124" s="25" t="str">
        <f t="shared" si="20"/>
        <v/>
      </c>
      <c r="U124" s="16"/>
      <c r="V12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4" s="3"/>
      <c r="X124" s="3"/>
      <c r="Y124" s="16"/>
      <c r="Z124" s="28"/>
    </row>
    <row r="125">
      <c r="B125" s="37"/>
      <c r="C125" s="37"/>
      <c r="D125" s="30" t="str">
        <f t="shared" si="17"/>
        <v/>
      </c>
      <c r="E125" s="21"/>
      <c r="F125" s="31" t="str">
        <f t="shared" si="18"/>
        <v/>
      </c>
      <c r="G125" s="21"/>
      <c r="H12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5" s="21"/>
      <c r="J12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5" s="21"/>
      <c r="L12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5" s="21"/>
      <c r="N125" s="31" t="str">
        <f>IFERROR(__xludf.DUMMYFUNCTION("indirect(""Dupe!N""&amp;row())&amp;if(regexmatch(indirect(""C""&amp;row()),""Widen""),""
Widened
Any numeric measurements of the spell’s area increase by 100%"","""")"),"")</f>
        <v/>
      </c>
      <c r="O125" s="21"/>
      <c r="P12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5" s="21"/>
      <c r="R125" s="31" t="str">
        <f t="shared" si="19"/>
        <v/>
      </c>
      <c r="S125" s="21"/>
      <c r="T125" s="31" t="str">
        <f t="shared" si="20"/>
        <v/>
      </c>
      <c r="U125" s="21"/>
      <c r="V12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5" s="9"/>
      <c r="X125" s="9"/>
      <c r="Y125" s="21"/>
      <c r="Z125" s="34"/>
    </row>
    <row r="126">
      <c r="B126" s="35"/>
      <c r="C126" s="35"/>
      <c r="D126" s="24" t="str">
        <f t="shared" si="17"/>
        <v/>
      </c>
      <c r="E126" s="16"/>
      <c r="F126" s="25" t="str">
        <f t="shared" si="18"/>
        <v/>
      </c>
      <c r="G126" s="16"/>
      <c r="H12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6" s="16"/>
      <c r="J12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6" s="16"/>
      <c r="L12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6" s="16"/>
      <c r="N126" s="25" t="str">
        <f>IFERROR(__xludf.DUMMYFUNCTION("indirect(""Dupe!N""&amp;row())&amp;if(regexmatch(indirect(""C""&amp;row()),""Widen""),""
Widened
Any numeric measurements of the spell’s area increase by 100%"","""")"),"")</f>
        <v/>
      </c>
      <c r="O126" s="16"/>
      <c r="P12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6" s="16"/>
      <c r="R126" s="25" t="str">
        <f t="shared" si="19"/>
        <v/>
      </c>
      <c r="S126" s="16"/>
      <c r="T126" s="25" t="str">
        <f t="shared" si="20"/>
        <v/>
      </c>
      <c r="U126" s="16"/>
      <c r="V12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6" s="3"/>
      <c r="X126" s="3"/>
      <c r="Y126" s="16"/>
      <c r="Z126" s="28"/>
    </row>
    <row r="127">
      <c r="B127" s="37"/>
      <c r="C127" s="37"/>
      <c r="D127" s="30" t="str">
        <f t="shared" si="17"/>
        <v/>
      </c>
      <c r="E127" s="21"/>
      <c r="F127" s="31" t="str">
        <f t="shared" si="18"/>
        <v/>
      </c>
      <c r="G127" s="21"/>
      <c r="H12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7" s="21"/>
      <c r="J12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7" s="21"/>
      <c r="L12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7" s="21"/>
      <c r="N127" s="31" t="str">
        <f>IFERROR(__xludf.DUMMYFUNCTION("indirect(""Dupe!N""&amp;row())&amp;if(regexmatch(indirect(""C""&amp;row()),""Widen""),""
Widened
Any numeric measurements of the spell’s area increase by 100%"","""")"),"")</f>
        <v/>
      </c>
      <c r="O127" s="21"/>
      <c r="P12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7" s="21"/>
      <c r="R127" s="31" t="str">
        <f t="shared" si="19"/>
        <v/>
      </c>
      <c r="S127" s="21"/>
      <c r="T127" s="31" t="str">
        <f t="shared" si="20"/>
        <v/>
      </c>
      <c r="U127" s="21"/>
      <c r="V12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7" s="9"/>
      <c r="X127" s="9"/>
      <c r="Y127" s="21"/>
      <c r="Z127" s="34"/>
    </row>
    <row r="128">
      <c r="B128" s="35"/>
      <c r="C128" s="35"/>
      <c r="D128" s="24" t="str">
        <f t="shared" si="17"/>
        <v/>
      </c>
      <c r="E128" s="16"/>
      <c r="F128" s="25" t="str">
        <f t="shared" si="18"/>
        <v/>
      </c>
      <c r="G128" s="16"/>
      <c r="H12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8" s="16"/>
      <c r="J12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8" s="16"/>
      <c r="L12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8" s="16"/>
      <c r="N128" s="25" t="str">
        <f>IFERROR(__xludf.DUMMYFUNCTION("indirect(""Dupe!N""&amp;row())&amp;if(regexmatch(indirect(""C""&amp;row()),""Widen""),""
Widened
Any numeric measurements of the spell’s area increase by 100%"","""")"),"")</f>
        <v/>
      </c>
      <c r="O128" s="16"/>
      <c r="P12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8" s="16"/>
      <c r="R128" s="25" t="str">
        <f t="shared" si="19"/>
        <v/>
      </c>
      <c r="S128" s="16"/>
      <c r="T128" s="25" t="str">
        <f t="shared" si="20"/>
        <v/>
      </c>
      <c r="U128" s="16"/>
      <c r="V12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8" s="3"/>
      <c r="X128" s="3"/>
      <c r="Y128" s="16"/>
      <c r="Z128" s="28"/>
    </row>
    <row r="129">
      <c r="B129" s="29"/>
      <c r="C129" s="29"/>
      <c r="D129" s="30" t="str">
        <f t="shared" si="17"/>
        <v/>
      </c>
      <c r="E129" s="21"/>
      <c r="F129" s="31" t="str">
        <f t="shared" si="18"/>
        <v/>
      </c>
      <c r="G129" s="21"/>
      <c r="H12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9" s="21"/>
      <c r="J12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9" s="21"/>
      <c r="L12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9" s="21"/>
      <c r="N129" s="31" t="str">
        <f>IFERROR(__xludf.DUMMYFUNCTION("indirect(""Dupe!N""&amp;row())&amp;if(regexmatch(indirect(""C""&amp;row()),""Widen""),""
Widened
Any numeric measurements of the spell’s area increase by 100%"","""")"),"")</f>
        <v/>
      </c>
      <c r="O129" s="21"/>
      <c r="P12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9" s="21"/>
      <c r="R129" s="31" t="str">
        <f t="shared" si="19"/>
        <v/>
      </c>
      <c r="S129" s="21"/>
      <c r="T129" s="31" t="str">
        <f t="shared" si="20"/>
        <v/>
      </c>
      <c r="U129" s="21"/>
      <c r="V12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9" s="9"/>
      <c r="X129" s="9"/>
      <c r="Y129" s="21"/>
      <c r="Z129" s="34"/>
    </row>
    <row r="130">
      <c r="B130" s="35"/>
      <c r="C130" s="35"/>
      <c r="D130" s="24" t="str">
        <f t="shared" si="17"/>
        <v/>
      </c>
      <c r="E130" s="16"/>
      <c r="F130" s="25" t="str">
        <f t="shared" si="18"/>
        <v/>
      </c>
      <c r="G130" s="16"/>
      <c r="H13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0" s="16"/>
      <c r="J13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0" s="16"/>
      <c r="L13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0" s="16"/>
      <c r="N130" s="25" t="str">
        <f>IFERROR(__xludf.DUMMYFUNCTION("indirect(""Dupe!N""&amp;row())&amp;if(regexmatch(indirect(""C""&amp;row()),""Widen""),""
Widened
Any numeric measurements of the spell’s area increase by 100%"","""")"),"")</f>
        <v/>
      </c>
      <c r="O130" s="16"/>
      <c r="P13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0" s="16"/>
      <c r="R130" s="25" t="str">
        <f t="shared" si="19"/>
        <v/>
      </c>
      <c r="S130" s="16"/>
      <c r="T130" s="25" t="str">
        <f t="shared" si="20"/>
        <v/>
      </c>
      <c r="U130" s="16"/>
      <c r="V13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0" s="3"/>
      <c r="X130" s="3"/>
      <c r="Y130" s="16"/>
      <c r="Z130" s="28"/>
    </row>
    <row r="131">
      <c r="B131" s="29"/>
      <c r="C131" s="29"/>
      <c r="D131" s="30" t="str">
        <f t="shared" si="17"/>
        <v/>
      </c>
      <c r="E131" s="21"/>
      <c r="F131" s="31" t="str">
        <f t="shared" si="18"/>
        <v/>
      </c>
      <c r="G131" s="21"/>
      <c r="H13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1" s="21"/>
      <c r="J13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1" s="21"/>
      <c r="L13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1" s="21"/>
      <c r="N131" s="31" t="str">
        <f>IFERROR(__xludf.DUMMYFUNCTION("indirect(""Dupe!N""&amp;row())&amp;if(regexmatch(indirect(""C""&amp;row()),""Widen""),""
Widened
Any numeric measurements of the spell’s area increase by 100%"","""")"),"")</f>
        <v/>
      </c>
      <c r="O131" s="21"/>
      <c r="P13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1" s="21"/>
      <c r="R131" s="31" t="str">
        <f t="shared" si="19"/>
        <v/>
      </c>
      <c r="S131" s="21"/>
      <c r="T131" s="31" t="str">
        <f t="shared" si="20"/>
        <v/>
      </c>
      <c r="U131" s="21"/>
      <c r="V13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1" s="9"/>
      <c r="X131" s="9"/>
      <c r="Y131" s="21"/>
      <c r="Z131" s="34"/>
    </row>
    <row r="132">
      <c r="B132" s="35"/>
      <c r="C132" s="35"/>
      <c r="D132" s="24" t="str">
        <f t="shared" si="17"/>
        <v/>
      </c>
      <c r="E132" s="16"/>
      <c r="F132" s="25" t="str">
        <f t="shared" si="18"/>
        <v/>
      </c>
      <c r="G132" s="16"/>
      <c r="H13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2" s="16"/>
      <c r="J13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2" s="16"/>
      <c r="L13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2" s="16"/>
      <c r="N132" s="25" t="str">
        <f>IFERROR(__xludf.DUMMYFUNCTION("indirect(""Dupe!N""&amp;row())&amp;if(regexmatch(indirect(""C""&amp;row()),""Widen""),""
Widened
Any numeric measurements of the spell’s area increase by 100%"","""")"),"")</f>
        <v/>
      </c>
      <c r="O132" s="16"/>
      <c r="P13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2" s="16"/>
      <c r="R132" s="25" t="str">
        <f t="shared" si="19"/>
        <v/>
      </c>
      <c r="S132" s="16"/>
      <c r="T132" s="25" t="str">
        <f t="shared" si="20"/>
        <v/>
      </c>
      <c r="U132" s="16"/>
      <c r="V13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2" s="3"/>
      <c r="X132" s="3"/>
      <c r="Y132" s="16"/>
      <c r="Z132" s="28"/>
    </row>
    <row r="134">
      <c r="B134" s="14" t="s">
        <v>8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15" t="s">
        <v>13</v>
      </c>
      <c r="W134" s="3"/>
      <c r="X134" s="16"/>
      <c r="Y134" s="17" t="str">
        <f>SUM(Z136:Z156)&amp;"/"&amp;if(dget(base_spells,"5th",F2:F3),dget(base_spells,"5th",F2:F3)+dget(bonus_spells,"5th",H2:H3),0)</f>
        <v>0/4</v>
      </c>
      <c r="Z134" s="5"/>
    </row>
    <row r="135">
      <c r="B135" s="19" t="s">
        <v>14</v>
      </c>
      <c r="C135" s="19" t="s">
        <v>15</v>
      </c>
      <c r="D135" s="20" t="s">
        <v>16</v>
      </c>
      <c r="E135" s="21"/>
      <c r="F135" s="20" t="s">
        <v>17</v>
      </c>
      <c r="G135" s="21"/>
      <c r="H135" s="20" t="s">
        <v>18</v>
      </c>
      <c r="I135" s="21"/>
      <c r="J135" s="20" t="s">
        <v>19</v>
      </c>
      <c r="K135" s="21"/>
      <c r="L135" s="20" t="s">
        <v>20</v>
      </c>
      <c r="M135" s="21"/>
      <c r="N135" s="20" t="s">
        <v>21</v>
      </c>
      <c r="O135" s="21"/>
      <c r="P135" s="20" t="s">
        <v>22</v>
      </c>
      <c r="Q135" s="21"/>
      <c r="R135" s="20" t="s">
        <v>23</v>
      </c>
      <c r="S135" s="21"/>
      <c r="T135" s="20" t="s">
        <v>24</v>
      </c>
      <c r="U135" s="21"/>
      <c r="V135" s="20" t="s">
        <v>25</v>
      </c>
      <c r="W135" s="9"/>
      <c r="X135" s="9"/>
      <c r="Y135" s="21"/>
      <c r="Z135" s="19" t="s">
        <v>26</v>
      </c>
    </row>
    <row r="136">
      <c r="B136" s="23"/>
      <c r="C136" s="23"/>
      <c r="D136" s="24" t="str">
        <f t="shared" ref="D136:D156" si="21">indirect("Dupe!D"&amp;ROW())</f>
        <v/>
      </c>
      <c r="E136" s="16"/>
      <c r="F136" s="25" t="str">
        <f t="shared" ref="F136:F156" si="22">indirect("Dupe!F"&amp;ROW())</f>
        <v/>
      </c>
      <c r="G136" s="16"/>
      <c r="H13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6" s="16"/>
      <c r="J13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6" s="16"/>
      <c r="L13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6" s="16"/>
      <c r="N136" s="25" t="str">
        <f>IFERROR(__xludf.DUMMYFUNCTION("indirect(""Dupe!N""&amp;row())&amp;if(regexmatch(indirect(""C""&amp;row()),""Widen""),""
Widened
Any numeric measurements of the spell’s area increase by 100%"","""")"),"")</f>
        <v/>
      </c>
      <c r="O136" s="16"/>
      <c r="P13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6" s="16"/>
      <c r="R136" s="25" t="str">
        <f t="shared" ref="R136:R156" si="23">indirect("Dupe!R"&amp;row())</f>
        <v/>
      </c>
      <c r="S136" s="16"/>
      <c r="T136" s="25" t="str">
        <f t="shared" ref="T136:T156" si="24">indirect("Dupe!T"&amp;row())</f>
        <v/>
      </c>
      <c r="U136" s="16"/>
      <c r="V13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6" s="3"/>
      <c r="X136" s="3"/>
      <c r="Y136" s="16"/>
      <c r="Z136" s="28"/>
    </row>
    <row r="137">
      <c r="B137" s="29"/>
      <c r="C137" s="29"/>
      <c r="D137" s="30" t="str">
        <f t="shared" si="21"/>
        <v/>
      </c>
      <c r="E137" s="21"/>
      <c r="F137" s="31" t="str">
        <f t="shared" si="22"/>
        <v/>
      </c>
      <c r="G137" s="21"/>
      <c r="H13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7" s="21"/>
      <c r="J13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7" s="21"/>
      <c r="L13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7" s="21"/>
      <c r="N137" s="31" t="str">
        <f>IFERROR(__xludf.DUMMYFUNCTION("indirect(""Dupe!N""&amp;row())&amp;if(regexmatch(indirect(""C""&amp;row()),""Widen""),""
Widened
Any numeric measurements of the spell’s area increase by 100%"","""")"),"")</f>
        <v/>
      </c>
      <c r="O137" s="21"/>
      <c r="P13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7" s="21"/>
      <c r="R137" s="31" t="str">
        <f t="shared" si="23"/>
        <v/>
      </c>
      <c r="S137" s="21"/>
      <c r="T137" s="31" t="str">
        <f t="shared" si="24"/>
        <v/>
      </c>
      <c r="U137" s="21"/>
      <c r="V13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7" s="9"/>
      <c r="X137" s="9"/>
      <c r="Y137" s="21"/>
      <c r="Z137" s="34"/>
    </row>
    <row r="138">
      <c r="B138" s="35"/>
      <c r="C138" s="35"/>
      <c r="D138" s="24" t="str">
        <f t="shared" si="21"/>
        <v/>
      </c>
      <c r="E138" s="16"/>
      <c r="F138" s="25" t="str">
        <f t="shared" si="22"/>
        <v/>
      </c>
      <c r="G138" s="16"/>
      <c r="H13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8" s="16"/>
      <c r="J13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8" s="16"/>
      <c r="L13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8" s="16"/>
      <c r="N138" s="25" t="str">
        <f>IFERROR(__xludf.DUMMYFUNCTION("indirect(""Dupe!N""&amp;row())&amp;if(regexmatch(indirect(""C""&amp;row()),""Widen""),""
Widened
Any numeric measurements of the spell’s area increase by 100%"","""")"),"")</f>
        <v/>
      </c>
      <c r="O138" s="16"/>
      <c r="P13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8" s="16"/>
      <c r="R138" s="25" t="str">
        <f t="shared" si="23"/>
        <v/>
      </c>
      <c r="S138" s="16"/>
      <c r="T138" s="25" t="str">
        <f t="shared" si="24"/>
        <v/>
      </c>
      <c r="U138" s="16"/>
      <c r="V13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8" s="3"/>
      <c r="X138" s="3"/>
      <c r="Y138" s="16"/>
      <c r="Z138" s="28"/>
    </row>
    <row r="139">
      <c r="B139" s="37"/>
      <c r="C139" s="37"/>
      <c r="D139" s="30" t="str">
        <f t="shared" si="21"/>
        <v/>
      </c>
      <c r="E139" s="21"/>
      <c r="F139" s="31" t="str">
        <f t="shared" si="22"/>
        <v/>
      </c>
      <c r="G139" s="21"/>
      <c r="H13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9" s="21"/>
      <c r="J13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9" s="21"/>
      <c r="L13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9" s="21"/>
      <c r="N139" s="31" t="str">
        <f>IFERROR(__xludf.DUMMYFUNCTION("indirect(""Dupe!N""&amp;row())&amp;if(regexmatch(indirect(""C""&amp;row()),""Widen""),""
Widened
Any numeric measurements of the spell’s area increase by 100%"","""")"),"")</f>
        <v/>
      </c>
      <c r="O139" s="21"/>
      <c r="P13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9" s="21"/>
      <c r="R139" s="31" t="str">
        <f t="shared" si="23"/>
        <v/>
      </c>
      <c r="S139" s="21"/>
      <c r="T139" s="31" t="str">
        <f t="shared" si="24"/>
        <v/>
      </c>
      <c r="U139" s="21"/>
      <c r="V13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9" s="9"/>
      <c r="X139" s="9"/>
      <c r="Y139" s="21"/>
      <c r="Z139" s="34"/>
    </row>
    <row r="140">
      <c r="B140" s="35"/>
      <c r="C140" s="35"/>
      <c r="D140" s="24" t="str">
        <f t="shared" si="21"/>
        <v/>
      </c>
      <c r="E140" s="16"/>
      <c r="F140" s="25" t="str">
        <f t="shared" si="22"/>
        <v/>
      </c>
      <c r="G140" s="16"/>
      <c r="H14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0" s="16"/>
      <c r="J14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0" s="16"/>
      <c r="L14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0" s="16"/>
      <c r="N140" s="25" t="str">
        <f>IFERROR(__xludf.DUMMYFUNCTION("indirect(""Dupe!N""&amp;row())&amp;if(regexmatch(indirect(""C""&amp;row()),""Widen""),""
Widened
Any numeric measurements of the spell’s area increase by 100%"","""")"),"")</f>
        <v/>
      </c>
      <c r="O140" s="16"/>
      <c r="P14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0" s="16"/>
      <c r="R140" s="25" t="str">
        <f t="shared" si="23"/>
        <v/>
      </c>
      <c r="S140" s="16"/>
      <c r="T140" s="25" t="str">
        <f t="shared" si="24"/>
        <v/>
      </c>
      <c r="U140" s="16"/>
      <c r="V14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0" s="3"/>
      <c r="X140" s="3"/>
      <c r="Y140" s="16"/>
      <c r="Z140" s="28"/>
    </row>
    <row r="141">
      <c r="B141" s="37"/>
      <c r="C141" s="37"/>
      <c r="D141" s="30" t="str">
        <f t="shared" si="21"/>
        <v/>
      </c>
      <c r="E141" s="21"/>
      <c r="F141" s="31" t="str">
        <f t="shared" si="22"/>
        <v/>
      </c>
      <c r="G141" s="21"/>
      <c r="H14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1" s="21"/>
      <c r="J14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1" s="21"/>
      <c r="L14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1" s="21"/>
      <c r="N141" s="31" t="str">
        <f>IFERROR(__xludf.DUMMYFUNCTION("indirect(""Dupe!N""&amp;row())&amp;if(regexmatch(indirect(""C""&amp;row()),""Widen""),""
Widened
Any numeric measurements of the spell’s area increase by 100%"","""")"),"")</f>
        <v/>
      </c>
      <c r="O141" s="21"/>
      <c r="P14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1" s="21"/>
      <c r="R141" s="31" t="str">
        <f t="shared" si="23"/>
        <v/>
      </c>
      <c r="S141" s="21"/>
      <c r="T141" s="31" t="str">
        <f t="shared" si="24"/>
        <v/>
      </c>
      <c r="U141" s="21"/>
      <c r="V14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1" s="9"/>
      <c r="X141" s="9"/>
      <c r="Y141" s="21"/>
      <c r="Z141" s="34"/>
    </row>
    <row r="142">
      <c r="B142" s="35"/>
      <c r="C142" s="35"/>
      <c r="D142" s="24" t="str">
        <f t="shared" si="21"/>
        <v/>
      </c>
      <c r="E142" s="16"/>
      <c r="F142" s="25" t="str">
        <f t="shared" si="22"/>
        <v/>
      </c>
      <c r="G142" s="16"/>
      <c r="H14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2" s="16"/>
      <c r="J14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2" s="16"/>
      <c r="L14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2" s="16"/>
      <c r="N142" s="25" t="str">
        <f>IFERROR(__xludf.DUMMYFUNCTION("indirect(""Dupe!N""&amp;row())&amp;if(regexmatch(indirect(""C""&amp;row()),""Widen""),""
Widened
Any numeric measurements of the spell’s area increase by 100%"","""")"),"")</f>
        <v/>
      </c>
      <c r="O142" s="16"/>
      <c r="P14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2" s="16"/>
      <c r="R142" s="25" t="str">
        <f t="shared" si="23"/>
        <v/>
      </c>
      <c r="S142" s="16"/>
      <c r="T142" s="25" t="str">
        <f t="shared" si="24"/>
        <v/>
      </c>
      <c r="U142" s="16"/>
      <c r="V14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2" s="3"/>
      <c r="X142" s="3"/>
      <c r="Y142" s="16"/>
      <c r="Z142" s="28"/>
    </row>
    <row r="143">
      <c r="B143" s="37"/>
      <c r="C143" s="37"/>
      <c r="D143" s="30" t="str">
        <f t="shared" si="21"/>
        <v/>
      </c>
      <c r="E143" s="21"/>
      <c r="F143" s="31" t="str">
        <f t="shared" si="22"/>
        <v/>
      </c>
      <c r="G143" s="21"/>
      <c r="H14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3" s="21"/>
      <c r="J14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3" s="21"/>
      <c r="L14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3" s="21"/>
      <c r="N143" s="31" t="str">
        <f>IFERROR(__xludf.DUMMYFUNCTION("indirect(""Dupe!N""&amp;row())&amp;if(regexmatch(indirect(""C""&amp;row()),""Widen""),""
Widened
Any numeric measurements of the spell’s area increase by 100%"","""")"),"")</f>
        <v/>
      </c>
      <c r="O143" s="21"/>
      <c r="P14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3" s="21"/>
      <c r="R143" s="31" t="str">
        <f t="shared" si="23"/>
        <v/>
      </c>
      <c r="S143" s="21"/>
      <c r="T143" s="31" t="str">
        <f t="shared" si="24"/>
        <v/>
      </c>
      <c r="U143" s="21"/>
      <c r="V14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3" s="9"/>
      <c r="X143" s="9"/>
      <c r="Y143" s="21"/>
      <c r="Z143" s="34"/>
    </row>
    <row r="144">
      <c r="B144" s="35"/>
      <c r="C144" s="35"/>
      <c r="D144" s="24" t="str">
        <f t="shared" si="21"/>
        <v/>
      </c>
      <c r="E144" s="16"/>
      <c r="F144" s="25" t="str">
        <f t="shared" si="22"/>
        <v/>
      </c>
      <c r="G144" s="16"/>
      <c r="H14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4" s="16"/>
      <c r="J14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4" s="16"/>
      <c r="L14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4" s="16"/>
      <c r="N144" s="25" t="str">
        <f>IFERROR(__xludf.DUMMYFUNCTION("indirect(""Dupe!N""&amp;row())&amp;if(regexmatch(indirect(""C""&amp;row()),""Widen""),""
Widened
Any numeric measurements of the spell’s area increase by 100%"","""")"),"")</f>
        <v/>
      </c>
      <c r="O144" s="16"/>
      <c r="P14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4" s="16"/>
      <c r="R144" s="25" t="str">
        <f t="shared" si="23"/>
        <v/>
      </c>
      <c r="S144" s="16"/>
      <c r="T144" s="25" t="str">
        <f t="shared" si="24"/>
        <v/>
      </c>
      <c r="U144" s="16"/>
      <c r="V14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4" s="3"/>
      <c r="X144" s="3"/>
      <c r="Y144" s="16"/>
      <c r="Z144" s="28"/>
    </row>
    <row r="145">
      <c r="B145" s="29"/>
      <c r="C145" s="29"/>
      <c r="D145" s="30" t="str">
        <f t="shared" si="21"/>
        <v/>
      </c>
      <c r="E145" s="21"/>
      <c r="F145" s="31" t="str">
        <f t="shared" si="22"/>
        <v/>
      </c>
      <c r="G145" s="21"/>
      <c r="H14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5" s="21"/>
      <c r="J14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5" s="21"/>
      <c r="L14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5" s="21"/>
      <c r="N145" s="31" t="str">
        <f>IFERROR(__xludf.DUMMYFUNCTION("indirect(""Dupe!N""&amp;row())&amp;if(regexmatch(indirect(""C""&amp;row()),""Widen""),""
Widened
Any numeric measurements of the spell’s area increase by 100%"","""")"),"")</f>
        <v/>
      </c>
      <c r="O145" s="21"/>
      <c r="P14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5" s="21"/>
      <c r="R145" s="31" t="str">
        <f t="shared" si="23"/>
        <v/>
      </c>
      <c r="S145" s="21"/>
      <c r="T145" s="31" t="str">
        <f t="shared" si="24"/>
        <v/>
      </c>
      <c r="U145" s="21"/>
      <c r="V14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5" s="9"/>
      <c r="X145" s="9"/>
      <c r="Y145" s="21"/>
      <c r="Z145" s="34"/>
    </row>
    <row r="146">
      <c r="B146" s="35"/>
      <c r="C146" s="35"/>
      <c r="D146" s="24" t="str">
        <f t="shared" si="21"/>
        <v/>
      </c>
      <c r="E146" s="16"/>
      <c r="F146" s="25" t="str">
        <f t="shared" si="22"/>
        <v/>
      </c>
      <c r="G146" s="16"/>
      <c r="H14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6" s="16"/>
      <c r="J14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6" s="16"/>
      <c r="L14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6" s="16"/>
      <c r="N146" s="25" t="str">
        <f>IFERROR(__xludf.DUMMYFUNCTION("indirect(""Dupe!N""&amp;row())&amp;if(regexmatch(indirect(""C""&amp;row()),""Widen""),""
Widened
Any numeric measurements of the spell’s area increase by 100%"","""")"),"")</f>
        <v/>
      </c>
      <c r="O146" s="16"/>
      <c r="P14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6" s="16"/>
      <c r="R146" s="25" t="str">
        <f t="shared" si="23"/>
        <v/>
      </c>
      <c r="S146" s="16"/>
      <c r="T146" s="25" t="str">
        <f t="shared" si="24"/>
        <v/>
      </c>
      <c r="U146" s="16"/>
      <c r="V14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6" s="3"/>
      <c r="X146" s="3"/>
      <c r="Y146" s="16"/>
      <c r="Z146" s="28"/>
    </row>
    <row r="147">
      <c r="B147" s="29"/>
      <c r="C147" s="29"/>
      <c r="D147" s="30" t="str">
        <f t="shared" si="21"/>
        <v/>
      </c>
      <c r="E147" s="21"/>
      <c r="F147" s="31" t="str">
        <f t="shared" si="22"/>
        <v/>
      </c>
      <c r="G147" s="21"/>
      <c r="H14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7" s="21"/>
      <c r="J14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7" s="21"/>
      <c r="L14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7" s="21"/>
      <c r="N147" s="31" t="str">
        <f>IFERROR(__xludf.DUMMYFUNCTION("indirect(""Dupe!N""&amp;row())&amp;if(regexmatch(indirect(""C""&amp;row()),""Widen""),""
Widened
Any numeric measurements of the spell’s area increase by 100%"","""")"),"")</f>
        <v/>
      </c>
      <c r="O147" s="21"/>
      <c r="P14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7" s="21"/>
      <c r="R147" s="31" t="str">
        <f t="shared" si="23"/>
        <v/>
      </c>
      <c r="S147" s="21"/>
      <c r="T147" s="31" t="str">
        <f t="shared" si="24"/>
        <v/>
      </c>
      <c r="U147" s="21"/>
      <c r="V14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7" s="9"/>
      <c r="X147" s="9"/>
      <c r="Y147" s="21"/>
      <c r="Z147" s="34"/>
    </row>
    <row r="148">
      <c r="B148" s="41"/>
      <c r="C148" s="41"/>
      <c r="D148" s="24" t="str">
        <f t="shared" si="21"/>
        <v/>
      </c>
      <c r="E148" s="16"/>
      <c r="F148" s="25" t="str">
        <f t="shared" si="22"/>
        <v/>
      </c>
      <c r="G148" s="16"/>
      <c r="H14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8" s="16"/>
      <c r="J14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8" s="16"/>
      <c r="L14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8" s="16"/>
      <c r="N148" s="25" t="str">
        <f>IFERROR(__xludf.DUMMYFUNCTION("indirect(""Dupe!N""&amp;row())&amp;if(regexmatch(indirect(""C""&amp;row()),""Widen""),""
Widened
Any numeric measurements of the spell’s area increase by 100%"","""")"),"")</f>
        <v/>
      </c>
      <c r="O148" s="16"/>
      <c r="P14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8" s="16"/>
      <c r="R148" s="25" t="str">
        <f t="shared" si="23"/>
        <v/>
      </c>
      <c r="S148" s="16"/>
      <c r="T148" s="25" t="str">
        <f t="shared" si="24"/>
        <v/>
      </c>
      <c r="U148" s="16"/>
      <c r="V14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8" s="3"/>
      <c r="X148" s="3"/>
      <c r="Y148" s="16"/>
      <c r="Z148" s="28"/>
    </row>
    <row r="149">
      <c r="B149" s="37"/>
      <c r="C149" s="37"/>
      <c r="D149" s="30" t="str">
        <f t="shared" si="21"/>
        <v/>
      </c>
      <c r="E149" s="21"/>
      <c r="F149" s="31" t="str">
        <f t="shared" si="22"/>
        <v/>
      </c>
      <c r="G149" s="21"/>
      <c r="H14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9" s="21"/>
      <c r="J14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9" s="21"/>
      <c r="L14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9" s="21"/>
      <c r="N149" s="31" t="str">
        <f>IFERROR(__xludf.DUMMYFUNCTION("indirect(""Dupe!N""&amp;row())&amp;if(regexmatch(indirect(""C""&amp;row()),""Widen""),""
Widened
Any numeric measurements of the spell’s area increase by 100%"","""")"),"")</f>
        <v/>
      </c>
      <c r="O149" s="21"/>
      <c r="P14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9" s="21"/>
      <c r="R149" s="31" t="str">
        <f t="shared" si="23"/>
        <v/>
      </c>
      <c r="S149" s="21"/>
      <c r="T149" s="31" t="str">
        <f t="shared" si="24"/>
        <v/>
      </c>
      <c r="U149" s="21"/>
      <c r="V14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9" s="9"/>
      <c r="X149" s="9"/>
      <c r="Y149" s="21"/>
      <c r="Z149" s="34"/>
    </row>
    <row r="150">
      <c r="B150" s="35"/>
      <c r="C150" s="35"/>
      <c r="D150" s="24" t="str">
        <f t="shared" si="21"/>
        <v/>
      </c>
      <c r="E150" s="16"/>
      <c r="F150" s="25" t="str">
        <f t="shared" si="22"/>
        <v/>
      </c>
      <c r="G150" s="16"/>
      <c r="H15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0" s="16"/>
      <c r="J15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0" s="16"/>
      <c r="L15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0" s="16"/>
      <c r="N150" s="25" t="str">
        <f>IFERROR(__xludf.DUMMYFUNCTION("indirect(""Dupe!N""&amp;row())&amp;if(regexmatch(indirect(""C""&amp;row()),""Widen""),""
Widened
Any numeric measurements of the spell’s area increase by 100%"","""")"),"")</f>
        <v/>
      </c>
      <c r="O150" s="16"/>
      <c r="P15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0" s="16"/>
      <c r="R150" s="25" t="str">
        <f t="shared" si="23"/>
        <v/>
      </c>
      <c r="S150" s="16"/>
      <c r="T150" s="25" t="str">
        <f t="shared" si="24"/>
        <v/>
      </c>
      <c r="U150" s="16"/>
      <c r="V15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0" s="3"/>
      <c r="X150" s="3"/>
      <c r="Y150" s="16"/>
      <c r="Z150" s="28"/>
    </row>
    <row r="151">
      <c r="B151" s="37"/>
      <c r="C151" s="37"/>
      <c r="D151" s="30" t="str">
        <f t="shared" si="21"/>
        <v/>
      </c>
      <c r="E151" s="21"/>
      <c r="F151" s="31" t="str">
        <f t="shared" si="22"/>
        <v/>
      </c>
      <c r="G151" s="21"/>
      <c r="H15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1" s="21"/>
      <c r="J15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1" s="21"/>
      <c r="L15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1" s="21"/>
      <c r="N151" s="31" t="str">
        <f>IFERROR(__xludf.DUMMYFUNCTION("indirect(""Dupe!N""&amp;row())&amp;if(regexmatch(indirect(""C""&amp;row()),""Widen""),""
Widened
Any numeric measurements of the spell’s area increase by 100%"","""")"),"")</f>
        <v/>
      </c>
      <c r="O151" s="21"/>
      <c r="P15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1" s="21"/>
      <c r="R151" s="31" t="str">
        <f t="shared" si="23"/>
        <v/>
      </c>
      <c r="S151" s="21"/>
      <c r="T151" s="31" t="str">
        <f t="shared" si="24"/>
        <v/>
      </c>
      <c r="U151" s="21"/>
      <c r="V15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1" s="9"/>
      <c r="X151" s="9"/>
      <c r="Y151" s="21"/>
      <c r="Z151" s="34"/>
    </row>
    <row r="152">
      <c r="B152" s="35"/>
      <c r="C152" s="35"/>
      <c r="D152" s="24" t="str">
        <f t="shared" si="21"/>
        <v/>
      </c>
      <c r="E152" s="16"/>
      <c r="F152" s="25" t="str">
        <f t="shared" si="22"/>
        <v/>
      </c>
      <c r="G152" s="16"/>
      <c r="H15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2" s="16"/>
      <c r="J15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2" s="16"/>
      <c r="L15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2" s="16"/>
      <c r="N152" s="25" t="str">
        <f>IFERROR(__xludf.DUMMYFUNCTION("indirect(""Dupe!N""&amp;row())&amp;if(regexmatch(indirect(""C""&amp;row()),""Widen""),""
Widened
Any numeric measurements of the spell’s area increase by 100%"","""")"),"")</f>
        <v/>
      </c>
      <c r="O152" s="16"/>
      <c r="P15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2" s="16"/>
      <c r="R152" s="25" t="str">
        <f t="shared" si="23"/>
        <v/>
      </c>
      <c r="S152" s="16"/>
      <c r="T152" s="25" t="str">
        <f t="shared" si="24"/>
        <v/>
      </c>
      <c r="U152" s="16"/>
      <c r="V15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2" s="3"/>
      <c r="X152" s="3"/>
      <c r="Y152" s="16"/>
      <c r="Z152" s="28"/>
    </row>
    <row r="153">
      <c r="B153" s="29"/>
      <c r="C153" s="29"/>
      <c r="D153" s="30" t="str">
        <f t="shared" si="21"/>
        <v/>
      </c>
      <c r="E153" s="21"/>
      <c r="F153" s="31" t="str">
        <f t="shared" si="22"/>
        <v/>
      </c>
      <c r="G153" s="21"/>
      <c r="H15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3" s="21"/>
      <c r="J15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3" s="21"/>
      <c r="L15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3" s="21"/>
      <c r="N153" s="31" t="str">
        <f>IFERROR(__xludf.DUMMYFUNCTION("indirect(""Dupe!N""&amp;row())&amp;if(regexmatch(indirect(""C""&amp;row()),""Widen""),""
Widened
Any numeric measurements of the spell’s area increase by 100%"","""")"),"")</f>
        <v/>
      </c>
      <c r="O153" s="21"/>
      <c r="P15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3" s="21"/>
      <c r="R153" s="31" t="str">
        <f t="shared" si="23"/>
        <v/>
      </c>
      <c r="S153" s="21"/>
      <c r="T153" s="31" t="str">
        <f t="shared" si="24"/>
        <v/>
      </c>
      <c r="U153" s="21"/>
      <c r="V15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3" s="9"/>
      <c r="X153" s="9"/>
      <c r="Y153" s="21"/>
      <c r="Z153" s="34"/>
    </row>
    <row r="154">
      <c r="B154" s="35"/>
      <c r="C154" s="35"/>
      <c r="D154" s="24" t="str">
        <f t="shared" si="21"/>
        <v/>
      </c>
      <c r="E154" s="16"/>
      <c r="F154" s="25" t="str">
        <f t="shared" si="22"/>
        <v/>
      </c>
      <c r="G154" s="16"/>
      <c r="H15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4" s="16"/>
      <c r="J15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4" s="16"/>
      <c r="L15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4" s="16"/>
      <c r="N154" s="25" t="str">
        <f>IFERROR(__xludf.DUMMYFUNCTION("indirect(""Dupe!N""&amp;row())&amp;if(regexmatch(indirect(""C""&amp;row()),""Widen""),""
Widened
Any numeric measurements of the spell’s area increase by 100%"","""")"),"")</f>
        <v/>
      </c>
      <c r="O154" s="16"/>
      <c r="P15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4" s="16"/>
      <c r="R154" s="25" t="str">
        <f t="shared" si="23"/>
        <v/>
      </c>
      <c r="S154" s="16"/>
      <c r="T154" s="25" t="str">
        <f t="shared" si="24"/>
        <v/>
      </c>
      <c r="U154" s="16"/>
      <c r="V15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4" s="3"/>
      <c r="X154" s="3"/>
      <c r="Y154" s="16"/>
      <c r="Z154" s="28"/>
    </row>
    <row r="155">
      <c r="B155" s="29"/>
      <c r="C155" s="29"/>
      <c r="D155" s="30" t="str">
        <f t="shared" si="21"/>
        <v/>
      </c>
      <c r="E155" s="21"/>
      <c r="F155" s="31" t="str">
        <f t="shared" si="22"/>
        <v/>
      </c>
      <c r="G155" s="21"/>
      <c r="H15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5" s="21"/>
      <c r="J15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5" s="21"/>
      <c r="L15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5" s="21"/>
      <c r="N155" s="31" t="str">
        <f>IFERROR(__xludf.DUMMYFUNCTION("indirect(""Dupe!N""&amp;row())&amp;if(regexmatch(indirect(""C""&amp;row()),""Widen""),""
Widened
Any numeric measurements of the spell’s area increase by 100%"","""")"),"")</f>
        <v/>
      </c>
      <c r="O155" s="21"/>
      <c r="P15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5" s="21"/>
      <c r="R155" s="31" t="str">
        <f t="shared" si="23"/>
        <v/>
      </c>
      <c r="S155" s="21"/>
      <c r="T155" s="31" t="str">
        <f t="shared" si="24"/>
        <v/>
      </c>
      <c r="U155" s="21"/>
      <c r="V15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5" s="9"/>
      <c r="X155" s="9"/>
      <c r="Y155" s="21"/>
      <c r="Z155" s="34"/>
    </row>
    <row r="156">
      <c r="B156" s="35"/>
      <c r="C156" s="35"/>
      <c r="D156" s="24" t="str">
        <f t="shared" si="21"/>
        <v/>
      </c>
      <c r="E156" s="16"/>
      <c r="F156" s="25" t="str">
        <f t="shared" si="22"/>
        <v/>
      </c>
      <c r="G156" s="16"/>
      <c r="H15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6" s="16"/>
      <c r="J15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6" s="16"/>
      <c r="L15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6" s="16"/>
      <c r="N156" s="25" t="str">
        <f>IFERROR(__xludf.DUMMYFUNCTION("indirect(""Dupe!N""&amp;row())&amp;if(regexmatch(indirect(""C""&amp;row()),""Widen""),""
Widened
Any numeric measurements of the spell’s area increase by 100%"","""")"),"")</f>
        <v/>
      </c>
      <c r="O156" s="16"/>
      <c r="P15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6" s="16"/>
      <c r="R156" s="25" t="str">
        <f t="shared" si="23"/>
        <v/>
      </c>
      <c r="S156" s="16"/>
      <c r="T156" s="25" t="str">
        <f t="shared" si="24"/>
        <v/>
      </c>
      <c r="U156" s="16"/>
      <c r="V15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6" s="3"/>
      <c r="X156" s="3"/>
      <c r="Y156" s="16"/>
      <c r="Z156" s="28"/>
    </row>
    <row r="158">
      <c r="B158" s="14" t="s">
        <v>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15" t="s">
        <v>13</v>
      </c>
      <c r="W158" s="3"/>
      <c r="X158" s="16"/>
      <c r="Y158" s="17" t="str">
        <f>SUM(Z160:Z180)&amp;"/"&amp;if(dget(base_spells,"6th",F2:F3),dget(base_spells,"6th",F2:F3)+dget(bonus_spells,"6th",H2:H3),0)</f>
        <v>0/2</v>
      </c>
      <c r="Z158" s="5"/>
    </row>
    <row r="159">
      <c r="B159" s="19" t="s">
        <v>14</v>
      </c>
      <c r="C159" s="19" t="s">
        <v>15</v>
      </c>
      <c r="D159" s="20" t="s">
        <v>16</v>
      </c>
      <c r="E159" s="21"/>
      <c r="F159" s="20" t="s">
        <v>17</v>
      </c>
      <c r="G159" s="21"/>
      <c r="H159" s="20" t="s">
        <v>18</v>
      </c>
      <c r="I159" s="21"/>
      <c r="J159" s="20" t="s">
        <v>19</v>
      </c>
      <c r="K159" s="21"/>
      <c r="L159" s="20" t="s">
        <v>20</v>
      </c>
      <c r="M159" s="21"/>
      <c r="N159" s="20" t="s">
        <v>21</v>
      </c>
      <c r="O159" s="21"/>
      <c r="P159" s="20" t="s">
        <v>22</v>
      </c>
      <c r="Q159" s="21"/>
      <c r="R159" s="20" t="s">
        <v>23</v>
      </c>
      <c r="S159" s="21"/>
      <c r="T159" s="20" t="s">
        <v>24</v>
      </c>
      <c r="U159" s="21"/>
      <c r="V159" s="20" t="s">
        <v>25</v>
      </c>
      <c r="W159" s="9"/>
      <c r="X159" s="9"/>
      <c r="Y159" s="21"/>
      <c r="Z159" s="19" t="s">
        <v>26</v>
      </c>
    </row>
    <row r="160">
      <c r="B160" s="23"/>
      <c r="C160" s="23"/>
      <c r="D160" s="24" t="str">
        <f t="shared" ref="D160:D180" si="25">indirect("Dupe!D"&amp;ROW())</f>
        <v/>
      </c>
      <c r="E160" s="16"/>
      <c r="F160" s="25" t="str">
        <f t="shared" ref="F160:F180" si="26">indirect("Dupe!F"&amp;ROW())</f>
        <v/>
      </c>
      <c r="G160" s="16"/>
      <c r="H16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0" s="16"/>
      <c r="J16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0" s="16"/>
      <c r="L16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0" s="16"/>
      <c r="N160" s="25" t="str">
        <f>IFERROR(__xludf.DUMMYFUNCTION("indirect(""Dupe!N""&amp;row())&amp;if(regexmatch(indirect(""C""&amp;row()),""Widen""),""
Widened
Any numeric measurements of the spell’s area increase by 100%"","""")"),"")</f>
        <v/>
      </c>
      <c r="O160" s="16"/>
      <c r="P16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0" s="16"/>
      <c r="R160" s="25" t="str">
        <f t="shared" ref="R160:R180" si="27">indirect("Dupe!R"&amp;row())</f>
        <v/>
      </c>
      <c r="S160" s="16"/>
      <c r="T160" s="25" t="str">
        <f t="shared" ref="T160:T180" si="28">indirect("Dupe!T"&amp;row())</f>
        <v/>
      </c>
      <c r="U160" s="16"/>
      <c r="V16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0" s="3"/>
      <c r="X160" s="3"/>
      <c r="Y160" s="16"/>
      <c r="Z160" s="28"/>
    </row>
    <row r="161">
      <c r="B161" s="29"/>
      <c r="C161" s="29"/>
      <c r="D161" s="30" t="str">
        <f t="shared" si="25"/>
        <v/>
      </c>
      <c r="E161" s="21"/>
      <c r="F161" s="31" t="str">
        <f t="shared" si="26"/>
        <v/>
      </c>
      <c r="G161" s="21"/>
      <c r="H16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1" s="21"/>
      <c r="J16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1" s="21"/>
      <c r="L16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1" s="21"/>
      <c r="N161" s="31" t="str">
        <f>IFERROR(__xludf.DUMMYFUNCTION("indirect(""Dupe!N""&amp;row())&amp;if(regexmatch(indirect(""C""&amp;row()),""Widen""),""
Widened
Any numeric measurements of the spell’s area increase by 100%"","""")"),"")</f>
        <v/>
      </c>
      <c r="O161" s="21"/>
      <c r="P16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1" s="21"/>
      <c r="R161" s="31" t="str">
        <f t="shared" si="27"/>
        <v/>
      </c>
      <c r="S161" s="21"/>
      <c r="T161" s="31" t="str">
        <f t="shared" si="28"/>
        <v/>
      </c>
      <c r="U161" s="21"/>
      <c r="V16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1" s="9"/>
      <c r="X161" s="9"/>
      <c r="Y161" s="21"/>
      <c r="Z161" s="34"/>
    </row>
    <row r="162">
      <c r="B162" s="35"/>
      <c r="C162" s="35"/>
      <c r="D162" s="24" t="str">
        <f t="shared" si="25"/>
        <v/>
      </c>
      <c r="E162" s="16"/>
      <c r="F162" s="25" t="str">
        <f t="shared" si="26"/>
        <v/>
      </c>
      <c r="G162" s="16"/>
      <c r="H16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2" s="16"/>
      <c r="J16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2" s="16"/>
      <c r="L16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2" s="16"/>
      <c r="N162" s="25" t="str">
        <f>IFERROR(__xludf.DUMMYFUNCTION("indirect(""Dupe!N""&amp;row())&amp;if(regexmatch(indirect(""C""&amp;row()),""Widen""),""
Widened
Any numeric measurements of the spell’s area increase by 100%"","""")"),"")</f>
        <v/>
      </c>
      <c r="O162" s="16"/>
      <c r="P16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2" s="16"/>
      <c r="R162" s="25" t="str">
        <f t="shared" si="27"/>
        <v/>
      </c>
      <c r="S162" s="16"/>
      <c r="T162" s="25" t="str">
        <f t="shared" si="28"/>
        <v/>
      </c>
      <c r="U162" s="16"/>
      <c r="V16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2" s="3"/>
      <c r="X162" s="3"/>
      <c r="Y162" s="16"/>
      <c r="Z162" s="28"/>
    </row>
    <row r="163">
      <c r="B163" s="37"/>
      <c r="C163" s="37"/>
      <c r="D163" s="30" t="str">
        <f t="shared" si="25"/>
        <v/>
      </c>
      <c r="E163" s="21"/>
      <c r="F163" s="31" t="str">
        <f t="shared" si="26"/>
        <v/>
      </c>
      <c r="G163" s="21"/>
      <c r="H16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3" s="21"/>
      <c r="J16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3" s="21"/>
      <c r="L16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3" s="21"/>
      <c r="N163" s="31" t="str">
        <f>IFERROR(__xludf.DUMMYFUNCTION("indirect(""Dupe!N""&amp;row())&amp;if(regexmatch(indirect(""C""&amp;row()),""Widen""),""
Widened
Any numeric measurements of the spell’s area increase by 100%"","""")"),"")</f>
        <v/>
      </c>
      <c r="O163" s="21"/>
      <c r="P16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3" s="21"/>
      <c r="R163" s="31" t="str">
        <f t="shared" si="27"/>
        <v/>
      </c>
      <c r="S163" s="21"/>
      <c r="T163" s="31" t="str">
        <f t="shared" si="28"/>
        <v/>
      </c>
      <c r="U163" s="21"/>
      <c r="V16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3" s="9"/>
      <c r="X163" s="9"/>
      <c r="Y163" s="21"/>
      <c r="Z163" s="34"/>
    </row>
    <row r="164">
      <c r="B164" s="35"/>
      <c r="C164" s="35"/>
      <c r="D164" s="24" t="str">
        <f t="shared" si="25"/>
        <v/>
      </c>
      <c r="E164" s="16"/>
      <c r="F164" s="25" t="str">
        <f t="shared" si="26"/>
        <v/>
      </c>
      <c r="G164" s="16"/>
      <c r="H16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4" s="16"/>
      <c r="J16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4" s="16"/>
      <c r="L16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4" s="16"/>
      <c r="N164" s="25" t="str">
        <f>IFERROR(__xludf.DUMMYFUNCTION("indirect(""Dupe!N""&amp;row())&amp;if(regexmatch(indirect(""C""&amp;row()),""Widen""),""
Widened
Any numeric measurements of the spell’s area increase by 100%"","""")"),"")</f>
        <v/>
      </c>
      <c r="O164" s="16"/>
      <c r="P16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4" s="16"/>
      <c r="R164" s="25" t="str">
        <f t="shared" si="27"/>
        <v/>
      </c>
      <c r="S164" s="16"/>
      <c r="T164" s="25" t="str">
        <f t="shared" si="28"/>
        <v/>
      </c>
      <c r="U164" s="16"/>
      <c r="V16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4" s="3"/>
      <c r="X164" s="3"/>
      <c r="Y164" s="16"/>
      <c r="Z164" s="28"/>
    </row>
    <row r="165">
      <c r="B165" s="37"/>
      <c r="C165" s="37"/>
      <c r="D165" s="30" t="str">
        <f t="shared" si="25"/>
        <v/>
      </c>
      <c r="E165" s="21"/>
      <c r="F165" s="31" t="str">
        <f t="shared" si="26"/>
        <v/>
      </c>
      <c r="G165" s="21"/>
      <c r="H16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5" s="21"/>
      <c r="J16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5" s="21"/>
      <c r="L16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5" s="21"/>
      <c r="N165" s="31" t="str">
        <f>IFERROR(__xludf.DUMMYFUNCTION("indirect(""Dupe!N""&amp;row())&amp;if(regexmatch(indirect(""C""&amp;row()),""Widen""),""
Widened
Any numeric measurements of the spell’s area increase by 100%"","""")"),"")</f>
        <v/>
      </c>
      <c r="O165" s="21"/>
      <c r="P16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5" s="21"/>
      <c r="R165" s="31" t="str">
        <f t="shared" si="27"/>
        <v/>
      </c>
      <c r="S165" s="21"/>
      <c r="T165" s="31" t="str">
        <f t="shared" si="28"/>
        <v/>
      </c>
      <c r="U165" s="21"/>
      <c r="V16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5" s="9"/>
      <c r="X165" s="9"/>
      <c r="Y165" s="21"/>
      <c r="Z165" s="34"/>
    </row>
    <row r="166">
      <c r="B166" s="35"/>
      <c r="C166" s="35"/>
      <c r="D166" s="24" t="str">
        <f t="shared" si="25"/>
        <v/>
      </c>
      <c r="E166" s="16"/>
      <c r="F166" s="25" t="str">
        <f t="shared" si="26"/>
        <v/>
      </c>
      <c r="G166" s="16"/>
      <c r="H16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6" s="16"/>
      <c r="J16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6" s="16"/>
      <c r="L16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6" s="16"/>
      <c r="N166" s="25" t="str">
        <f>IFERROR(__xludf.DUMMYFUNCTION("indirect(""Dupe!N""&amp;row())&amp;if(regexmatch(indirect(""C""&amp;row()),""Widen""),""
Widened
Any numeric measurements of the spell’s area increase by 100%"","""")"),"")</f>
        <v/>
      </c>
      <c r="O166" s="16"/>
      <c r="P16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6" s="16"/>
      <c r="R166" s="25" t="str">
        <f t="shared" si="27"/>
        <v/>
      </c>
      <c r="S166" s="16"/>
      <c r="T166" s="25" t="str">
        <f t="shared" si="28"/>
        <v/>
      </c>
      <c r="U166" s="16"/>
      <c r="V16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6" s="3"/>
      <c r="X166" s="3"/>
      <c r="Y166" s="16"/>
      <c r="Z166" s="28"/>
    </row>
    <row r="167">
      <c r="B167" s="37"/>
      <c r="C167" s="37"/>
      <c r="D167" s="30" t="str">
        <f t="shared" si="25"/>
        <v/>
      </c>
      <c r="E167" s="21"/>
      <c r="F167" s="31" t="str">
        <f t="shared" si="26"/>
        <v/>
      </c>
      <c r="G167" s="21"/>
      <c r="H16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7" s="21"/>
      <c r="J16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7" s="21"/>
      <c r="L16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7" s="21"/>
      <c r="N167" s="31" t="str">
        <f>IFERROR(__xludf.DUMMYFUNCTION("indirect(""Dupe!N""&amp;row())&amp;if(regexmatch(indirect(""C""&amp;row()),""Widen""),""
Widened
Any numeric measurements of the spell’s area increase by 100%"","""")"),"")</f>
        <v/>
      </c>
      <c r="O167" s="21"/>
      <c r="P16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7" s="21"/>
      <c r="R167" s="31" t="str">
        <f t="shared" si="27"/>
        <v/>
      </c>
      <c r="S167" s="21"/>
      <c r="T167" s="31" t="str">
        <f t="shared" si="28"/>
        <v/>
      </c>
      <c r="U167" s="21"/>
      <c r="V16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7" s="9"/>
      <c r="X167" s="9"/>
      <c r="Y167" s="21"/>
      <c r="Z167" s="34"/>
    </row>
    <row r="168">
      <c r="B168" s="35"/>
      <c r="C168" s="35"/>
      <c r="D168" s="24" t="str">
        <f t="shared" si="25"/>
        <v/>
      </c>
      <c r="E168" s="16"/>
      <c r="F168" s="25" t="str">
        <f t="shared" si="26"/>
        <v/>
      </c>
      <c r="G168" s="16"/>
      <c r="H16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8" s="16"/>
      <c r="J16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8" s="16"/>
      <c r="L16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8" s="16"/>
      <c r="N168" s="25" t="str">
        <f>IFERROR(__xludf.DUMMYFUNCTION("indirect(""Dupe!N""&amp;row())&amp;if(regexmatch(indirect(""C""&amp;row()),""Widen""),""
Widened
Any numeric measurements of the spell’s area increase by 100%"","""")"),"")</f>
        <v/>
      </c>
      <c r="O168" s="16"/>
      <c r="P16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8" s="16"/>
      <c r="R168" s="25" t="str">
        <f t="shared" si="27"/>
        <v/>
      </c>
      <c r="S168" s="16"/>
      <c r="T168" s="25" t="str">
        <f t="shared" si="28"/>
        <v/>
      </c>
      <c r="U168" s="16"/>
      <c r="V16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8" s="3"/>
      <c r="X168" s="3"/>
      <c r="Y168" s="16"/>
      <c r="Z168" s="28"/>
    </row>
    <row r="169">
      <c r="B169" s="29"/>
      <c r="C169" s="29"/>
      <c r="D169" s="30" t="str">
        <f t="shared" si="25"/>
        <v/>
      </c>
      <c r="E169" s="21"/>
      <c r="F169" s="31" t="str">
        <f t="shared" si="26"/>
        <v/>
      </c>
      <c r="G169" s="21"/>
      <c r="H16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9" s="21"/>
      <c r="J16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9" s="21"/>
      <c r="L16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9" s="21"/>
      <c r="N169" s="31" t="str">
        <f>IFERROR(__xludf.DUMMYFUNCTION("indirect(""Dupe!N""&amp;row())&amp;if(regexmatch(indirect(""C""&amp;row()),""Widen""),""
Widened
Any numeric measurements of the spell’s area increase by 100%"","""")"),"")</f>
        <v/>
      </c>
      <c r="O169" s="21"/>
      <c r="P16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9" s="21"/>
      <c r="R169" s="31" t="str">
        <f t="shared" si="27"/>
        <v/>
      </c>
      <c r="S169" s="21"/>
      <c r="T169" s="31" t="str">
        <f t="shared" si="28"/>
        <v/>
      </c>
      <c r="U169" s="21"/>
      <c r="V16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9" s="9"/>
      <c r="X169" s="9"/>
      <c r="Y169" s="21"/>
      <c r="Z169" s="34"/>
    </row>
    <row r="170">
      <c r="B170" s="35"/>
      <c r="C170" s="35"/>
      <c r="D170" s="24" t="str">
        <f t="shared" si="25"/>
        <v/>
      </c>
      <c r="E170" s="16"/>
      <c r="F170" s="25" t="str">
        <f t="shared" si="26"/>
        <v/>
      </c>
      <c r="G170" s="16"/>
      <c r="H17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0" s="16"/>
      <c r="J17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0" s="16"/>
      <c r="L17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0" s="16"/>
      <c r="N170" s="25" t="str">
        <f>IFERROR(__xludf.DUMMYFUNCTION("indirect(""Dupe!N""&amp;row())&amp;if(regexmatch(indirect(""C""&amp;row()),""Widen""),""
Widened
Any numeric measurements of the spell’s area increase by 100%"","""")"),"")</f>
        <v/>
      </c>
      <c r="O170" s="16"/>
      <c r="P17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0" s="16"/>
      <c r="R170" s="25" t="str">
        <f t="shared" si="27"/>
        <v/>
      </c>
      <c r="S170" s="16"/>
      <c r="T170" s="25" t="str">
        <f t="shared" si="28"/>
        <v/>
      </c>
      <c r="U170" s="16"/>
      <c r="V17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0" s="3"/>
      <c r="X170" s="3"/>
      <c r="Y170" s="16"/>
      <c r="Z170" s="28"/>
    </row>
    <row r="171">
      <c r="B171" s="29"/>
      <c r="C171" s="29"/>
      <c r="D171" s="30" t="str">
        <f t="shared" si="25"/>
        <v/>
      </c>
      <c r="E171" s="21"/>
      <c r="F171" s="31" t="str">
        <f t="shared" si="26"/>
        <v/>
      </c>
      <c r="G171" s="21"/>
      <c r="H17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1" s="21"/>
      <c r="J17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1" s="21"/>
      <c r="L17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1" s="21"/>
      <c r="N171" s="31" t="str">
        <f>IFERROR(__xludf.DUMMYFUNCTION("indirect(""Dupe!N""&amp;row())&amp;if(regexmatch(indirect(""C""&amp;row()),""Widen""),""
Widened
Any numeric measurements of the spell’s area increase by 100%"","""")"),"")</f>
        <v/>
      </c>
      <c r="O171" s="21"/>
      <c r="P17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1" s="21"/>
      <c r="R171" s="31" t="str">
        <f t="shared" si="27"/>
        <v/>
      </c>
      <c r="S171" s="21"/>
      <c r="T171" s="31" t="str">
        <f t="shared" si="28"/>
        <v/>
      </c>
      <c r="U171" s="21"/>
      <c r="V17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1" s="9"/>
      <c r="X171" s="9"/>
      <c r="Y171" s="21"/>
      <c r="Z171" s="34"/>
    </row>
    <row r="172">
      <c r="B172" s="41"/>
      <c r="C172" s="41"/>
      <c r="D172" s="24" t="str">
        <f t="shared" si="25"/>
        <v/>
      </c>
      <c r="E172" s="16"/>
      <c r="F172" s="25" t="str">
        <f t="shared" si="26"/>
        <v/>
      </c>
      <c r="G172" s="16"/>
      <c r="H17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2" s="16"/>
      <c r="J17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2" s="16"/>
      <c r="L17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2" s="16"/>
      <c r="N172" s="25" t="str">
        <f>IFERROR(__xludf.DUMMYFUNCTION("indirect(""Dupe!N""&amp;row())&amp;if(regexmatch(indirect(""C""&amp;row()),""Widen""),""
Widened
Any numeric measurements of the spell’s area increase by 100%"","""")"),"")</f>
        <v/>
      </c>
      <c r="O172" s="16"/>
      <c r="P17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2" s="16"/>
      <c r="R172" s="25" t="str">
        <f t="shared" si="27"/>
        <v/>
      </c>
      <c r="S172" s="16"/>
      <c r="T172" s="25" t="str">
        <f t="shared" si="28"/>
        <v/>
      </c>
      <c r="U172" s="16"/>
      <c r="V17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2" s="3"/>
      <c r="X172" s="3"/>
      <c r="Y172" s="16"/>
      <c r="Z172" s="28"/>
    </row>
    <row r="173">
      <c r="B173" s="37"/>
      <c r="C173" s="37"/>
      <c r="D173" s="30" t="str">
        <f t="shared" si="25"/>
        <v/>
      </c>
      <c r="E173" s="21"/>
      <c r="F173" s="31" t="str">
        <f t="shared" si="26"/>
        <v/>
      </c>
      <c r="G173" s="21"/>
      <c r="H17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3" s="21"/>
      <c r="J17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3" s="21"/>
      <c r="L17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3" s="21"/>
      <c r="N173" s="31" t="str">
        <f>IFERROR(__xludf.DUMMYFUNCTION("indirect(""Dupe!N""&amp;row())&amp;if(regexmatch(indirect(""C""&amp;row()),""Widen""),""
Widened
Any numeric measurements of the spell’s area increase by 100%"","""")"),"")</f>
        <v/>
      </c>
      <c r="O173" s="21"/>
      <c r="P17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3" s="21"/>
      <c r="R173" s="31" t="str">
        <f t="shared" si="27"/>
        <v/>
      </c>
      <c r="S173" s="21"/>
      <c r="T173" s="31" t="str">
        <f t="shared" si="28"/>
        <v/>
      </c>
      <c r="U173" s="21"/>
      <c r="V17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3" s="9"/>
      <c r="X173" s="9"/>
      <c r="Y173" s="21"/>
      <c r="Z173" s="34"/>
    </row>
    <row r="174">
      <c r="B174" s="35"/>
      <c r="C174" s="35"/>
      <c r="D174" s="24" t="str">
        <f t="shared" si="25"/>
        <v/>
      </c>
      <c r="E174" s="16"/>
      <c r="F174" s="25" t="str">
        <f t="shared" si="26"/>
        <v/>
      </c>
      <c r="G174" s="16"/>
      <c r="H17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4" s="16"/>
      <c r="J17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4" s="16"/>
      <c r="L17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4" s="16"/>
      <c r="N174" s="25" t="str">
        <f>IFERROR(__xludf.DUMMYFUNCTION("indirect(""Dupe!N""&amp;row())&amp;if(regexmatch(indirect(""C""&amp;row()),""Widen""),""
Widened
Any numeric measurements of the spell’s area increase by 100%"","""")"),"")</f>
        <v/>
      </c>
      <c r="O174" s="16"/>
      <c r="P17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4" s="16"/>
      <c r="R174" s="25" t="str">
        <f t="shared" si="27"/>
        <v/>
      </c>
      <c r="S174" s="16"/>
      <c r="T174" s="25" t="str">
        <f t="shared" si="28"/>
        <v/>
      </c>
      <c r="U174" s="16"/>
      <c r="V17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4" s="3"/>
      <c r="X174" s="3"/>
      <c r="Y174" s="16"/>
      <c r="Z174" s="28"/>
    </row>
    <row r="175">
      <c r="B175" s="37"/>
      <c r="C175" s="37"/>
      <c r="D175" s="30" t="str">
        <f t="shared" si="25"/>
        <v/>
      </c>
      <c r="E175" s="21"/>
      <c r="F175" s="31" t="str">
        <f t="shared" si="26"/>
        <v/>
      </c>
      <c r="G175" s="21"/>
      <c r="H17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5" s="21"/>
      <c r="J17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5" s="21"/>
      <c r="L17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5" s="21"/>
      <c r="N175" s="31" t="str">
        <f>IFERROR(__xludf.DUMMYFUNCTION("indirect(""Dupe!N""&amp;row())&amp;if(regexmatch(indirect(""C""&amp;row()),""Widen""),""
Widened
Any numeric measurements of the spell’s area increase by 100%"","""")"),"")</f>
        <v/>
      </c>
      <c r="O175" s="21"/>
      <c r="P17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5" s="21"/>
      <c r="R175" s="31" t="str">
        <f t="shared" si="27"/>
        <v/>
      </c>
      <c r="S175" s="21"/>
      <c r="T175" s="31" t="str">
        <f t="shared" si="28"/>
        <v/>
      </c>
      <c r="U175" s="21"/>
      <c r="V17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5" s="9"/>
      <c r="X175" s="9"/>
      <c r="Y175" s="21"/>
      <c r="Z175" s="34"/>
    </row>
    <row r="176">
      <c r="B176" s="35"/>
      <c r="C176" s="35"/>
      <c r="D176" s="24" t="str">
        <f t="shared" si="25"/>
        <v/>
      </c>
      <c r="E176" s="16"/>
      <c r="F176" s="25" t="str">
        <f t="shared" si="26"/>
        <v/>
      </c>
      <c r="G176" s="16"/>
      <c r="H17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6" s="16"/>
      <c r="J17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6" s="16"/>
      <c r="L17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6" s="16"/>
      <c r="N176" s="25" t="str">
        <f>IFERROR(__xludf.DUMMYFUNCTION("indirect(""Dupe!N""&amp;row())&amp;if(regexmatch(indirect(""C""&amp;row()),""Widen""),""
Widened
Any numeric measurements of the spell’s area increase by 100%"","""")"),"")</f>
        <v/>
      </c>
      <c r="O176" s="16"/>
      <c r="P17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6" s="16"/>
      <c r="R176" s="25" t="str">
        <f t="shared" si="27"/>
        <v/>
      </c>
      <c r="S176" s="16"/>
      <c r="T176" s="25" t="str">
        <f t="shared" si="28"/>
        <v/>
      </c>
      <c r="U176" s="16"/>
      <c r="V17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6" s="3"/>
      <c r="X176" s="3"/>
      <c r="Y176" s="16"/>
      <c r="Z176" s="28"/>
    </row>
    <row r="177">
      <c r="B177" s="29"/>
      <c r="C177" s="29"/>
      <c r="D177" s="30" t="str">
        <f t="shared" si="25"/>
        <v/>
      </c>
      <c r="E177" s="21"/>
      <c r="F177" s="31" t="str">
        <f t="shared" si="26"/>
        <v/>
      </c>
      <c r="G177" s="21"/>
      <c r="H17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7" s="21"/>
      <c r="J17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7" s="21"/>
      <c r="L17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7" s="21"/>
      <c r="N177" s="31" t="str">
        <f>IFERROR(__xludf.DUMMYFUNCTION("indirect(""Dupe!N""&amp;row())&amp;if(regexmatch(indirect(""C""&amp;row()),""Widen""),""
Widened
Any numeric measurements of the spell’s area increase by 100%"","""")"),"")</f>
        <v/>
      </c>
      <c r="O177" s="21"/>
      <c r="P17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7" s="21"/>
      <c r="R177" s="31" t="str">
        <f t="shared" si="27"/>
        <v/>
      </c>
      <c r="S177" s="21"/>
      <c r="T177" s="31" t="str">
        <f t="shared" si="28"/>
        <v/>
      </c>
      <c r="U177" s="21"/>
      <c r="V17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7" s="9"/>
      <c r="X177" s="9"/>
      <c r="Y177" s="21"/>
      <c r="Z177" s="34"/>
    </row>
    <row r="178">
      <c r="B178" s="35"/>
      <c r="C178" s="35"/>
      <c r="D178" s="24" t="str">
        <f t="shared" si="25"/>
        <v/>
      </c>
      <c r="E178" s="16"/>
      <c r="F178" s="25" t="str">
        <f t="shared" si="26"/>
        <v/>
      </c>
      <c r="G178" s="16"/>
      <c r="H17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8" s="16"/>
      <c r="J17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8" s="16"/>
      <c r="L17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8" s="16"/>
      <c r="N178" s="25" t="str">
        <f>IFERROR(__xludf.DUMMYFUNCTION("indirect(""Dupe!N""&amp;row())&amp;if(regexmatch(indirect(""C""&amp;row()),""Widen""),""
Widened
Any numeric measurements of the spell’s area increase by 100%"","""")"),"")</f>
        <v/>
      </c>
      <c r="O178" s="16"/>
      <c r="P17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8" s="16"/>
      <c r="R178" s="25" t="str">
        <f t="shared" si="27"/>
        <v/>
      </c>
      <c r="S178" s="16"/>
      <c r="T178" s="25" t="str">
        <f t="shared" si="28"/>
        <v/>
      </c>
      <c r="U178" s="16"/>
      <c r="V17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8" s="3"/>
      <c r="X178" s="3"/>
      <c r="Y178" s="16"/>
      <c r="Z178" s="28"/>
    </row>
    <row r="179">
      <c r="B179" s="29"/>
      <c r="C179" s="29"/>
      <c r="D179" s="30" t="str">
        <f t="shared" si="25"/>
        <v/>
      </c>
      <c r="E179" s="21"/>
      <c r="F179" s="31" t="str">
        <f t="shared" si="26"/>
        <v/>
      </c>
      <c r="G179" s="21"/>
      <c r="H17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9" s="21"/>
      <c r="J17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9" s="21"/>
      <c r="L17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9" s="21"/>
      <c r="N179" s="31" t="str">
        <f>IFERROR(__xludf.DUMMYFUNCTION("indirect(""Dupe!N""&amp;row())&amp;if(regexmatch(indirect(""C""&amp;row()),""Widen""),""
Widened
Any numeric measurements of the spell’s area increase by 100%"","""")"),"")</f>
        <v/>
      </c>
      <c r="O179" s="21"/>
      <c r="P17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9" s="21"/>
      <c r="R179" s="31" t="str">
        <f t="shared" si="27"/>
        <v/>
      </c>
      <c r="S179" s="21"/>
      <c r="T179" s="31" t="str">
        <f t="shared" si="28"/>
        <v/>
      </c>
      <c r="U179" s="21"/>
      <c r="V17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9" s="9"/>
      <c r="X179" s="9"/>
      <c r="Y179" s="21"/>
      <c r="Z179" s="34"/>
    </row>
    <row r="180">
      <c r="B180" s="35"/>
      <c r="C180" s="35"/>
      <c r="D180" s="24" t="str">
        <f t="shared" si="25"/>
        <v/>
      </c>
      <c r="E180" s="16"/>
      <c r="F180" s="25" t="str">
        <f t="shared" si="26"/>
        <v/>
      </c>
      <c r="G180" s="16"/>
      <c r="H18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0" s="16"/>
      <c r="J18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0" s="16"/>
      <c r="L18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0" s="16"/>
      <c r="N180" s="25" t="str">
        <f>IFERROR(__xludf.DUMMYFUNCTION("indirect(""Dupe!N""&amp;row())&amp;if(regexmatch(indirect(""C""&amp;row()),""Widen""),""
Widened
Any numeric measurements of the spell’s area increase by 100%"","""")"),"")</f>
        <v/>
      </c>
      <c r="O180" s="16"/>
      <c r="P18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0" s="16"/>
      <c r="R180" s="25" t="str">
        <f t="shared" si="27"/>
        <v/>
      </c>
      <c r="S180" s="16"/>
      <c r="T180" s="25" t="str">
        <f t="shared" si="28"/>
        <v/>
      </c>
      <c r="U180" s="16"/>
      <c r="V18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0" s="3"/>
      <c r="X180" s="3"/>
      <c r="Y180" s="16"/>
      <c r="Z180" s="28"/>
    </row>
    <row r="182">
      <c r="B182" s="14" t="s">
        <v>10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15" t="s">
        <v>13</v>
      </c>
      <c r="W182" s="3"/>
      <c r="X182" s="16"/>
      <c r="Y182" s="17" t="str">
        <f>SUM(Z184:Z204)&amp;"/"&amp;if(dget(base_spells,"7th",F2:F3),dget(base_spells,"7th",F2:F3)+dget(bonus_spells,"7th",H2:H3),0)</f>
        <v>0/1</v>
      </c>
      <c r="Z182" s="5"/>
    </row>
    <row r="183">
      <c r="B183" s="19" t="s">
        <v>14</v>
      </c>
      <c r="C183" s="19" t="s">
        <v>15</v>
      </c>
      <c r="D183" s="20" t="s">
        <v>16</v>
      </c>
      <c r="E183" s="21"/>
      <c r="F183" s="20" t="s">
        <v>17</v>
      </c>
      <c r="G183" s="21"/>
      <c r="H183" s="20" t="s">
        <v>18</v>
      </c>
      <c r="I183" s="21"/>
      <c r="J183" s="20" t="s">
        <v>19</v>
      </c>
      <c r="K183" s="21"/>
      <c r="L183" s="20" t="s">
        <v>20</v>
      </c>
      <c r="M183" s="21"/>
      <c r="N183" s="20" t="s">
        <v>21</v>
      </c>
      <c r="O183" s="21"/>
      <c r="P183" s="20" t="s">
        <v>22</v>
      </c>
      <c r="Q183" s="21"/>
      <c r="R183" s="20" t="s">
        <v>23</v>
      </c>
      <c r="S183" s="21"/>
      <c r="T183" s="20" t="s">
        <v>24</v>
      </c>
      <c r="U183" s="21"/>
      <c r="V183" s="20" t="s">
        <v>25</v>
      </c>
      <c r="W183" s="9"/>
      <c r="X183" s="9"/>
      <c r="Y183" s="21"/>
      <c r="Z183" s="19" t="s">
        <v>26</v>
      </c>
    </row>
    <row r="184">
      <c r="B184" s="23"/>
      <c r="C184" s="23"/>
      <c r="D184" s="24" t="str">
        <f t="shared" ref="D184:D204" si="29">indirect("Dupe!D"&amp;ROW())</f>
        <v/>
      </c>
      <c r="E184" s="16"/>
      <c r="F184" s="25" t="str">
        <f t="shared" ref="F184:F204" si="30">indirect("Dupe!F"&amp;ROW())</f>
        <v/>
      </c>
      <c r="G184" s="16"/>
      <c r="H18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4" s="16"/>
      <c r="J18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4" s="16"/>
      <c r="L18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4" s="16"/>
      <c r="N184" s="25" t="str">
        <f>IFERROR(__xludf.DUMMYFUNCTION("indirect(""Dupe!N""&amp;row())&amp;if(regexmatch(indirect(""C""&amp;row()),""Widen""),""
Widened
Any numeric measurements of the spell’s area increase by 100%"","""")"),"")</f>
        <v/>
      </c>
      <c r="O184" s="16"/>
      <c r="P18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4" s="16"/>
      <c r="R184" s="25" t="str">
        <f t="shared" ref="R184:R204" si="31">indirect("Dupe!R"&amp;row())</f>
        <v/>
      </c>
      <c r="S184" s="16"/>
      <c r="T184" s="25" t="str">
        <f t="shared" ref="T184:T204" si="32">indirect("Dupe!T"&amp;row())</f>
        <v/>
      </c>
      <c r="U184" s="16"/>
      <c r="V18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4" s="3"/>
      <c r="X184" s="3"/>
      <c r="Y184" s="16"/>
      <c r="Z184" s="43"/>
    </row>
    <row r="185">
      <c r="B185" s="29"/>
      <c r="C185" s="29"/>
      <c r="D185" s="30" t="str">
        <f t="shared" si="29"/>
        <v/>
      </c>
      <c r="E185" s="21"/>
      <c r="F185" s="31" t="str">
        <f t="shared" si="30"/>
        <v/>
      </c>
      <c r="G185" s="21"/>
      <c r="H18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5" s="21"/>
      <c r="J18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5" s="21"/>
      <c r="L18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5" s="21"/>
      <c r="N185" s="31" t="str">
        <f>IFERROR(__xludf.DUMMYFUNCTION("indirect(""Dupe!N""&amp;row())&amp;if(regexmatch(indirect(""C""&amp;row()),""Widen""),""
Widened
Any numeric measurements of the spell’s area increase by 100%"","""")"),"")</f>
        <v/>
      </c>
      <c r="O185" s="21"/>
      <c r="P18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5" s="21"/>
      <c r="R185" s="31" t="str">
        <f t="shared" si="31"/>
        <v/>
      </c>
      <c r="S185" s="21"/>
      <c r="T185" s="31" t="str">
        <f t="shared" si="32"/>
        <v/>
      </c>
      <c r="U185" s="21"/>
      <c r="V18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5" s="9"/>
      <c r="X185" s="9"/>
      <c r="Y185" s="21"/>
      <c r="Z185" s="34"/>
    </row>
    <row r="186">
      <c r="B186" s="35"/>
      <c r="C186" s="35"/>
      <c r="D186" s="24" t="str">
        <f t="shared" si="29"/>
        <v/>
      </c>
      <c r="E186" s="16"/>
      <c r="F186" s="25" t="str">
        <f t="shared" si="30"/>
        <v/>
      </c>
      <c r="G186" s="16"/>
      <c r="H18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6" s="16"/>
      <c r="J18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6" s="16"/>
      <c r="L18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6" s="16"/>
      <c r="N186" s="25" t="str">
        <f>IFERROR(__xludf.DUMMYFUNCTION("indirect(""Dupe!N""&amp;row())&amp;if(regexmatch(indirect(""C""&amp;row()),""Widen""),""
Widened
Any numeric measurements of the spell’s area increase by 100%"","""")"),"")</f>
        <v/>
      </c>
      <c r="O186" s="16"/>
      <c r="P18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6" s="16"/>
      <c r="R186" s="25" t="str">
        <f t="shared" si="31"/>
        <v/>
      </c>
      <c r="S186" s="16"/>
      <c r="T186" s="25" t="str">
        <f t="shared" si="32"/>
        <v/>
      </c>
      <c r="U186" s="16"/>
      <c r="V18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6" s="3"/>
      <c r="X186" s="3"/>
      <c r="Y186" s="16"/>
      <c r="Z186" s="28"/>
    </row>
    <row r="187">
      <c r="B187" s="37"/>
      <c r="C187" s="37"/>
      <c r="D187" s="30" t="str">
        <f t="shared" si="29"/>
        <v/>
      </c>
      <c r="E187" s="21"/>
      <c r="F187" s="31" t="str">
        <f t="shared" si="30"/>
        <v/>
      </c>
      <c r="G187" s="21"/>
      <c r="H18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7" s="21"/>
      <c r="J18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7" s="21"/>
      <c r="L18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7" s="21"/>
      <c r="N187" s="31" t="str">
        <f>IFERROR(__xludf.DUMMYFUNCTION("indirect(""Dupe!N""&amp;row())&amp;if(regexmatch(indirect(""C""&amp;row()),""Widen""),""
Widened
Any numeric measurements of the spell’s area increase by 100%"","""")"),"")</f>
        <v/>
      </c>
      <c r="O187" s="21"/>
      <c r="P18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7" s="21"/>
      <c r="R187" s="31" t="str">
        <f t="shared" si="31"/>
        <v/>
      </c>
      <c r="S187" s="21"/>
      <c r="T187" s="31" t="str">
        <f t="shared" si="32"/>
        <v/>
      </c>
      <c r="U187" s="21"/>
      <c r="V18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7" s="9"/>
      <c r="X187" s="9"/>
      <c r="Y187" s="21"/>
      <c r="Z187" s="34"/>
    </row>
    <row r="188">
      <c r="B188" s="35"/>
      <c r="C188" s="35"/>
      <c r="D188" s="24" t="str">
        <f t="shared" si="29"/>
        <v/>
      </c>
      <c r="E188" s="16"/>
      <c r="F188" s="25" t="str">
        <f t="shared" si="30"/>
        <v/>
      </c>
      <c r="G188" s="16"/>
      <c r="H18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8" s="16"/>
      <c r="J18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8" s="16"/>
      <c r="L18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8" s="16"/>
      <c r="N188" s="25" t="str">
        <f>IFERROR(__xludf.DUMMYFUNCTION("indirect(""Dupe!N""&amp;row())&amp;if(regexmatch(indirect(""C""&amp;row()),""Widen""),""
Widened
Any numeric measurements of the spell’s area increase by 100%"","""")"),"")</f>
        <v/>
      </c>
      <c r="O188" s="16"/>
      <c r="P18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8" s="16"/>
      <c r="R188" s="25" t="str">
        <f t="shared" si="31"/>
        <v/>
      </c>
      <c r="S188" s="16"/>
      <c r="T188" s="25" t="str">
        <f t="shared" si="32"/>
        <v/>
      </c>
      <c r="U188" s="16"/>
      <c r="V18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8" s="3"/>
      <c r="X188" s="3"/>
      <c r="Y188" s="16"/>
      <c r="Z188" s="28"/>
    </row>
    <row r="189">
      <c r="B189" s="37"/>
      <c r="C189" s="37"/>
      <c r="D189" s="30" t="str">
        <f t="shared" si="29"/>
        <v/>
      </c>
      <c r="E189" s="21"/>
      <c r="F189" s="31" t="str">
        <f t="shared" si="30"/>
        <v/>
      </c>
      <c r="G189" s="21"/>
      <c r="H18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9" s="21"/>
      <c r="J18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9" s="21"/>
      <c r="L18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9" s="21"/>
      <c r="N189" s="31" t="str">
        <f>IFERROR(__xludf.DUMMYFUNCTION("indirect(""Dupe!N""&amp;row())&amp;if(regexmatch(indirect(""C""&amp;row()),""Widen""),""
Widened
Any numeric measurements of the spell’s area increase by 100%"","""")"),"")</f>
        <v/>
      </c>
      <c r="O189" s="21"/>
      <c r="P18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9" s="21"/>
      <c r="R189" s="31" t="str">
        <f t="shared" si="31"/>
        <v/>
      </c>
      <c r="S189" s="21"/>
      <c r="T189" s="31" t="str">
        <f t="shared" si="32"/>
        <v/>
      </c>
      <c r="U189" s="21"/>
      <c r="V18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9" s="9"/>
      <c r="X189" s="9"/>
      <c r="Y189" s="21"/>
      <c r="Z189" s="34"/>
    </row>
    <row r="190">
      <c r="B190" s="35"/>
      <c r="C190" s="35"/>
      <c r="D190" s="24" t="str">
        <f t="shared" si="29"/>
        <v/>
      </c>
      <c r="E190" s="16"/>
      <c r="F190" s="25" t="str">
        <f t="shared" si="30"/>
        <v/>
      </c>
      <c r="G190" s="16"/>
      <c r="H19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0" s="16"/>
      <c r="J19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0" s="16"/>
      <c r="L19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0" s="16"/>
      <c r="N190" s="25" t="str">
        <f>IFERROR(__xludf.DUMMYFUNCTION("indirect(""Dupe!N""&amp;row())&amp;if(regexmatch(indirect(""C""&amp;row()),""Widen""),""
Widened
Any numeric measurements of the spell’s area increase by 100%"","""")"),"")</f>
        <v/>
      </c>
      <c r="O190" s="16"/>
      <c r="P19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0" s="16"/>
      <c r="R190" s="25" t="str">
        <f t="shared" si="31"/>
        <v/>
      </c>
      <c r="S190" s="16"/>
      <c r="T190" s="25" t="str">
        <f t="shared" si="32"/>
        <v/>
      </c>
      <c r="U190" s="16"/>
      <c r="V19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0" s="3"/>
      <c r="X190" s="3"/>
      <c r="Y190" s="16"/>
      <c r="Z190" s="28"/>
    </row>
    <row r="191">
      <c r="B191" s="37"/>
      <c r="C191" s="37"/>
      <c r="D191" s="30" t="str">
        <f t="shared" si="29"/>
        <v/>
      </c>
      <c r="E191" s="21"/>
      <c r="F191" s="31" t="str">
        <f t="shared" si="30"/>
        <v/>
      </c>
      <c r="G191" s="21"/>
      <c r="H19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1" s="21"/>
      <c r="J19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1" s="21"/>
      <c r="L19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1" s="21"/>
      <c r="N191" s="31" t="str">
        <f>IFERROR(__xludf.DUMMYFUNCTION("indirect(""Dupe!N""&amp;row())&amp;if(regexmatch(indirect(""C""&amp;row()),""Widen""),""
Widened
Any numeric measurements of the spell’s area increase by 100%"","""")"),"")</f>
        <v/>
      </c>
      <c r="O191" s="21"/>
      <c r="P19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1" s="21"/>
      <c r="R191" s="31" t="str">
        <f t="shared" si="31"/>
        <v/>
      </c>
      <c r="S191" s="21"/>
      <c r="T191" s="31" t="str">
        <f t="shared" si="32"/>
        <v/>
      </c>
      <c r="U191" s="21"/>
      <c r="V19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1" s="9"/>
      <c r="X191" s="9"/>
      <c r="Y191" s="21"/>
      <c r="Z191" s="34"/>
    </row>
    <row r="192">
      <c r="B192" s="35"/>
      <c r="C192" s="35"/>
      <c r="D192" s="24" t="str">
        <f t="shared" si="29"/>
        <v/>
      </c>
      <c r="E192" s="16"/>
      <c r="F192" s="25" t="str">
        <f t="shared" si="30"/>
        <v/>
      </c>
      <c r="G192" s="16"/>
      <c r="H19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2" s="16"/>
      <c r="J19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2" s="16"/>
      <c r="L19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2" s="16"/>
      <c r="N192" s="25" t="str">
        <f>IFERROR(__xludf.DUMMYFUNCTION("indirect(""Dupe!N""&amp;row())&amp;if(regexmatch(indirect(""C""&amp;row()),""Widen""),""
Widened
Any numeric measurements of the spell’s area increase by 100%"","""")"),"")</f>
        <v/>
      </c>
      <c r="O192" s="16"/>
      <c r="P19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2" s="16"/>
      <c r="R192" s="25" t="str">
        <f t="shared" si="31"/>
        <v/>
      </c>
      <c r="S192" s="16"/>
      <c r="T192" s="25" t="str">
        <f t="shared" si="32"/>
        <v/>
      </c>
      <c r="U192" s="16"/>
      <c r="V19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2" s="3"/>
      <c r="X192" s="3"/>
      <c r="Y192" s="16"/>
      <c r="Z192" s="28"/>
    </row>
    <row r="193">
      <c r="B193" s="29"/>
      <c r="C193" s="29"/>
      <c r="D193" s="30" t="str">
        <f t="shared" si="29"/>
        <v/>
      </c>
      <c r="E193" s="21"/>
      <c r="F193" s="31" t="str">
        <f t="shared" si="30"/>
        <v/>
      </c>
      <c r="G193" s="21"/>
      <c r="H19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3" s="21"/>
      <c r="J19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3" s="21"/>
      <c r="L19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3" s="21"/>
      <c r="N193" s="31" t="str">
        <f>IFERROR(__xludf.DUMMYFUNCTION("indirect(""Dupe!N""&amp;row())&amp;if(regexmatch(indirect(""C""&amp;row()),""Widen""),""
Widened
Any numeric measurements of the spell’s area increase by 100%"","""")"),"")</f>
        <v/>
      </c>
      <c r="O193" s="21"/>
      <c r="P19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3" s="21"/>
      <c r="R193" s="31" t="str">
        <f t="shared" si="31"/>
        <v/>
      </c>
      <c r="S193" s="21"/>
      <c r="T193" s="31" t="str">
        <f t="shared" si="32"/>
        <v/>
      </c>
      <c r="U193" s="21"/>
      <c r="V19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3" s="9"/>
      <c r="X193" s="9"/>
      <c r="Y193" s="21"/>
      <c r="Z193" s="34"/>
    </row>
    <row r="194">
      <c r="B194" s="35"/>
      <c r="C194" s="35"/>
      <c r="D194" s="24" t="str">
        <f t="shared" si="29"/>
        <v/>
      </c>
      <c r="E194" s="16"/>
      <c r="F194" s="25" t="str">
        <f t="shared" si="30"/>
        <v/>
      </c>
      <c r="G194" s="16"/>
      <c r="H19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4" s="16"/>
      <c r="J19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4" s="16"/>
      <c r="L19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4" s="16"/>
      <c r="N194" s="25" t="str">
        <f>IFERROR(__xludf.DUMMYFUNCTION("indirect(""Dupe!N""&amp;row())&amp;if(regexmatch(indirect(""C""&amp;row()),""Widen""),""
Widened
Any numeric measurements of the spell’s area increase by 100%"","""")"),"")</f>
        <v/>
      </c>
      <c r="O194" s="16"/>
      <c r="P19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4" s="16"/>
      <c r="R194" s="25" t="str">
        <f t="shared" si="31"/>
        <v/>
      </c>
      <c r="S194" s="16"/>
      <c r="T194" s="25" t="str">
        <f t="shared" si="32"/>
        <v/>
      </c>
      <c r="U194" s="16"/>
      <c r="V19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4" s="3"/>
      <c r="X194" s="3"/>
      <c r="Y194" s="16"/>
      <c r="Z194" s="28"/>
    </row>
    <row r="195">
      <c r="B195" s="29"/>
      <c r="C195" s="29"/>
      <c r="D195" s="30" t="str">
        <f t="shared" si="29"/>
        <v/>
      </c>
      <c r="E195" s="21"/>
      <c r="F195" s="31" t="str">
        <f t="shared" si="30"/>
        <v/>
      </c>
      <c r="G195" s="21"/>
      <c r="H19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5" s="21"/>
      <c r="J19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5" s="21"/>
      <c r="L19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5" s="21"/>
      <c r="N195" s="31" t="str">
        <f>IFERROR(__xludf.DUMMYFUNCTION("indirect(""Dupe!N""&amp;row())&amp;if(regexmatch(indirect(""C""&amp;row()),""Widen""),""
Widened
Any numeric measurements of the spell’s area increase by 100%"","""")"),"")</f>
        <v/>
      </c>
      <c r="O195" s="21"/>
      <c r="P19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5" s="21"/>
      <c r="R195" s="31" t="str">
        <f t="shared" si="31"/>
        <v/>
      </c>
      <c r="S195" s="21"/>
      <c r="T195" s="31" t="str">
        <f t="shared" si="32"/>
        <v/>
      </c>
      <c r="U195" s="21"/>
      <c r="V19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5" s="9"/>
      <c r="X195" s="9"/>
      <c r="Y195" s="21"/>
      <c r="Z195" s="34"/>
    </row>
    <row r="196">
      <c r="B196" s="41"/>
      <c r="C196" s="41"/>
      <c r="D196" s="24" t="str">
        <f t="shared" si="29"/>
        <v/>
      </c>
      <c r="E196" s="16"/>
      <c r="F196" s="25" t="str">
        <f t="shared" si="30"/>
        <v/>
      </c>
      <c r="G196" s="16"/>
      <c r="H19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6" s="16"/>
      <c r="J19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6" s="16"/>
      <c r="L19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6" s="16"/>
      <c r="N196" s="25" t="str">
        <f>IFERROR(__xludf.DUMMYFUNCTION("indirect(""Dupe!N""&amp;row())&amp;if(regexmatch(indirect(""C""&amp;row()),""Widen""),""
Widened
Any numeric measurements of the spell’s area increase by 100%"","""")"),"")</f>
        <v/>
      </c>
      <c r="O196" s="16"/>
      <c r="P19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6" s="16"/>
      <c r="R196" s="25" t="str">
        <f t="shared" si="31"/>
        <v/>
      </c>
      <c r="S196" s="16"/>
      <c r="T196" s="25" t="str">
        <f t="shared" si="32"/>
        <v/>
      </c>
      <c r="U196" s="16"/>
      <c r="V19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6" s="3"/>
      <c r="X196" s="3"/>
      <c r="Y196" s="16"/>
      <c r="Z196" s="28"/>
    </row>
    <row r="197">
      <c r="B197" s="37"/>
      <c r="C197" s="37"/>
      <c r="D197" s="30" t="str">
        <f t="shared" si="29"/>
        <v/>
      </c>
      <c r="E197" s="21"/>
      <c r="F197" s="31" t="str">
        <f t="shared" si="30"/>
        <v/>
      </c>
      <c r="G197" s="21"/>
      <c r="H19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7" s="21"/>
      <c r="J19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7" s="21"/>
      <c r="L19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7" s="21"/>
      <c r="N197" s="31" t="str">
        <f>IFERROR(__xludf.DUMMYFUNCTION("indirect(""Dupe!N""&amp;row())&amp;if(regexmatch(indirect(""C""&amp;row()),""Widen""),""
Widened
Any numeric measurements of the spell’s area increase by 100%"","""")"),"")</f>
        <v/>
      </c>
      <c r="O197" s="21"/>
      <c r="P19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7" s="21"/>
      <c r="R197" s="31" t="str">
        <f t="shared" si="31"/>
        <v/>
      </c>
      <c r="S197" s="21"/>
      <c r="T197" s="31" t="str">
        <f t="shared" si="32"/>
        <v/>
      </c>
      <c r="U197" s="21"/>
      <c r="V19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7" s="9"/>
      <c r="X197" s="9"/>
      <c r="Y197" s="21"/>
      <c r="Z197" s="34"/>
    </row>
    <row r="198">
      <c r="B198" s="35"/>
      <c r="C198" s="35"/>
      <c r="D198" s="24" t="str">
        <f t="shared" si="29"/>
        <v/>
      </c>
      <c r="E198" s="16"/>
      <c r="F198" s="25" t="str">
        <f t="shared" si="30"/>
        <v/>
      </c>
      <c r="G198" s="16"/>
      <c r="H19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8" s="16"/>
      <c r="J19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8" s="16"/>
      <c r="L19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8" s="16"/>
      <c r="N198" s="25" t="str">
        <f>IFERROR(__xludf.DUMMYFUNCTION("indirect(""Dupe!N""&amp;row())&amp;if(regexmatch(indirect(""C""&amp;row()),""Widen""),""
Widened
Any numeric measurements of the spell’s area increase by 100%"","""")"),"")</f>
        <v/>
      </c>
      <c r="O198" s="16"/>
      <c r="P19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8" s="16"/>
      <c r="R198" s="25" t="str">
        <f t="shared" si="31"/>
        <v/>
      </c>
      <c r="S198" s="16"/>
      <c r="T198" s="25" t="str">
        <f t="shared" si="32"/>
        <v/>
      </c>
      <c r="U198" s="16"/>
      <c r="V19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8" s="3"/>
      <c r="X198" s="3"/>
      <c r="Y198" s="16"/>
      <c r="Z198" s="28"/>
    </row>
    <row r="199">
      <c r="B199" s="37"/>
      <c r="C199" s="37"/>
      <c r="D199" s="30" t="str">
        <f t="shared" si="29"/>
        <v/>
      </c>
      <c r="E199" s="21"/>
      <c r="F199" s="31" t="str">
        <f t="shared" si="30"/>
        <v/>
      </c>
      <c r="G199" s="21"/>
      <c r="H19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9" s="21"/>
      <c r="J19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9" s="21"/>
      <c r="L19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9" s="21"/>
      <c r="N199" s="31" t="str">
        <f>IFERROR(__xludf.DUMMYFUNCTION("indirect(""Dupe!N""&amp;row())&amp;if(regexmatch(indirect(""C""&amp;row()),""Widen""),""
Widened
Any numeric measurements of the spell’s area increase by 100%"","""")"),"")</f>
        <v/>
      </c>
      <c r="O199" s="21"/>
      <c r="P19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9" s="21"/>
      <c r="R199" s="31" t="str">
        <f t="shared" si="31"/>
        <v/>
      </c>
      <c r="S199" s="21"/>
      <c r="T199" s="31" t="str">
        <f t="shared" si="32"/>
        <v/>
      </c>
      <c r="U199" s="21"/>
      <c r="V19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9" s="9"/>
      <c r="X199" s="9"/>
      <c r="Y199" s="21"/>
      <c r="Z199" s="34"/>
    </row>
    <row r="200">
      <c r="B200" s="35"/>
      <c r="C200" s="35"/>
      <c r="D200" s="24" t="str">
        <f t="shared" si="29"/>
        <v/>
      </c>
      <c r="E200" s="16"/>
      <c r="F200" s="25" t="str">
        <f t="shared" si="30"/>
        <v/>
      </c>
      <c r="G200" s="16"/>
      <c r="H20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0" s="16"/>
      <c r="J20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0" s="16"/>
      <c r="L20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0" s="16"/>
      <c r="N200" s="25" t="str">
        <f>IFERROR(__xludf.DUMMYFUNCTION("indirect(""Dupe!N""&amp;row())&amp;if(regexmatch(indirect(""C""&amp;row()),""Widen""),""
Widened
Any numeric measurements of the spell’s area increase by 100%"","""")"),"")</f>
        <v/>
      </c>
      <c r="O200" s="16"/>
      <c r="P20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0" s="16"/>
      <c r="R200" s="25" t="str">
        <f t="shared" si="31"/>
        <v/>
      </c>
      <c r="S200" s="16"/>
      <c r="T200" s="25" t="str">
        <f t="shared" si="32"/>
        <v/>
      </c>
      <c r="U200" s="16"/>
      <c r="V20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0" s="3"/>
      <c r="X200" s="3"/>
      <c r="Y200" s="16"/>
      <c r="Z200" s="28"/>
    </row>
    <row r="201">
      <c r="B201" s="29"/>
      <c r="C201" s="29"/>
      <c r="D201" s="30" t="str">
        <f t="shared" si="29"/>
        <v/>
      </c>
      <c r="E201" s="21"/>
      <c r="F201" s="31" t="str">
        <f t="shared" si="30"/>
        <v/>
      </c>
      <c r="G201" s="21"/>
      <c r="H20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1" s="21"/>
      <c r="J20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1" s="21"/>
      <c r="L20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1" s="21"/>
      <c r="N201" s="31" t="str">
        <f>IFERROR(__xludf.DUMMYFUNCTION("indirect(""Dupe!N""&amp;row())&amp;if(regexmatch(indirect(""C""&amp;row()),""Widen""),""
Widened
Any numeric measurements of the spell’s area increase by 100%"","""")"),"")</f>
        <v/>
      </c>
      <c r="O201" s="21"/>
      <c r="P20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1" s="21"/>
      <c r="R201" s="31" t="str">
        <f t="shared" si="31"/>
        <v/>
      </c>
      <c r="S201" s="21"/>
      <c r="T201" s="31" t="str">
        <f t="shared" si="32"/>
        <v/>
      </c>
      <c r="U201" s="21"/>
      <c r="V20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1" s="9"/>
      <c r="X201" s="9"/>
      <c r="Y201" s="21"/>
      <c r="Z201" s="34"/>
    </row>
    <row r="202">
      <c r="B202" s="35"/>
      <c r="C202" s="35"/>
      <c r="D202" s="24" t="str">
        <f t="shared" si="29"/>
        <v/>
      </c>
      <c r="E202" s="16"/>
      <c r="F202" s="25" t="str">
        <f t="shared" si="30"/>
        <v/>
      </c>
      <c r="G202" s="16"/>
      <c r="H20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2" s="16"/>
      <c r="J20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2" s="16"/>
      <c r="L20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2" s="16"/>
      <c r="N202" s="25" t="str">
        <f>IFERROR(__xludf.DUMMYFUNCTION("indirect(""Dupe!N""&amp;row())&amp;if(regexmatch(indirect(""C""&amp;row()),""Widen""),""
Widened
Any numeric measurements of the spell’s area increase by 100%"","""")"),"")</f>
        <v/>
      </c>
      <c r="O202" s="16"/>
      <c r="P20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2" s="16"/>
      <c r="R202" s="25" t="str">
        <f t="shared" si="31"/>
        <v/>
      </c>
      <c r="S202" s="16"/>
      <c r="T202" s="25" t="str">
        <f t="shared" si="32"/>
        <v/>
      </c>
      <c r="U202" s="16"/>
      <c r="V20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2" s="3"/>
      <c r="X202" s="3"/>
      <c r="Y202" s="16"/>
      <c r="Z202" s="28"/>
    </row>
    <row r="203">
      <c r="B203" s="29"/>
      <c r="C203" s="29"/>
      <c r="D203" s="30" t="str">
        <f t="shared" si="29"/>
        <v/>
      </c>
      <c r="E203" s="21"/>
      <c r="F203" s="31" t="str">
        <f t="shared" si="30"/>
        <v/>
      </c>
      <c r="G203" s="21"/>
      <c r="H20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3" s="21"/>
      <c r="J20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3" s="21"/>
      <c r="L20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3" s="21"/>
      <c r="N203" s="31" t="str">
        <f>IFERROR(__xludf.DUMMYFUNCTION("indirect(""Dupe!N""&amp;row())&amp;if(regexmatch(indirect(""C""&amp;row()),""Widen""),""
Widened
Any numeric measurements of the spell’s area increase by 100%"","""")"),"")</f>
        <v/>
      </c>
      <c r="O203" s="21"/>
      <c r="P20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3" s="21"/>
      <c r="R203" s="31" t="str">
        <f t="shared" si="31"/>
        <v/>
      </c>
      <c r="S203" s="21"/>
      <c r="T203" s="31" t="str">
        <f t="shared" si="32"/>
        <v/>
      </c>
      <c r="U203" s="21"/>
      <c r="V20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3" s="9"/>
      <c r="X203" s="9"/>
      <c r="Y203" s="21"/>
      <c r="Z203" s="34"/>
    </row>
    <row r="204">
      <c r="B204" s="35"/>
      <c r="C204" s="35"/>
      <c r="D204" s="24" t="str">
        <f t="shared" si="29"/>
        <v/>
      </c>
      <c r="E204" s="16"/>
      <c r="F204" s="25" t="str">
        <f t="shared" si="30"/>
        <v/>
      </c>
      <c r="G204" s="16"/>
      <c r="H20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4" s="16"/>
      <c r="J20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4" s="16"/>
      <c r="L20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4" s="16"/>
      <c r="N204" s="25" t="str">
        <f>IFERROR(__xludf.DUMMYFUNCTION("indirect(""Dupe!N""&amp;row())&amp;if(regexmatch(indirect(""C""&amp;row()),""Widen""),""
Widened
Any numeric measurements of the spell’s area increase by 100%"","""")"),"")</f>
        <v/>
      </c>
      <c r="O204" s="16"/>
      <c r="P20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4" s="16"/>
      <c r="R204" s="25" t="str">
        <f t="shared" si="31"/>
        <v/>
      </c>
      <c r="S204" s="16"/>
      <c r="T204" s="25" t="str">
        <f t="shared" si="32"/>
        <v/>
      </c>
      <c r="U204" s="16"/>
      <c r="V20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4" s="3"/>
      <c r="X204" s="3"/>
      <c r="Y204" s="16"/>
      <c r="Z204" s="28"/>
    </row>
    <row r="206">
      <c r="B206" s="14" t="s">
        <v>11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15" t="s">
        <v>13</v>
      </c>
      <c r="W206" s="3"/>
      <c r="X206" s="16"/>
      <c r="Y206" s="17" t="str">
        <f>SUM(Z208:Z228)&amp;"/"&amp;if(dget(base_spells,"8th",F2:F3),dget(base_spells,"8th",F2:F3)+dget(bonus_spells,"8th",H2:H3),0)</f>
        <v>0/0</v>
      </c>
      <c r="Z206" s="5"/>
    </row>
    <row r="207">
      <c r="B207" s="19" t="s">
        <v>14</v>
      </c>
      <c r="C207" s="19" t="s">
        <v>15</v>
      </c>
      <c r="D207" s="20" t="s">
        <v>16</v>
      </c>
      <c r="E207" s="21"/>
      <c r="F207" s="20" t="s">
        <v>17</v>
      </c>
      <c r="G207" s="21"/>
      <c r="H207" s="20" t="s">
        <v>18</v>
      </c>
      <c r="I207" s="21"/>
      <c r="J207" s="20" t="s">
        <v>19</v>
      </c>
      <c r="K207" s="21"/>
      <c r="L207" s="20" t="s">
        <v>20</v>
      </c>
      <c r="M207" s="21"/>
      <c r="N207" s="20" t="s">
        <v>21</v>
      </c>
      <c r="O207" s="21"/>
      <c r="P207" s="20" t="s">
        <v>22</v>
      </c>
      <c r="Q207" s="21"/>
      <c r="R207" s="20" t="s">
        <v>23</v>
      </c>
      <c r="S207" s="21"/>
      <c r="T207" s="20" t="s">
        <v>24</v>
      </c>
      <c r="U207" s="21"/>
      <c r="V207" s="20" t="s">
        <v>25</v>
      </c>
      <c r="W207" s="9"/>
      <c r="X207" s="9"/>
      <c r="Y207" s="21"/>
      <c r="Z207" s="19" t="s">
        <v>26</v>
      </c>
    </row>
    <row r="208">
      <c r="B208" s="23"/>
      <c r="C208" s="23"/>
      <c r="D208" s="24" t="str">
        <f t="shared" ref="D208:D228" si="33">indirect("Dupe!D"&amp;ROW())</f>
        <v/>
      </c>
      <c r="E208" s="16"/>
      <c r="F208" s="25" t="str">
        <f t="shared" ref="F208:F228" si="34">indirect("Dupe!F"&amp;ROW())</f>
        <v/>
      </c>
      <c r="G208" s="16"/>
      <c r="H20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8" s="16"/>
      <c r="J20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8" s="16"/>
      <c r="L20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8" s="16"/>
      <c r="N208" s="25" t="str">
        <f>IFERROR(__xludf.DUMMYFUNCTION("indirect(""Dupe!N""&amp;row())&amp;if(regexmatch(indirect(""C""&amp;row()),""Widen""),""
Widened
Any numeric measurements of the spell’s area increase by 100%"","""")"),"")</f>
        <v/>
      </c>
      <c r="O208" s="16"/>
      <c r="P20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8" s="16"/>
      <c r="R208" s="25" t="str">
        <f t="shared" ref="R208:R228" si="35">indirect("Dupe!R"&amp;row())</f>
        <v/>
      </c>
      <c r="S208" s="16"/>
      <c r="T208" s="25" t="str">
        <f t="shared" ref="T208:T228" si="36">indirect("Dupe!T"&amp;row())</f>
        <v/>
      </c>
      <c r="U208" s="16"/>
      <c r="V20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8" s="3"/>
      <c r="X208" s="3"/>
      <c r="Y208" s="16"/>
      <c r="Z208" s="43"/>
    </row>
    <row r="209">
      <c r="B209" s="29"/>
      <c r="C209" s="29"/>
      <c r="D209" s="30" t="str">
        <f t="shared" si="33"/>
        <v/>
      </c>
      <c r="E209" s="21"/>
      <c r="F209" s="31" t="str">
        <f t="shared" si="34"/>
        <v/>
      </c>
      <c r="G209" s="21"/>
      <c r="H20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9" s="21"/>
      <c r="J20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9" s="21"/>
      <c r="L20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9" s="21"/>
      <c r="N209" s="31" t="str">
        <f>IFERROR(__xludf.DUMMYFUNCTION("indirect(""Dupe!N""&amp;row())&amp;if(regexmatch(indirect(""C""&amp;row()),""Widen""),""
Widened
Any numeric measurements of the spell’s area increase by 100%"","""")"),"")</f>
        <v/>
      </c>
      <c r="O209" s="21"/>
      <c r="P20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9" s="21"/>
      <c r="R209" s="31" t="str">
        <f t="shared" si="35"/>
        <v/>
      </c>
      <c r="S209" s="21"/>
      <c r="T209" s="31" t="str">
        <f t="shared" si="36"/>
        <v/>
      </c>
      <c r="U209" s="21"/>
      <c r="V20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9" s="9"/>
      <c r="X209" s="9"/>
      <c r="Y209" s="21"/>
      <c r="Z209" s="34"/>
    </row>
    <row r="210">
      <c r="B210" s="35"/>
      <c r="C210" s="35"/>
      <c r="D210" s="24" t="str">
        <f t="shared" si="33"/>
        <v/>
      </c>
      <c r="E210" s="16"/>
      <c r="F210" s="25" t="str">
        <f t="shared" si="34"/>
        <v/>
      </c>
      <c r="G210" s="16"/>
      <c r="H21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0" s="16"/>
      <c r="J21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0" s="16"/>
      <c r="L21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0" s="16"/>
      <c r="N210" s="25" t="str">
        <f>IFERROR(__xludf.DUMMYFUNCTION("indirect(""Dupe!N""&amp;row())&amp;if(regexmatch(indirect(""C""&amp;row()),""Widen""),""
Widened
Any numeric measurements of the spell’s area increase by 100%"","""")"),"")</f>
        <v/>
      </c>
      <c r="O210" s="16"/>
      <c r="P21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0" s="16"/>
      <c r="R210" s="25" t="str">
        <f t="shared" si="35"/>
        <v/>
      </c>
      <c r="S210" s="16"/>
      <c r="T210" s="25" t="str">
        <f t="shared" si="36"/>
        <v/>
      </c>
      <c r="U210" s="16"/>
      <c r="V21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0" s="3"/>
      <c r="X210" s="3"/>
      <c r="Y210" s="16"/>
      <c r="Z210" s="28"/>
    </row>
    <row r="211">
      <c r="B211" s="37"/>
      <c r="C211" s="37"/>
      <c r="D211" s="30" t="str">
        <f t="shared" si="33"/>
        <v/>
      </c>
      <c r="E211" s="21"/>
      <c r="F211" s="31" t="str">
        <f t="shared" si="34"/>
        <v/>
      </c>
      <c r="G211" s="21"/>
      <c r="H21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1" s="21"/>
      <c r="J21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1" s="21"/>
      <c r="L21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1" s="21"/>
      <c r="N211" s="31" t="str">
        <f>IFERROR(__xludf.DUMMYFUNCTION("indirect(""Dupe!N""&amp;row())&amp;if(regexmatch(indirect(""C""&amp;row()),""Widen""),""
Widened
Any numeric measurements of the spell’s area increase by 100%"","""")"),"")</f>
        <v/>
      </c>
      <c r="O211" s="21"/>
      <c r="P21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1" s="21"/>
      <c r="R211" s="31" t="str">
        <f t="shared" si="35"/>
        <v/>
      </c>
      <c r="S211" s="21"/>
      <c r="T211" s="31" t="str">
        <f t="shared" si="36"/>
        <v/>
      </c>
      <c r="U211" s="21"/>
      <c r="V21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1" s="9"/>
      <c r="X211" s="9"/>
      <c r="Y211" s="21"/>
      <c r="Z211" s="34"/>
    </row>
    <row r="212">
      <c r="B212" s="35"/>
      <c r="C212" s="35"/>
      <c r="D212" s="24" t="str">
        <f t="shared" si="33"/>
        <v/>
      </c>
      <c r="E212" s="16"/>
      <c r="F212" s="25" t="str">
        <f t="shared" si="34"/>
        <v/>
      </c>
      <c r="G212" s="16"/>
      <c r="H21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2" s="16"/>
      <c r="J21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2" s="16"/>
      <c r="L21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2" s="16"/>
      <c r="N212" s="25" t="str">
        <f>IFERROR(__xludf.DUMMYFUNCTION("indirect(""Dupe!N""&amp;row())&amp;if(regexmatch(indirect(""C""&amp;row()),""Widen""),""
Widened
Any numeric measurements of the spell’s area increase by 100%"","""")"),"")</f>
        <v/>
      </c>
      <c r="O212" s="16"/>
      <c r="P21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2" s="16"/>
      <c r="R212" s="25" t="str">
        <f t="shared" si="35"/>
        <v/>
      </c>
      <c r="S212" s="16"/>
      <c r="T212" s="25" t="str">
        <f t="shared" si="36"/>
        <v/>
      </c>
      <c r="U212" s="16"/>
      <c r="V21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2" s="3"/>
      <c r="X212" s="3"/>
      <c r="Y212" s="16"/>
      <c r="Z212" s="28"/>
    </row>
    <row r="213">
      <c r="B213" s="37"/>
      <c r="C213" s="37"/>
      <c r="D213" s="30" t="str">
        <f t="shared" si="33"/>
        <v/>
      </c>
      <c r="E213" s="21"/>
      <c r="F213" s="31" t="str">
        <f t="shared" si="34"/>
        <v/>
      </c>
      <c r="G213" s="21"/>
      <c r="H21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3" s="21"/>
      <c r="J21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3" s="21"/>
      <c r="L21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3" s="21"/>
      <c r="N213" s="31" t="str">
        <f>IFERROR(__xludf.DUMMYFUNCTION("indirect(""Dupe!N""&amp;row())&amp;if(regexmatch(indirect(""C""&amp;row()),""Widen""),""
Widened
Any numeric measurements of the spell’s area increase by 100%"","""")"),"")</f>
        <v/>
      </c>
      <c r="O213" s="21"/>
      <c r="P21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3" s="21"/>
      <c r="R213" s="31" t="str">
        <f t="shared" si="35"/>
        <v/>
      </c>
      <c r="S213" s="21"/>
      <c r="T213" s="31" t="str">
        <f t="shared" si="36"/>
        <v/>
      </c>
      <c r="U213" s="21"/>
      <c r="V21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3" s="9"/>
      <c r="X213" s="9"/>
      <c r="Y213" s="21"/>
      <c r="Z213" s="34"/>
    </row>
    <row r="214">
      <c r="B214" s="35"/>
      <c r="C214" s="35"/>
      <c r="D214" s="24" t="str">
        <f t="shared" si="33"/>
        <v/>
      </c>
      <c r="E214" s="16"/>
      <c r="F214" s="25" t="str">
        <f t="shared" si="34"/>
        <v/>
      </c>
      <c r="G214" s="16"/>
      <c r="H21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4" s="16"/>
      <c r="J21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4" s="16"/>
      <c r="L21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4" s="16"/>
      <c r="N214" s="25" t="str">
        <f>IFERROR(__xludf.DUMMYFUNCTION("indirect(""Dupe!N""&amp;row())&amp;if(regexmatch(indirect(""C""&amp;row()),""Widen""),""
Widened
Any numeric measurements of the spell’s area increase by 100%"","""")"),"")</f>
        <v/>
      </c>
      <c r="O214" s="16"/>
      <c r="P21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4" s="16"/>
      <c r="R214" s="25" t="str">
        <f t="shared" si="35"/>
        <v/>
      </c>
      <c r="S214" s="16"/>
      <c r="T214" s="25" t="str">
        <f t="shared" si="36"/>
        <v/>
      </c>
      <c r="U214" s="16"/>
      <c r="V21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4" s="3"/>
      <c r="X214" s="3"/>
      <c r="Y214" s="16"/>
      <c r="Z214" s="28"/>
    </row>
    <row r="215">
      <c r="B215" s="37"/>
      <c r="C215" s="37"/>
      <c r="D215" s="30" t="str">
        <f t="shared" si="33"/>
        <v/>
      </c>
      <c r="E215" s="21"/>
      <c r="F215" s="31" t="str">
        <f t="shared" si="34"/>
        <v/>
      </c>
      <c r="G215" s="21"/>
      <c r="H21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5" s="21"/>
      <c r="J21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5" s="21"/>
      <c r="L21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5" s="21"/>
      <c r="N215" s="31" t="str">
        <f>IFERROR(__xludf.DUMMYFUNCTION("indirect(""Dupe!N""&amp;row())&amp;if(regexmatch(indirect(""C""&amp;row()),""Widen""),""
Widened
Any numeric measurements of the spell’s area increase by 100%"","""")"),"")</f>
        <v/>
      </c>
      <c r="O215" s="21"/>
      <c r="P21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5" s="21"/>
      <c r="R215" s="31" t="str">
        <f t="shared" si="35"/>
        <v/>
      </c>
      <c r="S215" s="21"/>
      <c r="T215" s="31" t="str">
        <f t="shared" si="36"/>
        <v/>
      </c>
      <c r="U215" s="21"/>
      <c r="V21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5" s="9"/>
      <c r="X215" s="9"/>
      <c r="Y215" s="21"/>
      <c r="Z215" s="34"/>
    </row>
    <row r="216">
      <c r="B216" s="35"/>
      <c r="C216" s="35"/>
      <c r="D216" s="24" t="str">
        <f t="shared" si="33"/>
        <v/>
      </c>
      <c r="E216" s="16"/>
      <c r="F216" s="25" t="str">
        <f t="shared" si="34"/>
        <v/>
      </c>
      <c r="G216" s="16"/>
      <c r="H21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6" s="16"/>
      <c r="J21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6" s="16"/>
      <c r="L21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6" s="16"/>
      <c r="N216" s="25" t="str">
        <f>IFERROR(__xludf.DUMMYFUNCTION("indirect(""Dupe!N""&amp;row())&amp;if(regexmatch(indirect(""C""&amp;row()),""Widen""),""
Widened
Any numeric measurements of the spell’s area increase by 100%"","""")"),"")</f>
        <v/>
      </c>
      <c r="O216" s="16"/>
      <c r="P21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6" s="16"/>
      <c r="R216" s="25" t="str">
        <f t="shared" si="35"/>
        <v/>
      </c>
      <c r="S216" s="16"/>
      <c r="T216" s="25" t="str">
        <f t="shared" si="36"/>
        <v/>
      </c>
      <c r="U216" s="16"/>
      <c r="V21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6" s="3"/>
      <c r="X216" s="3"/>
      <c r="Y216" s="16"/>
      <c r="Z216" s="28"/>
    </row>
    <row r="217">
      <c r="B217" s="29"/>
      <c r="C217" s="29"/>
      <c r="D217" s="30" t="str">
        <f t="shared" si="33"/>
        <v/>
      </c>
      <c r="E217" s="21"/>
      <c r="F217" s="31" t="str">
        <f t="shared" si="34"/>
        <v/>
      </c>
      <c r="G217" s="21"/>
      <c r="H21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7" s="21"/>
      <c r="J21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7" s="21"/>
      <c r="L21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7" s="21"/>
      <c r="N217" s="31" t="str">
        <f>IFERROR(__xludf.DUMMYFUNCTION("indirect(""Dupe!N""&amp;row())&amp;if(regexmatch(indirect(""C""&amp;row()),""Widen""),""
Widened
Any numeric measurements of the spell’s area increase by 100%"","""")"),"")</f>
        <v/>
      </c>
      <c r="O217" s="21"/>
      <c r="P21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7" s="21"/>
      <c r="R217" s="31" t="str">
        <f t="shared" si="35"/>
        <v/>
      </c>
      <c r="S217" s="21"/>
      <c r="T217" s="31" t="str">
        <f t="shared" si="36"/>
        <v/>
      </c>
      <c r="U217" s="21"/>
      <c r="V21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7" s="9"/>
      <c r="X217" s="9"/>
      <c r="Y217" s="21"/>
      <c r="Z217" s="34"/>
    </row>
    <row r="218">
      <c r="B218" s="35"/>
      <c r="C218" s="35"/>
      <c r="D218" s="24" t="str">
        <f t="shared" si="33"/>
        <v/>
      </c>
      <c r="E218" s="16"/>
      <c r="F218" s="25" t="str">
        <f t="shared" si="34"/>
        <v/>
      </c>
      <c r="G218" s="16"/>
      <c r="H21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8" s="16"/>
      <c r="J21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8" s="16"/>
      <c r="L21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8" s="16"/>
      <c r="N218" s="25" t="str">
        <f>IFERROR(__xludf.DUMMYFUNCTION("indirect(""Dupe!N""&amp;row())&amp;if(regexmatch(indirect(""C""&amp;row()),""Widen""),""
Widened
Any numeric measurements of the spell’s area increase by 100%"","""")"),"")</f>
        <v/>
      </c>
      <c r="O218" s="16"/>
      <c r="P21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8" s="16"/>
      <c r="R218" s="25" t="str">
        <f t="shared" si="35"/>
        <v/>
      </c>
      <c r="S218" s="16"/>
      <c r="T218" s="25" t="str">
        <f t="shared" si="36"/>
        <v/>
      </c>
      <c r="U218" s="16"/>
      <c r="V21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8" s="3"/>
      <c r="X218" s="3"/>
      <c r="Y218" s="16"/>
      <c r="Z218" s="28"/>
    </row>
    <row r="219">
      <c r="B219" s="29"/>
      <c r="C219" s="29"/>
      <c r="D219" s="30" t="str">
        <f t="shared" si="33"/>
        <v/>
      </c>
      <c r="E219" s="21"/>
      <c r="F219" s="31" t="str">
        <f t="shared" si="34"/>
        <v/>
      </c>
      <c r="G219" s="21"/>
      <c r="H21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9" s="21"/>
      <c r="J21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9" s="21"/>
      <c r="L21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9" s="21"/>
      <c r="N219" s="31" t="str">
        <f>IFERROR(__xludf.DUMMYFUNCTION("indirect(""Dupe!N""&amp;row())&amp;if(regexmatch(indirect(""C""&amp;row()),""Widen""),""
Widened
Any numeric measurements of the spell’s area increase by 100%"","""")"),"")</f>
        <v/>
      </c>
      <c r="O219" s="21"/>
      <c r="P21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9" s="21"/>
      <c r="R219" s="31" t="str">
        <f t="shared" si="35"/>
        <v/>
      </c>
      <c r="S219" s="21"/>
      <c r="T219" s="31" t="str">
        <f t="shared" si="36"/>
        <v/>
      </c>
      <c r="U219" s="21"/>
      <c r="V21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9" s="9"/>
      <c r="X219" s="9"/>
      <c r="Y219" s="21"/>
      <c r="Z219" s="34"/>
    </row>
    <row r="220">
      <c r="B220" s="41"/>
      <c r="C220" s="41"/>
      <c r="D220" s="24" t="str">
        <f t="shared" si="33"/>
        <v/>
      </c>
      <c r="E220" s="16"/>
      <c r="F220" s="25" t="str">
        <f t="shared" si="34"/>
        <v/>
      </c>
      <c r="G220" s="16"/>
      <c r="H22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0" s="16"/>
      <c r="J22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0" s="16"/>
      <c r="L22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0" s="16"/>
      <c r="N220" s="25" t="str">
        <f>IFERROR(__xludf.DUMMYFUNCTION("indirect(""Dupe!N""&amp;row())&amp;if(regexmatch(indirect(""C""&amp;row()),""Widen""),""
Widened
Any numeric measurements of the spell’s area increase by 100%"","""")"),"")</f>
        <v/>
      </c>
      <c r="O220" s="16"/>
      <c r="P22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0" s="16"/>
      <c r="R220" s="25" t="str">
        <f t="shared" si="35"/>
        <v/>
      </c>
      <c r="S220" s="16"/>
      <c r="T220" s="25" t="str">
        <f t="shared" si="36"/>
        <v/>
      </c>
      <c r="U220" s="16"/>
      <c r="V22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0" s="3"/>
      <c r="X220" s="3"/>
      <c r="Y220" s="16"/>
      <c r="Z220" s="28"/>
    </row>
    <row r="221">
      <c r="B221" s="37"/>
      <c r="C221" s="37"/>
      <c r="D221" s="30" t="str">
        <f t="shared" si="33"/>
        <v/>
      </c>
      <c r="E221" s="21"/>
      <c r="F221" s="31" t="str">
        <f t="shared" si="34"/>
        <v/>
      </c>
      <c r="G221" s="21"/>
      <c r="H22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1" s="21"/>
      <c r="J22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1" s="21"/>
      <c r="L22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1" s="21"/>
      <c r="N221" s="31" t="str">
        <f>IFERROR(__xludf.DUMMYFUNCTION("indirect(""Dupe!N""&amp;row())&amp;if(regexmatch(indirect(""C""&amp;row()),""Widen""),""
Widened
Any numeric measurements of the spell’s area increase by 100%"","""")"),"")</f>
        <v/>
      </c>
      <c r="O221" s="21"/>
      <c r="P22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1" s="21"/>
      <c r="R221" s="31" t="str">
        <f t="shared" si="35"/>
        <v/>
      </c>
      <c r="S221" s="21"/>
      <c r="T221" s="31" t="str">
        <f t="shared" si="36"/>
        <v/>
      </c>
      <c r="U221" s="21"/>
      <c r="V22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1" s="9"/>
      <c r="X221" s="9"/>
      <c r="Y221" s="21"/>
      <c r="Z221" s="34"/>
    </row>
    <row r="222">
      <c r="B222" s="35"/>
      <c r="C222" s="35"/>
      <c r="D222" s="24" t="str">
        <f t="shared" si="33"/>
        <v/>
      </c>
      <c r="E222" s="16"/>
      <c r="F222" s="25" t="str">
        <f t="shared" si="34"/>
        <v/>
      </c>
      <c r="G222" s="16"/>
      <c r="H22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2" s="16"/>
      <c r="J22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2" s="16"/>
      <c r="L22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2" s="16"/>
      <c r="N222" s="25" t="str">
        <f>IFERROR(__xludf.DUMMYFUNCTION("indirect(""Dupe!N""&amp;row())&amp;if(regexmatch(indirect(""C""&amp;row()),""Widen""),""
Widened
Any numeric measurements of the spell’s area increase by 100%"","""")"),"")</f>
        <v/>
      </c>
      <c r="O222" s="16"/>
      <c r="P22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2" s="16"/>
      <c r="R222" s="25" t="str">
        <f t="shared" si="35"/>
        <v/>
      </c>
      <c r="S222" s="16"/>
      <c r="T222" s="25" t="str">
        <f t="shared" si="36"/>
        <v/>
      </c>
      <c r="U222" s="16"/>
      <c r="V22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2" s="3"/>
      <c r="X222" s="3"/>
      <c r="Y222" s="16"/>
      <c r="Z222" s="28"/>
    </row>
    <row r="223">
      <c r="B223" s="37"/>
      <c r="C223" s="37"/>
      <c r="D223" s="30" t="str">
        <f t="shared" si="33"/>
        <v/>
      </c>
      <c r="E223" s="21"/>
      <c r="F223" s="31" t="str">
        <f t="shared" si="34"/>
        <v/>
      </c>
      <c r="G223" s="21"/>
      <c r="H22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3" s="21"/>
      <c r="J22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3" s="21"/>
      <c r="L22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3" s="21"/>
      <c r="N223" s="31" t="str">
        <f>IFERROR(__xludf.DUMMYFUNCTION("indirect(""Dupe!N""&amp;row())&amp;if(regexmatch(indirect(""C""&amp;row()),""Widen""),""
Widened
Any numeric measurements of the spell’s area increase by 100%"","""")"),"")</f>
        <v/>
      </c>
      <c r="O223" s="21"/>
      <c r="P22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3" s="21"/>
      <c r="R223" s="31" t="str">
        <f t="shared" si="35"/>
        <v/>
      </c>
      <c r="S223" s="21"/>
      <c r="T223" s="31" t="str">
        <f t="shared" si="36"/>
        <v/>
      </c>
      <c r="U223" s="21"/>
      <c r="V22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3" s="9"/>
      <c r="X223" s="9"/>
      <c r="Y223" s="21"/>
      <c r="Z223" s="34"/>
    </row>
    <row r="224">
      <c r="B224" s="35"/>
      <c r="C224" s="35"/>
      <c r="D224" s="24" t="str">
        <f t="shared" si="33"/>
        <v/>
      </c>
      <c r="E224" s="16"/>
      <c r="F224" s="25" t="str">
        <f t="shared" si="34"/>
        <v/>
      </c>
      <c r="G224" s="16"/>
      <c r="H22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4" s="16"/>
      <c r="J22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4" s="16"/>
      <c r="L22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4" s="16"/>
      <c r="N224" s="25" t="str">
        <f>IFERROR(__xludf.DUMMYFUNCTION("indirect(""Dupe!N""&amp;row())&amp;if(regexmatch(indirect(""C""&amp;row()),""Widen""),""
Widened
Any numeric measurements of the spell’s area increase by 100%"","""")"),"")</f>
        <v/>
      </c>
      <c r="O224" s="16"/>
      <c r="P22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4" s="16"/>
      <c r="R224" s="25" t="str">
        <f t="shared" si="35"/>
        <v/>
      </c>
      <c r="S224" s="16"/>
      <c r="T224" s="25" t="str">
        <f t="shared" si="36"/>
        <v/>
      </c>
      <c r="U224" s="16"/>
      <c r="V22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4" s="3"/>
      <c r="X224" s="3"/>
      <c r="Y224" s="16"/>
      <c r="Z224" s="28"/>
    </row>
    <row r="225">
      <c r="B225" s="29"/>
      <c r="C225" s="29"/>
      <c r="D225" s="30" t="str">
        <f t="shared" si="33"/>
        <v/>
      </c>
      <c r="E225" s="21"/>
      <c r="F225" s="31" t="str">
        <f t="shared" si="34"/>
        <v/>
      </c>
      <c r="G225" s="21"/>
      <c r="H22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5" s="21"/>
      <c r="J22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5" s="21"/>
      <c r="L22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5" s="21"/>
      <c r="N225" s="31" t="str">
        <f>IFERROR(__xludf.DUMMYFUNCTION("indirect(""Dupe!N""&amp;row())&amp;if(regexmatch(indirect(""C""&amp;row()),""Widen""),""
Widened
Any numeric measurements of the spell’s area increase by 100%"","""")"),"")</f>
        <v/>
      </c>
      <c r="O225" s="21"/>
      <c r="P22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5" s="21"/>
      <c r="R225" s="31" t="str">
        <f t="shared" si="35"/>
        <v/>
      </c>
      <c r="S225" s="21"/>
      <c r="T225" s="31" t="str">
        <f t="shared" si="36"/>
        <v/>
      </c>
      <c r="U225" s="21"/>
      <c r="V22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5" s="9"/>
      <c r="X225" s="9"/>
      <c r="Y225" s="21"/>
      <c r="Z225" s="34"/>
    </row>
    <row r="226">
      <c r="B226" s="35"/>
      <c r="C226" s="35"/>
      <c r="D226" s="24" t="str">
        <f t="shared" si="33"/>
        <v/>
      </c>
      <c r="E226" s="16"/>
      <c r="F226" s="25" t="str">
        <f t="shared" si="34"/>
        <v/>
      </c>
      <c r="G226" s="16"/>
      <c r="H22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6" s="16"/>
      <c r="J22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6" s="16"/>
      <c r="L22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6" s="16"/>
      <c r="N226" s="25" t="str">
        <f>IFERROR(__xludf.DUMMYFUNCTION("indirect(""Dupe!N""&amp;row())&amp;if(regexmatch(indirect(""C""&amp;row()),""Widen""),""
Widened
Any numeric measurements of the spell’s area increase by 100%"","""")"),"")</f>
        <v/>
      </c>
      <c r="O226" s="16"/>
      <c r="P22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6" s="16"/>
      <c r="R226" s="25" t="str">
        <f t="shared" si="35"/>
        <v/>
      </c>
      <c r="S226" s="16"/>
      <c r="T226" s="25" t="str">
        <f t="shared" si="36"/>
        <v/>
      </c>
      <c r="U226" s="16"/>
      <c r="V22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6" s="3"/>
      <c r="X226" s="3"/>
      <c r="Y226" s="16"/>
      <c r="Z226" s="28"/>
    </row>
    <row r="227">
      <c r="B227" s="29"/>
      <c r="C227" s="29"/>
      <c r="D227" s="30" t="str">
        <f t="shared" si="33"/>
        <v/>
      </c>
      <c r="E227" s="21"/>
      <c r="F227" s="31" t="str">
        <f t="shared" si="34"/>
        <v/>
      </c>
      <c r="G227" s="21"/>
      <c r="H22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7" s="21"/>
      <c r="J22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7" s="21"/>
      <c r="L22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7" s="21"/>
      <c r="N227" s="31" t="str">
        <f>IFERROR(__xludf.DUMMYFUNCTION("indirect(""Dupe!N""&amp;row())&amp;if(regexmatch(indirect(""C""&amp;row()),""Widen""),""
Widened
Any numeric measurements of the spell’s area increase by 100%"","""")"),"")</f>
        <v/>
      </c>
      <c r="O227" s="21"/>
      <c r="P22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7" s="21"/>
      <c r="R227" s="31" t="str">
        <f t="shared" si="35"/>
        <v/>
      </c>
      <c r="S227" s="21"/>
      <c r="T227" s="31" t="str">
        <f t="shared" si="36"/>
        <v/>
      </c>
      <c r="U227" s="21"/>
      <c r="V22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7" s="9"/>
      <c r="X227" s="9"/>
      <c r="Y227" s="21"/>
      <c r="Z227" s="34"/>
    </row>
    <row r="228">
      <c r="B228" s="35"/>
      <c r="C228" s="35"/>
      <c r="D228" s="24" t="str">
        <f t="shared" si="33"/>
        <v/>
      </c>
      <c r="E228" s="16"/>
      <c r="F228" s="25" t="str">
        <f t="shared" si="34"/>
        <v/>
      </c>
      <c r="G228" s="16"/>
      <c r="H22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8" s="16"/>
      <c r="J22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28" s="16"/>
      <c r="L22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8" s="16"/>
      <c r="N228" s="25" t="str">
        <f>IFERROR(__xludf.DUMMYFUNCTION("indirect(""Dupe!N""&amp;row())&amp;if(regexmatch(indirect(""C""&amp;row()),""Widen""),""
Widened
Any numeric measurements of the spell’s area increase by 100%"","""")"),"")</f>
        <v/>
      </c>
      <c r="O228" s="16"/>
      <c r="P22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8" s="16"/>
      <c r="R228" s="25" t="str">
        <f t="shared" si="35"/>
        <v/>
      </c>
      <c r="S228" s="16"/>
      <c r="T228" s="25" t="str">
        <f t="shared" si="36"/>
        <v/>
      </c>
      <c r="U228" s="16"/>
      <c r="V22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8" s="3"/>
      <c r="X228" s="3"/>
      <c r="Y228" s="16"/>
      <c r="Z228" s="28"/>
    </row>
    <row r="230">
      <c r="B230" s="14" t="s">
        <v>12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15" t="s">
        <v>13</v>
      </c>
      <c r="W230" s="3"/>
      <c r="X230" s="16"/>
      <c r="Y230" s="17" t="str">
        <f>SUM(Z232:Z252)&amp;"/"&amp;if(dget(base_spells,"9th",F2:F3),dget(base_spells,"9th",F2:F3)+dget(bonus_spells,"9th",H2:H3),0)</f>
        <v>0/0</v>
      </c>
      <c r="Z230" s="5"/>
    </row>
    <row r="231">
      <c r="B231" s="19" t="s">
        <v>14</v>
      </c>
      <c r="C231" s="19" t="s">
        <v>15</v>
      </c>
      <c r="D231" s="20" t="s">
        <v>16</v>
      </c>
      <c r="E231" s="21"/>
      <c r="F231" s="20" t="s">
        <v>17</v>
      </c>
      <c r="G231" s="21"/>
      <c r="H231" s="20" t="s">
        <v>18</v>
      </c>
      <c r="I231" s="21"/>
      <c r="J231" s="20" t="s">
        <v>19</v>
      </c>
      <c r="K231" s="21"/>
      <c r="L231" s="20" t="s">
        <v>20</v>
      </c>
      <c r="M231" s="21"/>
      <c r="N231" s="20" t="s">
        <v>21</v>
      </c>
      <c r="O231" s="21"/>
      <c r="P231" s="20" t="s">
        <v>22</v>
      </c>
      <c r="Q231" s="21"/>
      <c r="R231" s="20" t="s">
        <v>23</v>
      </c>
      <c r="S231" s="21"/>
      <c r="T231" s="20" t="s">
        <v>24</v>
      </c>
      <c r="U231" s="21"/>
      <c r="V231" s="20" t="s">
        <v>25</v>
      </c>
      <c r="W231" s="9"/>
      <c r="X231" s="9"/>
      <c r="Y231" s="21"/>
      <c r="Z231" s="19" t="s">
        <v>26</v>
      </c>
    </row>
    <row r="232">
      <c r="B232" s="23"/>
      <c r="C232" s="23"/>
      <c r="D232" s="24" t="str">
        <f t="shared" ref="D232:D252" si="37">indirect("Dupe!D"&amp;ROW())</f>
        <v/>
      </c>
      <c r="E232" s="16"/>
      <c r="F232" s="25" t="str">
        <f t="shared" ref="F232:F252" si="38">indirect("Dupe!F"&amp;ROW())</f>
        <v/>
      </c>
      <c r="G232" s="16"/>
      <c r="H23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2" s="16"/>
      <c r="J23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2" s="16"/>
      <c r="L23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2" s="16"/>
      <c r="N232" s="25" t="str">
        <f>IFERROR(__xludf.DUMMYFUNCTION("indirect(""Dupe!N""&amp;row())&amp;if(regexmatch(indirect(""C""&amp;row()),""Widen""),""
Widened
Any numeric measurements of the spell’s area increase by 100%"","""")"),"")</f>
        <v/>
      </c>
      <c r="O232" s="16"/>
      <c r="P23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2" s="16"/>
      <c r="R232" s="25" t="str">
        <f t="shared" ref="R232:R252" si="39">indirect("Dupe!R"&amp;row())</f>
        <v/>
      </c>
      <c r="S232" s="16"/>
      <c r="T232" s="25" t="str">
        <f t="shared" ref="T232:T252" si="40">indirect("Dupe!T"&amp;row())</f>
        <v/>
      </c>
      <c r="U232" s="16"/>
      <c r="V23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2" s="3"/>
      <c r="X232" s="3"/>
      <c r="Y232" s="16"/>
      <c r="Z232" s="43"/>
    </row>
    <row r="233">
      <c r="B233" s="29"/>
      <c r="C233" s="29"/>
      <c r="D233" s="30" t="str">
        <f t="shared" si="37"/>
        <v/>
      </c>
      <c r="E233" s="21"/>
      <c r="F233" s="31" t="str">
        <f t="shared" si="38"/>
        <v/>
      </c>
      <c r="G233" s="21"/>
      <c r="H23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3" s="21"/>
      <c r="J23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3" s="21"/>
      <c r="L23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3" s="21"/>
      <c r="N233" s="31" t="str">
        <f>IFERROR(__xludf.DUMMYFUNCTION("indirect(""Dupe!N""&amp;row())&amp;if(regexmatch(indirect(""C""&amp;row()),""Widen""),""
Widened
Any numeric measurements of the spell’s area increase by 100%"","""")"),"")</f>
        <v/>
      </c>
      <c r="O233" s="21"/>
      <c r="P23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3" s="21"/>
      <c r="R233" s="31" t="str">
        <f t="shared" si="39"/>
        <v/>
      </c>
      <c r="S233" s="21"/>
      <c r="T233" s="31" t="str">
        <f t="shared" si="40"/>
        <v/>
      </c>
      <c r="U233" s="21"/>
      <c r="V23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3" s="9"/>
      <c r="X233" s="9"/>
      <c r="Y233" s="21"/>
      <c r="Z233" s="34"/>
    </row>
    <row r="234">
      <c r="B234" s="35"/>
      <c r="C234" s="35"/>
      <c r="D234" s="24" t="str">
        <f t="shared" si="37"/>
        <v/>
      </c>
      <c r="E234" s="16"/>
      <c r="F234" s="25" t="str">
        <f t="shared" si="38"/>
        <v/>
      </c>
      <c r="G234" s="16"/>
      <c r="H23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4" s="16"/>
      <c r="J23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4" s="16"/>
      <c r="L23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4" s="16"/>
      <c r="N234" s="25" t="str">
        <f>IFERROR(__xludf.DUMMYFUNCTION("indirect(""Dupe!N""&amp;row())&amp;if(regexmatch(indirect(""C""&amp;row()),""Widen""),""
Widened
Any numeric measurements of the spell’s area increase by 100%"","""")"),"")</f>
        <v/>
      </c>
      <c r="O234" s="16"/>
      <c r="P23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4" s="16"/>
      <c r="R234" s="25" t="str">
        <f t="shared" si="39"/>
        <v/>
      </c>
      <c r="S234" s="16"/>
      <c r="T234" s="25" t="str">
        <f t="shared" si="40"/>
        <v/>
      </c>
      <c r="U234" s="16"/>
      <c r="V23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4" s="3"/>
      <c r="X234" s="3"/>
      <c r="Y234" s="16"/>
      <c r="Z234" s="28"/>
    </row>
    <row r="235">
      <c r="B235" s="37"/>
      <c r="C235" s="37"/>
      <c r="D235" s="30" t="str">
        <f t="shared" si="37"/>
        <v/>
      </c>
      <c r="E235" s="21"/>
      <c r="F235" s="31" t="str">
        <f t="shared" si="38"/>
        <v/>
      </c>
      <c r="G235" s="21"/>
      <c r="H23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5" s="21"/>
      <c r="J23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5" s="21"/>
      <c r="L23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5" s="21"/>
      <c r="N235" s="31" t="str">
        <f>IFERROR(__xludf.DUMMYFUNCTION("indirect(""Dupe!N""&amp;row())&amp;if(regexmatch(indirect(""C""&amp;row()),""Widen""),""
Widened
Any numeric measurements of the spell’s area increase by 100%"","""")"),"")</f>
        <v/>
      </c>
      <c r="O235" s="21"/>
      <c r="P23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5" s="21"/>
      <c r="R235" s="31" t="str">
        <f t="shared" si="39"/>
        <v/>
      </c>
      <c r="S235" s="21"/>
      <c r="T235" s="31" t="str">
        <f t="shared" si="40"/>
        <v/>
      </c>
      <c r="U235" s="21"/>
      <c r="V23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5" s="9"/>
      <c r="X235" s="9"/>
      <c r="Y235" s="21"/>
      <c r="Z235" s="34"/>
    </row>
    <row r="236">
      <c r="B236" s="35"/>
      <c r="C236" s="35"/>
      <c r="D236" s="24" t="str">
        <f t="shared" si="37"/>
        <v/>
      </c>
      <c r="E236" s="16"/>
      <c r="F236" s="25" t="str">
        <f t="shared" si="38"/>
        <v/>
      </c>
      <c r="G236" s="16"/>
      <c r="H23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6" s="16"/>
      <c r="J23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6" s="16"/>
      <c r="L23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6" s="16"/>
      <c r="N236" s="25" t="str">
        <f>IFERROR(__xludf.DUMMYFUNCTION("indirect(""Dupe!N""&amp;row())&amp;if(regexmatch(indirect(""C""&amp;row()),""Widen""),""
Widened
Any numeric measurements of the spell’s area increase by 100%"","""")"),"")</f>
        <v/>
      </c>
      <c r="O236" s="16"/>
      <c r="P23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6" s="16"/>
      <c r="R236" s="25" t="str">
        <f t="shared" si="39"/>
        <v/>
      </c>
      <c r="S236" s="16"/>
      <c r="T236" s="25" t="str">
        <f t="shared" si="40"/>
        <v/>
      </c>
      <c r="U236" s="16"/>
      <c r="V23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6" s="3"/>
      <c r="X236" s="3"/>
      <c r="Y236" s="16"/>
      <c r="Z236" s="28"/>
    </row>
    <row r="237">
      <c r="B237" s="37"/>
      <c r="C237" s="37"/>
      <c r="D237" s="30" t="str">
        <f t="shared" si="37"/>
        <v/>
      </c>
      <c r="E237" s="21"/>
      <c r="F237" s="31" t="str">
        <f t="shared" si="38"/>
        <v/>
      </c>
      <c r="G237" s="21"/>
      <c r="H23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7" s="21"/>
      <c r="J23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7" s="21"/>
      <c r="L23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7" s="21"/>
      <c r="N237" s="31" t="str">
        <f>IFERROR(__xludf.DUMMYFUNCTION("indirect(""Dupe!N""&amp;row())&amp;if(regexmatch(indirect(""C""&amp;row()),""Widen""),""
Widened
Any numeric measurements of the spell’s area increase by 100%"","""")"),"")</f>
        <v/>
      </c>
      <c r="O237" s="21"/>
      <c r="P23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7" s="21"/>
      <c r="R237" s="31" t="str">
        <f t="shared" si="39"/>
        <v/>
      </c>
      <c r="S237" s="21"/>
      <c r="T237" s="31" t="str">
        <f t="shared" si="40"/>
        <v/>
      </c>
      <c r="U237" s="21"/>
      <c r="V23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7" s="9"/>
      <c r="X237" s="9"/>
      <c r="Y237" s="21"/>
      <c r="Z237" s="34"/>
    </row>
    <row r="238">
      <c r="B238" s="35"/>
      <c r="C238" s="35"/>
      <c r="D238" s="24" t="str">
        <f t="shared" si="37"/>
        <v/>
      </c>
      <c r="E238" s="16"/>
      <c r="F238" s="25" t="str">
        <f t="shared" si="38"/>
        <v/>
      </c>
      <c r="G238" s="16"/>
      <c r="H23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8" s="16"/>
      <c r="J23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8" s="16"/>
      <c r="L23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8" s="16"/>
      <c r="N238" s="25" t="str">
        <f>IFERROR(__xludf.DUMMYFUNCTION("indirect(""Dupe!N""&amp;row())&amp;if(regexmatch(indirect(""C""&amp;row()),""Widen""),""
Widened
Any numeric measurements of the spell’s area increase by 100%"","""")"),"")</f>
        <v/>
      </c>
      <c r="O238" s="16"/>
      <c r="P23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8" s="16"/>
      <c r="R238" s="25" t="str">
        <f t="shared" si="39"/>
        <v/>
      </c>
      <c r="S238" s="16"/>
      <c r="T238" s="25" t="str">
        <f t="shared" si="40"/>
        <v/>
      </c>
      <c r="U238" s="16"/>
      <c r="V23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8" s="3"/>
      <c r="X238" s="3"/>
      <c r="Y238" s="16"/>
      <c r="Z238" s="28"/>
    </row>
    <row r="239">
      <c r="B239" s="37"/>
      <c r="C239" s="37"/>
      <c r="D239" s="30" t="str">
        <f t="shared" si="37"/>
        <v/>
      </c>
      <c r="E239" s="21"/>
      <c r="F239" s="31" t="str">
        <f t="shared" si="38"/>
        <v/>
      </c>
      <c r="G239" s="21"/>
      <c r="H23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9" s="21"/>
      <c r="J23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39" s="21"/>
      <c r="L23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9" s="21"/>
      <c r="N239" s="31" t="str">
        <f>IFERROR(__xludf.DUMMYFUNCTION("indirect(""Dupe!N""&amp;row())&amp;if(regexmatch(indirect(""C""&amp;row()),""Widen""),""
Widened
Any numeric measurements of the spell’s area increase by 100%"","""")"),"")</f>
        <v/>
      </c>
      <c r="O239" s="21"/>
      <c r="P23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9" s="21"/>
      <c r="R239" s="31" t="str">
        <f t="shared" si="39"/>
        <v/>
      </c>
      <c r="S239" s="21"/>
      <c r="T239" s="31" t="str">
        <f t="shared" si="40"/>
        <v/>
      </c>
      <c r="U239" s="21"/>
      <c r="V23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9" s="9"/>
      <c r="X239" s="9"/>
      <c r="Y239" s="21"/>
      <c r="Z239" s="34"/>
    </row>
    <row r="240">
      <c r="B240" s="23"/>
      <c r="C240" s="23"/>
      <c r="D240" s="24" t="str">
        <f t="shared" si="37"/>
        <v/>
      </c>
      <c r="E240" s="16"/>
      <c r="F240" s="25" t="str">
        <f t="shared" si="38"/>
        <v/>
      </c>
      <c r="G240" s="16"/>
      <c r="H24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0" s="16"/>
      <c r="J24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0" s="16"/>
      <c r="L24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0" s="16"/>
      <c r="N240" s="25" t="str">
        <f>IFERROR(__xludf.DUMMYFUNCTION("indirect(""Dupe!N""&amp;row())&amp;if(regexmatch(indirect(""C""&amp;row()),""Widen""),""
Widened
Any numeric measurements of the spell’s area increase by 100%"","""")"),"")</f>
        <v/>
      </c>
      <c r="O240" s="16"/>
      <c r="P24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0" s="16"/>
      <c r="R240" s="25" t="str">
        <f t="shared" si="39"/>
        <v/>
      </c>
      <c r="S240" s="16"/>
      <c r="T240" s="25" t="str">
        <f t="shared" si="40"/>
        <v/>
      </c>
      <c r="U240" s="16"/>
      <c r="V24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0" s="3"/>
      <c r="X240" s="3"/>
      <c r="Y240" s="16"/>
      <c r="Z240" s="28"/>
    </row>
    <row r="241">
      <c r="B241" s="29"/>
      <c r="C241" s="29"/>
      <c r="D241" s="30" t="str">
        <f t="shared" si="37"/>
        <v/>
      </c>
      <c r="E241" s="21"/>
      <c r="F241" s="31" t="str">
        <f t="shared" si="38"/>
        <v/>
      </c>
      <c r="G241" s="21"/>
      <c r="H24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1" s="21"/>
      <c r="J24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1" s="21"/>
      <c r="L24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1" s="21"/>
      <c r="N241" s="31" t="str">
        <f>IFERROR(__xludf.DUMMYFUNCTION("indirect(""Dupe!N""&amp;row())&amp;if(regexmatch(indirect(""C""&amp;row()),""Widen""),""
Widened
Any numeric measurements of the spell’s area increase by 100%"","""")"),"")</f>
        <v/>
      </c>
      <c r="O241" s="21"/>
      <c r="P24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1" s="21"/>
      <c r="R241" s="31" t="str">
        <f t="shared" si="39"/>
        <v/>
      </c>
      <c r="S241" s="21"/>
      <c r="T241" s="31" t="str">
        <f t="shared" si="40"/>
        <v/>
      </c>
      <c r="U241" s="21"/>
      <c r="V24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1" s="9"/>
      <c r="X241" s="9"/>
      <c r="Y241" s="21"/>
      <c r="Z241" s="34"/>
    </row>
    <row r="242">
      <c r="B242" s="35"/>
      <c r="C242" s="35"/>
      <c r="D242" s="24" t="str">
        <f t="shared" si="37"/>
        <v/>
      </c>
      <c r="E242" s="16"/>
      <c r="F242" s="25" t="str">
        <f t="shared" si="38"/>
        <v/>
      </c>
      <c r="G242" s="16"/>
      <c r="H24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2" s="16"/>
      <c r="J24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2" s="16"/>
      <c r="L24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2" s="16"/>
      <c r="N242" s="25" t="str">
        <f>IFERROR(__xludf.DUMMYFUNCTION("indirect(""Dupe!N""&amp;row())&amp;if(regexmatch(indirect(""C""&amp;row()),""Widen""),""
Widened
Any numeric measurements of the spell’s area increase by 100%"","""")"),"")</f>
        <v/>
      </c>
      <c r="O242" s="16"/>
      <c r="P24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2" s="16"/>
      <c r="R242" s="25" t="str">
        <f t="shared" si="39"/>
        <v/>
      </c>
      <c r="S242" s="16"/>
      <c r="T242" s="25" t="str">
        <f t="shared" si="40"/>
        <v/>
      </c>
      <c r="U242" s="16"/>
      <c r="V24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2" s="3"/>
      <c r="X242" s="3"/>
      <c r="Y242" s="16"/>
      <c r="Z242" s="28"/>
    </row>
    <row r="243">
      <c r="B243" s="29"/>
      <c r="C243" s="29"/>
      <c r="D243" s="30" t="str">
        <f t="shared" si="37"/>
        <v/>
      </c>
      <c r="E243" s="21"/>
      <c r="F243" s="31" t="str">
        <f t="shared" si="38"/>
        <v/>
      </c>
      <c r="G243" s="21"/>
      <c r="H24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3" s="21"/>
      <c r="J24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3" s="21"/>
      <c r="L24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3" s="21"/>
      <c r="N243" s="31" t="str">
        <f>IFERROR(__xludf.DUMMYFUNCTION("indirect(""Dupe!N""&amp;row())&amp;if(regexmatch(indirect(""C""&amp;row()),""Widen""),""
Widened
Any numeric measurements of the spell’s area increase by 100%"","""")"),"")</f>
        <v/>
      </c>
      <c r="O243" s="21"/>
      <c r="P24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3" s="21"/>
      <c r="R243" s="31" t="str">
        <f t="shared" si="39"/>
        <v/>
      </c>
      <c r="S243" s="21"/>
      <c r="T243" s="31" t="str">
        <f t="shared" si="40"/>
        <v/>
      </c>
      <c r="U243" s="21"/>
      <c r="V24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3" s="9"/>
      <c r="X243" s="9"/>
      <c r="Y243" s="21"/>
      <c r="Z243" s="34"/>
    </row>
    <row r="244">
      <c r="B244" s="41"/>
      <c r="C244" s="41"/>
      <c r="D244" s="24" t="str">
        <f t="shared" si="37"/>
        <v/>
      </c>
      <c r="E244" s="16"/>
      <c r="F244" s="25" t="str">
        <f t="shared" si="38"/>
        <v/>
      </c>
      <c r="G244" s="16"/>
      <c r="H24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4" s="16"/>
      <c r="J24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4" s="16"/>
      <c r="L24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4" s="16"/>
      <c r="N244" s="25" t="str">
        <f>IFERROR(__xludf.DUMMYFUNCTION("indirect(""Dupe!N""&amp;row())&amp;if(regexmatch(indirect(""C""&amp;row()),""Widen""),""
Widened
Any numeric measurements of the spell’s area increase by 100%"","""")"),"")</f>
        <v/>
      </c>
      <c r="O244" s="16"/>
      <c r="P24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4" s="16"/>
      <c r="R244" s="25" t="str">
        <f t="shared" si="39"/>
        <v/>
      </c>
      <c r="S244" s="16"/>
      <c r="T244" s="25" t="str">
        <f t="shared" si="40"/>
        <v/>
      </c>
      <c r="U244" s="16"/>
      <c r="V24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4" s="3"/>
      <c r="X244" s="3"/>
      <c r="Y244" s="16"/>
      <c r="Z244" s="28"/>
    </row>
    <row r="245">
      <c r="B245" s="37"/>
      <c r="C245" s="37"/>
      <c r="D245" s="30" t="str">
        <f t="shared" si="37"/>
        <v/>
      </c>
      <c r="E245" s="21"/>
      <c r="F245" s="31" t="str">
        <f t="shared" si="38"/>
        <v/>
      </c>
      <c r="G245" s="21"/>
      <c r="H24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5" s="21"/>
      <c r="J24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5" s="21"/>
      <c r="L24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5" s="21"/>
      <c r="N245" s="31" t="str">
        <f>IFERROR(__xludf.DUMMYFUNCTION("indirect(""Dupe!N""&amp;row())&amp;if(regexmatch(indirect(""C""&amp;row()),""Widen""),""
Widened
Any numeric measurements of the spell’s area increase by 100%"","""")"),"")</f>
        <v/>
      </c>
      <c r="O245" s="21"/>
      <c r="P24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5" s="21"/>
      <c r="R245" s="31" t="str">
        <f t="shared" si="39"/>
        <v/>
      </c>
      <c r="S245" s="21"/>
      <c r="T245" s="31" t="str">
        <f t="shared" si="40"/>
        <v/>
      </c>
      <c r="U245" s="21"/>
      <c r="V24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5" s="9"/>
      <c r="X245" s="9"/>
      <c r="Y245" s="21"/>
      <c r="Z245" s="34"/>
    </row>
    <row r="246">
      <c r="B246" s="35"/>
      <c r="C246" s="35"/>
      <c r="D246" s="24" t="str">
        <f t="shared" si="37"/>
        <v/>
      </c>
      <c r="E246" s="16"/>
      <c r="F246" s="25" t="str">
        <f t="shared" si="38"/>
        <v/>
      </c>
      <c r="G246" s="16"/>
      <c r="H24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6" s="16"/>
      <c r="J24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6" s="16"/>
      <c r="L24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6" s="16"/>
      <c r="N246" s="25" t="str">
        <f>IFERROR(__xludf.DUMMYFUNCTION("indirect(""Dupe!N""&amp;row())&amp;if(regexmatch(indirect(""C""&amp;row()),""Widen""),""
Widened
Any numeric measurements of the spell’s area increase by 100%"","""")"),"")</f>
        <v/>
      </c>
      <c r="O246" s="16"/>
      <c r="P24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6" s="16"/>
      <c r="R246" s="25" t="str">
        <f t="shared" si="39"/>
        <v/>
      </c>
      <c r="S246" s="16"/>
      <c r="T246" s="25" t="str">
        <f t="shared" si="40"/>
        <v/>
      </c>
      <c r="U246" s="16"/>
      <c r="V24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6" s="3"/>
      <c r="X246" s="3"/>
      <c r="Y246" s="16"/>
      <c r="Z246" s="28"/>
    </row>
    <row r="247">
      <c r="B247" s="37"/>
      <c r="C247" s="37"/>
      <c r="D247" s="30" t="str">
        <f t="shared" si="37"/>
        <v/>
      </c>
      <c r="E247" s="21"/>
      <c r="F247" s="31" t="str">
        <f t="shared" si="38"/>
        <v/>
      </c>
      <c r="G247" s="21"/>
      <c r="H24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7" s="21"/>
      <c r="J24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7" s="21"/>
      <c r="L24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7" s="21"/>
      <c r="N247" s="31" t="str">
        <f>IFERROR(__xludf.DUMMYFUNCTION("indirect(""Dupe!N""&amp;row())&amp;if(regexmatch(indirect(""C""&amp;row()),""Widen""),""
Widened
Any numeric measurements of the spell’s area increase by 100%"","""")"),"")</f>
        <v/>
      </c>
      <c r="O247" s="21"/>
      <c r="P24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7" s="21"/>
      <c r="R247" s="31" t="str">
        <f t="shared" si="39"/>
        <v/>
      </c>
      <c r="S247" s="21"/>
      <c r="T247" s="31" t="str">
        <f t="shared" si="40"/>
        <v/>
      </c>
      <c r="U247" s="21"/>
      <c r="V24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7" s="9"/>
      <c r="X247" s="9"/>
      <c r="Y247" s="21"/>
      <c r="Z247" s="34"/>
    </row>
    <row r="248">
      <c r="B248" s="35"/>
      <c r="C248" s="35"/>
      <c r="D248" s="24" t="str">
        <f t="shared" si="37"/>
        <v/>
      </c>
      <c r="E248" s="16"/>
      <c r="F248" s="25" t="str">
        <f t="shared" si="38"/>
        <v/>
      </c>
      <c r="G248" s="16"/>
      <c r="H24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8" s="16"/>
      <c r="J24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8" s="16"/>
      <c r="L24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8" s="16"/>
      <c r="N248" s="25" t="str">
        <f>IFERROR(__xludf.DUMMYFUNCTION("indirect(""Dupe!N""&amp;row())&amp;if(regexmatch(indirect(""C""&amp;row()),""Widen""),""
Widened
Any numeric measurements of the spell’s area increase by 100%"","""")"),"")</f>
        <v/>
      </c>
      <c r="O248" s="16"/>
      <c r="P24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8" s="16"/>
      <c r="R248" s="25" t="str">
        <f t="shared" si="39"/>
        <v/>
      </c>
      <c r="S248" s="16"/>
      <c r="T248" s="25" t="str">
        <f t="shared" si="40"/>
        <v/>
      </c>
      <c r="U248" s="16"/>
      <c r="V24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8" s="3"/>
      <c r="X248" s="3"/>
      <c r="Y248" s="16"/>
      <c r="Z248" s="28"/>
    </row>
    <row r="249">
      <c r="B249" s="29"/>
      <c r="C249" s="29"/>
      <c r="D249" s="30" t="str">
        <f t="shared" si="37"/>
        <v/>
      </c>
      <c r="E249" s="21"/>
      <c r="F249" s="31" t="str">
        <f t="shared" si="38"/>
        <v/>
      </c>
      <c r="G249" s="21"/>
      <c r="H24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9" s="21"/>
      <c r="J24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49" s="21"/>
      <c r="L24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9" s="21"/>
      <c r="N249" s="31" t="str">
        <f>IFERROR(__xludf.DUMMYFUNCTION("indirect(""Dupe!N""&amp;row())&amp;if(regexmatch(indirect(""C""&amp;row()),""Widen""),""
Widened
Any numeric measurements of the spell’s area increase by 100%"","""")"),"")</f>
        <v/>
      </c>
      <c r="O249" s="21"/>
      <c r="P24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9" s="21"/>
      <c r="R249" s="31" t="str">
        <f t="shared" si="39"/>
        <v/>
      </c>
      <c r="S249" s="21"/>
      <c r="T249" s="31" t="str">
        <f t="shared" si="40"/>
        <v/>
      </c>
      <c r="U249" s="21"/>
      <c r="V24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9" s="9"/>
      <c r="X249" s="9"/>
      <c r="Y249" s="21"/>
      <c r="Z249" s="34"/>
    </row>
    <row r="250">
      <c r="B250" s="35"/>
      <c r="C250" s="35"/>
      <c r="D250" s="24" t="str">
        <f t="shared" si="37"/>
        <v/>
      </c>
      <c r="E250" s="16"/>
      <c r="F250" s="25" t="str">
        <f t="shared" si="38"/>
        <v/>
      </c>
      <c r="G250" s="16"/>
      <c r="H25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50" s="16"/>
      <c r="J25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50" s="16"/>
      <c r="L25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50" s="16"/>
      <c r="N250" s="25" t="str">
        <f>IFERROR(__xludf.DUMMYFUNCTION("indirect(""Dupe!N""&amp;row())&amp;if(regexmatch(indirect(""C""&amp;row()),""Widen""),""
Widened
Any numeric measurements of the spell’s area increase by 100%"","""")"),"")</f>
        <v/>
      </c>
      <c r="O250" s="16"/>
      <c r="P25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50" s="16"/>
      <c r="R250" s="25" t="str">
        <f t="shared" si="39"/>
        <v/>
      </c>
      <c r="S250" s="16"/>
      <c r="T250" s="25" t="str">
        <f t="shared" si="40"/>
        <v/>
      </c>
      <c r="U250" s="16"/>
      <c r="V25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50" s="3"/>
      <c r="X250" s="3"/>
      <c r="Y250" s="16"/>
      <c r="Z250" s="28"/>
    </row>
    <row r="251">
      <c r="B251" s="29"/>
      <c r="C251" s="29"/>
      <c r="D251" s="30" t="str">
        <f t="shared" si="37"/>
        <v/>
      </c>
      <c r="E251" s="21"/>
      <c r="F251" s="31" t="str">
        <f t="shared" si="38"/>
        <v/>
      </c>
      <c r="G251" s="21"/>
      <c r="H25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51" s="21"/>
      <c r="J25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51" s="21"/>
      <c r="L25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51" s="21"/>
      <c r="N251" s="31" t="str">
        <f>IFERROR(__xludf.DUMMYFUNCTION("indirect(""Dupe!N""&amp;row())&amp;if(regexmatch(indirect(""C""&amp;row()),""Widen""),""
Widened
Any numeric measurements of the spell’s area increase by 100%"","""")"),"")</f>
        <v/>
      </c>
      <c r="O251" s="21"/>
      <c r="P25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51" s="21"/>
      <c r="R251" s="31" t="str">
        <f t="shared" si="39"/>
        <v/>
      </c>
      <c r="S251" s="21"/>
      <c r="T251" s="31" t="str">
        <f t="shared" si="40"/>
        <v/>
      </c>
      <c r="U251" s="21"/>
      <c r="V25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51" s="9"/>
      <c r="X251" s="9"/>
      <c r="Y251" s="21"/>
      <c r="Z251" s="34"/>
    </row>
    <row r="252">
      <c r="B252" s="35"/>
      <c r="C252" s="35"/>
      <c r="D252" s="24" t="str">
        <f t="shared" si="37"/>
        <v/>
      </c>
      <c r="E252" s="16"/>
      <c r="F252" s="25" t="str">
        <f t="shared" si="38"/>
        <v/>
      </c>
      <c r="G252" s="16"/>
      <c r="H25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52" s="16"/>
      <c r="J25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52" s="16"/>
      <c r="L25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52" s="16"/>
      <c r="N252" s="25" t="str">
        <f>IFERROR(__xludf.DUMMYFUNCTION("indirect(""Dupe!N""&amp;row())&amp;if(regexmatch(indirect(""C""&amp;row()),""Widen""),""
Widened
Any numeric measurements of the spell’s area increase by 100%"","""")"),"")</f>
        <v/>
      </c>
      <c r="O252" s="16"/>
      <c r="P25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52" s="16"/>
      <c r="R252" s="25" t="str">
        <f t="shared" si="39"/>
        <v/>
      </c>
      <c r="S252" s="16"/>
      <c r="T252" s="25" t="str">
        <f t="shared" si="40"/>
        <v/>
      </c>
      <c r="U252" s="16"/>
      <c r="V25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52" s="3"/>
      <c r="X252" s="3"/>
      <c r="Y252" s="16"/>
      <c r="Z252" s="28"/>
    </row>
  </sheetData>
  <mergeCells count="2231">
    <mergeCell ref="B2:D2"/>
    <mergeCell ref="B3:D3"/>
    <mergeCell ref="B4:D4"/>
    <mergeCell ref="B5:D5"/>
    <mergeCell ref="B6:D6"/>
    <mergeCell ref="B7:D7"/>
    <mergeCell ref="B8:D8"/>
    <mergeCell ref="N15:O15"/>
    <mergeCell ref="P15:Q15"/>
    <mergeCell ref="N16:O16"/>
    <mergeCell ref="P16:Q16"/>
    <mergeCell ref="R16:S16"/>
    <mergeCell ref="T16:U16"/>
    <mergeCell ref="R15:S15"/>
    <mergeCell ref="T15:U15"/>
    <mergeCell ref="V15:Y15"/>
    <mergeCell ref="V16:Y16"/>
    <mergeCell ref="B9:D9"/>
    <mergeCell ref="B10:D10"/>
    <mergeCell ref="B11:D11"/>
    <mergeCell ref="B12:D12"/>
    <mergeCell ref="B14:U14"/>
    <mergeCell ref="V14:X14"/>
    <mergeCell ref="D15:E15"/>
    <mergeCell ref="P17:Q17"/>
    <mergeCell ref="R17:S17"/>
    <mergeCell ref="T17:U17"/>
    <mergeCell ref="V17:Y17"/>
    <mergeCell ref="J15:K15"/>
    <mergeCell ref="L15:M15"/>
    <mergeCell ref="J16:K16"/>
    <mergeCell ref="L16:M16"/>
    <mergeCell ref="J17:K17"/>
    <mergeCell ref="L17:M17"/>
    <mergeCell ref="N17:O17"/>
    <mergeCell ref="F15:G15"/>
    <mergeCell ref="H15:I15"/>
    <mergeCell ref="D16:E16"/>
    <mergeCell ref="F16:G16"/>
    <mergeCell ref="H16:I16"/>
    <mergeCell ref="F17:G17"/>
    <mergeCell ref="H17:I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R25:S25"/>
    <mergeCell ref="T25:U25"/>
    <mergeCell ref="V25:Y25"/>
    <mergeCell ref="D25:E25"/>
    <mergeCell ref="F25:G25"/>
    <mergeCell ref="H25:I25"/>
    <mergeCell ref="J25:K25"/>
    <mergeCell ref="L25:M25"/>
    <mergeCell ref="N25:O25"/>
    <mergeCell ref="P25:Q25"/>
    <mergeCell ref="R26:S26"/>
    <mergeCell ref="T26:U26"/>
    <mergeCell ref="V26:Y26"/>
    <mergeCell ref="D26:E26"/>
    <mergeCell ref="F26:G26"/>
    <mergeCell ref="H26:I26"/>
    <mergeCell ref="J26:K26"/>
    <mergeCell ref="L26:M26"/>
    <mergeCell ref="N26:O26"/>
    <mergeCell ref="P26:Q26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P18:Q18"/>
    <mergeCell ref="R18:S18"/>
    <mergeCell ref="T18:U18"/>
    <mergeCell ref="V18:Y18"/>
    <mergeCell ref="D17:E17"/>
    <mergeCell ref="D18:E18"/>
    <mergeCell ref="F18:G18"/>
    <mergeCell ref="H18:I18"/>
    <mergeCell ref="J18:K18"/>
    <mergeCell ref="L18:M18"/>
    <mergeCell ref="N18:O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R36:S36"/>
    <mergeCell ref="T36:U36"/>
    <mergeCell ref="V36:Y36"/>
    <mergeCell ref="D36:E36"/>
    <mergeCell ref="F36:G36"/>
    <mergeCell ref="H36:I36"/>
    <mergeCell ref="J36:K36"/>
    <mergeCell ref="L36:M36"/>
    <mergeCell ref="N36:O36"/>
    <mergeCell ref="P36:Q36"/>
    <mergeCell ref="R35:S35"/>
    <mergeCell ref="T35:U35"/>
    <mergeCell ref="V35:Y35"/>
    <mergeCell ref="D35:E35"/>
    <mergeCell ref="F35:G35"/>
    <mergeCell ref="H35:I35"/>
    <mergeCell ref="J35:K35"/>
    <mergeCell ref="L35:M35"/>
    <mergeCell ref="N35:O35"/>
    <mergeCell ref="P35:Q35"/>
    <mergeCell ref="N39:O39"/>
    <mergeCell ref="P39:Q39"/>
    <mergeCell ref="R39:S39"/>
    <mergeCell ref="T39:U39"/>
    <mergeCell ref="B38:U38"/>
    <mergeCell ref="V38:X38"/>
    <mergeCell ref="F39:G39"/>
    <mergeCell ref="H39:I39"/>
    <mergeCell ref="J39:K39"/>
    <mergeCell ref="L39:M39"/>
    <mergeCell ref="V39:Y39"/>
    <mergeCell ref="P40:Q40"/>
    <mergeCell ref="R40:S40"/>
    <mergeCell ref="T40:U40"/>
    <mergeCell ref="V40:Y40"/>
    <mergeCell ref="D39:E39"/>
    <mergeCell ref="D40:E40"/>
    <mergeCell ref="F40:G40"/>
    <mergeCell ref="H40:I40"/>
    <mergeCell ref="J40:K40"/>
    <mergeCell ref="L40:M40"/>
    <mergeCell ref="N40:O40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D51:E51"/>
    <mergeCell ref="F51:G51"/>
    <mergeCell ref="H51:I51"/>
    <mergeCell ref="J51:K51"/>
    <mergeCell ref="L51:M51"/>
    <mergeCell ref="N51:O51"/>
    <mergeCell ref="P51:Q51"/>
    <mergeCell ref="R52:S52"/>
    <mergeCell ref="T52:U52"/>
    <mergeCell ref="V52:Y52"/>
    <mergeCell ref="D52:E52"/>
    <mergeCell ref="F52:G52"/>
    <mergeCell ref="H52:I52"/>
    <mergeCell ref="J52:K52"/>
    <mergeCell ref="L52:M52"/>
    <mergeCell ref="N52:O52"/>
    <mergeCell ref="P52:Q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N63:O63"/>
    <mergeCell ref="P63:Q63"/>
    <mergeCell ref="R63:S63"/>
    <mergeCell ref="T63:U63"/>
    <mergeCell ref="B62:U62"/>
    <mergeCell ref="V62:X62"/>
    <mergeCell ref="F63:G63"/>
    <mergeCell ref="H63:I63"/>
    <mergeCell ref="J63:K63"/>
    <mergeCell ref="L63:M63"/>
    <mergeCell ref="V63:Y63"/>
    <mergeCell ref="P64:Q64"/>
    <mergeCell ref="R64:S64"/>
    <mergeCell ref="T64:U64"/>
    <mergeCell ref="V64:Y64"/>
    <mergeCell ref="D63:E63"/>
    <mergeCell ref="D64:E64"/>
    <mergeCell ref="F64:G64"/>
    <mergeCell ref="H64:I64"/>
    <mergeCell ref="J64:K64"/>
    <mergeCell ref="L64:M64"/>
    <mergeCell ref="N64:O64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R83:S83"/>
    <mergeCell ref="T83:U83"/>
    <mergeCell ref="V83:Y83"/>
    <mergeCell ref="D83:E83"/>
    <mergeCell ref="F83:G83"/>
    <mergeCell ref="H83:I83"/>
    <mergeCell ref="J83:K83"/>
    <mergeCell ref="L83:M83"/>
    <mergeCell ref="N83:O83"/>
    <mergeCell ref="P83:Q83"/>
    <mergeCell ref="N87:O87"/>
    <mergeCell ref="P87:Q87"/>
    <mergeCell ref="R87:S87"/>
    <mergeCell ref="T87:U87"/>
    <mergeCell ref="B86:U86"/>
    <mergeCell ref="V86:X86"/>
    <mergeCell ref="F87:G87"/>
    <mergeCell ref="H87:I87"/>
    <mergeCell ref="J87:K87"/>
    <mergeCell ref="L87:M87"/>
    <mergeCell ref="V87:Y87"/>
    <mergeCell ref="P88:Q88"/>
    <mergeCell ref="R88:S88"/>
    <mergeCell ref="T88:U88"/>
    <mergeCell ref="V88:Y88"/>
    <mergeCell ref="D87:E87"/>
    <mergeCell ref="D88:E88"/>
    <mergeCell ref="F88:G88"/>
    <mergeCell ref="H88:I88"/>
    <mergeCell ref="J88:K88"/>
    <mergeCell ref="L88:M88"/>
    <mergeCell ref="N88:O88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R98:S98"/>
    <mergeCell ref="T98:U98"/>
    <mergeCell ref="V98:Y98"/>
    <mergeCell ref="D98:E98"/>
    <mergeCell ref="F98:G98"/>
    <mergeCell ref="H98:I98"/>
    <mergeCell ref="J98:K98"/>
    <mergeCell ref="L98:M98"/>
    <mergeCell ref="N98:O98"/>
    <mergeCell ref="P98:Q98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0:S100"/>
    <mergeCell ref="T100:U100"/>
    <mergeCell ref="V100:Y100"/>
    <mergeCell ref="D100:E100"/>
    <mergeCell ref="F100:G100"/>
    <mergeCell ref="H100:I100"/>
    <mergeCell ref="J100:K100"/>
    <mergeCell ref="L100:M100"/>
    <mergeCell ref="N100:O100"/>
    <mergeCell ref="P100:Q100"/>
    <mergeCell ref="R101:S101"/>
    <mergeCell ref="T101:U101"/>
    <mergeCell ref="V101:Y101"/>
    <mergeCell ref="D101:E101"/>
    <mergeCell ref="F101:G101"/>
    <mergeCell ref="H101:I101"/>
    <mergeCell ref="J101:K101"/>
    <mergeCell ref="L101:M101"/>
    <mergeCell ref="N101:O101"/>
    <mergeCell ref="P101:Q101"/>
    <mergeCell ref="R102:S102"/>
    <mergeCell ref="T102:U102"/>
    <mergeCell ref="V102:Y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Y103"/>
    <mergeCell ref="D103:E103"/>
    <mergeCell ref="F103:G103"/>
    <mergeCell ref="H103:I103"/>
    <mergeCell ref="J103:K103"/>
    <mergeCell ref="L103:M103"/>
    <mergeCell ref="N103:O103"/>
    <mergeCell ref="P103:Q103"/>
    <mergeCell ref="R104:S104"/>
    <mergeCell ref="T104:U104"/>
    <mergeCell ref="V104:Y104"/>
    <mergeCell ref="D104:E104"/>
    <mergeCell ref="F104:G104"/>
    <mergeCell ref="H104:I104"/>
    <mergeCell ref="J104:K104"/>
    <mergeCell ref="L104:M104"/>
    <mergeCell ref="N104:O104"/>
    <mergeCell ref="P104:Q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N111:O111"/>
    <mergeCell ref="P111:Q111"/>
    <mergeCell ref="R111:S111"/>
    <mergeCell ref="T111:U111"/>
    <mergeCell ref="B110:U110"/>
    <mergeCell ref="V110:X110"/>
    <mergeCell ref="F111:G111"/>
    <mergeCell ref="H111:I111"/>
    <mergeCell ref="J111:K111"/>
    <mergeCell ref="L111:M111"/>
    <mergeCell ref="V111:Y111"/>
    <mergeCell ref="P112:Q112"/>
    <mergeCell ref="R112:S112"/>
    <mergeCell ref="T112:U112"/>
    <mergeCell ref="V112:Y112"/>
    <mergeCell ref="D111:E111"/>
    <mergeCell ref="D112:E112"/>
    <mergeCell ref="F112:G112"/>
    <mergeCell ref="H112:I112"/>
    <mergeCell ref="J112:K112"/>
    <mergeCell ref="L112:M112"/>
    <mergeCell ref="N112:O112"/>
    <mergeCell ref="R116:S116"/>
    <mergeCell ref="T116:U116"/>
    <mergeCell ref="V116:Y116"/>
    <mergeCell ref="D116:E116"/>
    <mergeCell ref="F116:G116"/>
    <mergeCell ref="H116:I116"/>
    <mergeCell ref="J116:K116"/>
    <mergeCell ref="L116:M116"/>
    <mergeCell ref="N116:O116"/>
    <mergeCell ref="P116:Q116"/>
    <mergeCell ref="R117:S117"/>
    <mergeCell ref="T117:U117"/>
    <mergeCell ref="V117:Y117"/>
    <mergeCell ref="D117:E117"/>
    <mergeCell ref="F117:G117"/>
    <mergeCell ref="H117:I117"/>
    <mergeCell ref="J117:K117"/>
    <mergeCell ref="L117:M117"/>
    <mergeCell ref="N117:O117"/>
    <mergeCell ref="P117:Q117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13:S113"/>
    <mergeCell ref="T113:U113"/>
    <mergeCell ref="V113:Y113"/>
    <mergeCell ref="D113:E113"/>
    <mergeCell ref="F113:G113"/>
    <mergeCell ref="H113:I113"/>
    <mergeCell ref="J113:K113"/>
    <mergeCell ref="L113:M113"/>
    <mergeCell ref="N113:O113"/>
    <mergeCell ref="P113:Q113"/>
    <mergeCell ref="R114:S114"/>
    <mergeCell ref="T114:U114"/>
    <mergeCell ref="V114:Y114"/>
    <mergeCell ref="D114:E114"/>
    <mergeCell ref="F114:G114"/>
    <mergeCell ref="H114:I114"/>
    <mergeCell ref="J114:K114"/>
    <mergeCell ref="L114:M114"/>
    <mergeCell ref="N114:O114"/>
    <mergeCell ref="P114:Q114"/>
    <mergeCell ref="R115:S115"/>
    <mergeCell ref="T115:U115"/>
    <mergeCell ref="V115:Y115"/>
    <mergeCell ref="D115:E115"/>
    <mergeCell ref="F115:G115"/>
    <mergeCell ref="H115:I115"/>
    <mergeCell ref="J115:K115"/>
    <mergeCell ref="L115:M115"/>
    <mergeCell ref="N115:O115"/>
    <mergeCell ref="P115:Q115"/>
    <mergeCell ref="R132:S132"/>
    <mergeCell ref="T132:U132"/>
    <mergeCell ref="V132:Y132"/>
    <mergeCell ref="D132:E132"/>
    <mergeCell ref="F132:G132"/>
    <mergeCell ref="H132:I132"/>
    <mergeCell ref="J132:K132"/>
    <mergeCell ref="L132:M132"/>
    <mergeCell ref="N132:O132"/>
    <mergeCell ref="P132:Q132"/>
    <mergeCell ref="R131:S131"/>
    <mergeCell ref="T131:U131"/>
    <mergeCell ref="V131:Y131"/>
    <mergeCell ref="D131:E131"/>
    <mergeCell ref="F131:G131"/>
    <mergeCell ref="H131:I131"/>
    <mergeCell ref="J131:K131"/>
    <mergeCell ref="L131:M131"/>
    <mergeCell ref="N131:O131"/>
    <mergeCell ref="P131:Q131"/>
    <mergeCell ref="N135:O135"/>
    <mergeCell ref="P135:Q135"/>
    <mergeCell ref="R135:S135"/>
    <mergeCell ref="T135:U135"/>
    <mergeCell ref="B134:U134"/>
    <mergeCell ref="V134:X134"/>
    <mergeCell ref="F135:G135"/>
    <mergeCell ref="H135:I135"/>
    <mergeCell ref="J135:K135"/>
    <mergeCell ref="L135:M135"/>
    <mergeCell ref="V135:Y135"/>
    <mergeCell ref="P136:Q136"/>
    <mergeCell ref="R136:S136"/>
    <mergeCell ref="T136:U136"/>
    <mergeCell ref="V136:Y136"/>
    <mergeCell ref="D135:E135"/>
    <mergeCell ref="D136:E136"/>
    <mergeCell ref="F136:G136"/>
    <mergeCell ref="H136:I136"/>
    <mergeCell ref="J136:K136"/>
    <mergeCell ref="L136:M136"/>
    <mergeCell ref="N136:O136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D127:E127"/>
    <mergeCell ref="F127:G127"/>
    <mergeCell ref="H127:I127"/>
    <mergeCell ref="J127:K127"/>
    <mergeCell ref="L127:M127"/>
    <mergeCell ref="N127:O127"/>
    <mergeCell ref="P127:Q127"/>
    <mergeCell ref="R128:S128"/>
    <mergeCell ref="T128:U128"/>
    <mergeCell ref="V128:Y128"/>
    <mergeCell ref="D128:E128"/>
    <mergeCell ref="F128:G128"/>
    <mergeCell ref="H128:I128"/>
    <mergeCell ref="J128:K128"/>
    <mergeCell ref="L128:M128"/>
    <mergeCell ref="N128:O128"/>
    <mergeCell ref="P128:Q128"/>
    <mergeCell ref="R129:S129"/>
    <mergeCell ref="T129:U129"/>
    <mergeCell ref="V129:Y129"/>
    <mergeCell ref="D129:E129"/>
    <mergeCell ref="F129:G129"/>
    <mergeCell ref="H129:I129"/>
    <mergeCell ref="J129:K129"/>
    <mergeCell ref="L129:M129"/>
    <mergeCell ref="N129:O129"/>
    <mergeCell ref="P129:Q129"/>
    <mergeCell ref="R130:S130"/>
    <mergeCell ref="T130:U130"/>
    <mergeCell ref="V130:Y130"/>
    <mergeCell ref="D130:E130"/>
    <mergeCell ref="F130:G130"/>
    <mergeCell ref="H130:I130"/>
    <mergeCell ref="J130:K130"/>
    <mergeCell ref="L130:M130"/>
    <mergeCell ref="N130:O130"/>
    <mergeCell ref="P130:Q130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D142:E142"/>
    <mergeCell ref="F142:G142"/>
    <mergeCell ref="H142:I142"/>
    <mergeCell ref="J142:K142"/>
    <mergeCell ref="L142:M142"/>
    <mergeCell ref="N142:O142"/>
    <mergeCell ref="P142:Q142"/>
    <mergeCell ref="R143:S143"/>
    <mergeCell ref="T143:U143"/>
    <mergeCell ref="V143:Y143"/>
    <mergeCell ref="D143:E143"/>
    <mergeCell ref="F143:G143"/>
    <mergeCell ref="H143:I143"/>
    <mergeCell ref="J143:K143"/>
    <mergeCell ref="L143:M143"/>
    <mergeCell ref="N143:O143"/>
    <mergeCell ref="P143:Q143"/>
    <mergeCell ref="R144:S144"/>
    <mergeCell ref="T144:U144"/>
    <mergeCell ref="V144:Y144"/>
    <mergeCell ref="D144:E144"/>
    <mergeCell ref="F144:G144"/>
    <mergeCell ref="H144:I144"/>
    <mergeCell ref="J144:K144"/>
    <mergeCell ref="L144:M144"/>
    <mergeCell ref="N144:O144"/>
    <mergeCell ref="P144:Q144"/>
    <mergeCell ref="R145:S145"/>
    <mergeCell ref="T145:U145"/>
    <mergeCell ref="V145:Y145"/>
    <mergeCell ref="D145:E145"/>
    <mergeCell ref="F145:G145"/>
    <mergeCell ref="H145:I145"/>
    <mergeCell ref="J145:K145"/>
    <mergeCell ref="L145:M145"/>
    <mergeCell ref="N145:O145"/>
    <mergeCell ref="P145:Q145"/>
    <mergeCell ref="R146:S146"/>
    <mergeCell ref="T146:U146"/>
    <mergeCell ref="V146:Y146"/>
    <mergeCell ref="D146:E146"/>
    <mergeCell ref="F146:G146"/>
    <mergeCell ref="H146:I146"/>
    <mergeCell ref="J146:K146"/>
    <mergeCell ref="L146:M146"/>
    <mergeCell ref="N146:O146"/>
    <mergeCell ref="P146:Q146"/>
    <mergeCell ref="R147:S147"/>
    <mergeCell ref="T147:U147"/>
    <mergeCell ref="V147:Y147"/>
    <mergeCell ref="D147:E147"/>
    <mergeCell ref="F147:G147"/>
    <mergeCell ref="H147:I147"/>
    <mergeCell ref="J147:K147"/>
    <mergeCell ref="L147:M147"/>
    <mergeCell ref="N147:O147"/>
    <mergeCell ref="P147:Q147"/>
    <mergeCell ref="R213:S213"/>
    <mergeCell ref="T213:U213"/>
    <mergeCell ref="V213:Y213"/>
    <mergeCell ref="D213:E213"/>
    <mergeCell ref="F213:G213"/>
    <mergeCell ref="H213:I213"/>
    <mergeCell ref="J213:K213"/>
    <mergeCell ref="L213:M213"/>
    <mergeCell ref="N213:O213"/>
    <mergeCell ref="P213:Q213"/>
    <mergeCell ref="R214:S214"/>
    <mergeCell ref="T214:U214"/>
    <mergeCell ref="V214:Y214"/>
    <mergeCell ref="D214:E214"/>
    <mergeCell ref="F214:G214"/>
    <mergeCell ref="H214:I214"/>
    <mergeCell ref="J214:K214"/>
    <mergeCell ref="L214:M214"/>
    <mergeCell ref="N214:O214"/>
    <mergeCell ref="P214:Q214"/>
    <mergeCell ref="R215:S215"/>
    <mergeCell ref="T215:U215"/>
    <mergeCell ref="V215:Y215"/>
    <mergeCell ref="D215:E215"/>
    <mergeCell ref="F215:G215"/>
    <mergeCell ref="H215:I215"/>
    <mergeCell ref="J215:K215"/>
    <mergeCell ref="L215:M215"/>
    <mergeCell ref="N215:O215"/>
    <mergeCell ref="P215:Q215"/>
    <mergeCell ref="R216:S216"/>
    <mergeCell ref="T216:U216"/>
    <mergeCell ref="V216:Y216"/>
    <mergeCell ref="D216:E216"/>
    <mergeCell ref="F216:G216"/>
    <mergeCell ref="H216:I216"/>
    <mergeCell ref="J216:K216"/>
    <mergeCell ref="L216:M216"/>
    <mergeCell ref="N216:O216"/>
    <mergeCell ref="P216:Q216"/>
    <mergeCell ref="R217:S217"/>
    <mergeCell ref="T217:U217"/>
    <mergeCell ref="V217:Y217"/>
    <mergeCell ref="D217:E217"/>
    <mergeCell ref="F217:G217"/>
    <mergeCell ref="H217:I217"/>
    <mergeCell ref="J217:K217"/>
    <mergeCell ref="L217:M217"/>
    <mergeCell ref="N217:O217"/>
    <mergeCell ref="P217:Q217"/>
    <mergeCell ref="R218:S218"/>
    <mergeCell ref="T218:U218"/>
    <mergeCell ref="V218:Y218"/>
    <mergeCell ref="D218:E218"/>
    <mergeCell ref="F218:G218"/>
    <mergeCell ref="H218:I218"/>
    <mergeCell ref="J218:K218"/>
    <mergeCell ref="L218:M218"/>
    <mergeCell ref="N218:O218"/>
    <mergeCell ref="P218:Q218"/>
    <mergeCell ref="R219:S219"/>
    <mergeCell ref="T219:U219"/>
    <mergeCell ref="V219:Y219"/>
    <mergeCell ref="D219:E219"/>
    <mergeCell ref="F219:G219"/>
    <mergeCell ref="H219:I219"/>
    <mergeCell ref="J219:K219"/>
    <mergeCell ref="L219:M219"/>
    <mergeCell ref="N219:O219"/>
    <mergeCell ref="P219:Q219"/>
    <mergeCell ref="R220:S220"/>
    <mergeCell ref="T220:U220"/>
    <mergeCell ref="V220:Y220"/>
    <mergeCell ref="D220:E220"/>
    <mergeCell ref="F220:G220"/>
    <mergeCell ref="H220:I220"/>
    <mergeCell ref="J220:K220"/>
    <mergeCell ref="L220:M220"/>
    <mergeCell ref="N220:O220"/>
    <mergeCell ref="P220:Q220"/>
    <mergeCell ref="R221:S221"/>
    <mergeCell ref="T221:U221"/>
    <mergeCell ref="V221:Y221"/>
    <mergeCell ref="D221:E221"/>
    <mergeCell ref="F221:G221"/>
    <mergeCell ref="H221:I221"/>
    <mergeCell ref="J221:K221"/>
    <mergeCell ref="L221:M221"/>
    <mergeCell ref="N221:O221"/>
    <mergeCell ref="P221:Q221"/>
    <mergeCell ref="R222:S222"/>
    <mergeCell ref="T222:U222"/>
    <mergeCell ref="V222:Y222"/>
    <mergeCell ref="D222:E222"/>
    <mergeCell ref="F222:G222"/>
    <mergeCell ref="H222:I222"/>
    <mergeCell ref="J222:K222"/>
    <mergeCell ref="L222:M222"/>
    <mergeCell ref="N222:O222"/>
    <mergeCell ref="P222:Q222"/>
    <mergeCell ref="R223:S223"/>
    <mergeCell ref="T223:U223"/>
    <mergeCell ref="V223:Y223"/>
    <mergeCell ref="D223:E223"/>
    <mergeCell ref="F223:G223"/>
    <mergeCell ref="H223:I223"/>
    <mergeCell ref="J223:K223"/>
    <mergeCell ref="L223:M223"/>
    <mergeCell ref="N223:O223"/>
    <mergeCell ref="P223:Q223"/>
    <mergeCell ref="R224:S224"/>
    <mergeCell ref="T224:U224"/>
    <mergeCell ref="V224:Y224"/>
    <mergeCell ref="D224:E224"/>
    <mergeCell ref="F224:G224"/>
    <mergeCell ref="H224:I224"/>
    <mergeCell ref="J224:K224"/>
    <mergeCell ref="L224:M224"/>
    <mergeCell ref="N224:O224"/>
    <mergeCell ref="P224:Q224"/>
    <mergeCell ref="R225:S225"/>
    <mergeCell ref="T225:U225"/>
    <mergeCell ref="V225:Y225"/>
    <mergeCell ref="D225:E225"/>
    <mergeCell ref="F225:G225"/>
    <mergeCell ref="H225:I225"/>
    <mergeCell ref="J225:K225"/>
    <mergeCell ref="L225:M225"/>
    <mergeCell ref="N225:O225"/>
    <mergeCell ref="P225:Q225"/>
    <mergeCell ref="R226:S226"/>
    <mergeCell ref="T226:U226"/>
    <mergeCell ref="V226:Y226"/>
    <mergeCell ref="D226:E226"/>
    <mergeCell ref="F226:G226"/>
    <mergeCell ref="H226:I226"/>
    <mergeCell ref="J226:K226"/>
    <mergeCell ref="L226:M226"/>
    <mergeCell ref="N226:O226"/>
    <mergeCell ref="P226:Q226"/>
    <mergeCell ref="R209:S209"/>
    <mergeCell ref="T209:U209"/>
    <mergeCell ref="V209:Y209"/>
    <mergeCell ref="D209:E209"/>
    <mergeCell ref="F209:G209"/>
    <mergeCell ref="H209:I209"/>
    <mergeCell ref="J209:K209"/>
    <mergeCell ref="L209:M209"/>
    <mergeCell ref="N209:O209"/>
    <mergeCell ref="P209:Q209"/>
    <mergeCell ref="R210:S210"/>
    <mergeCell ref="T210:U210"/>
    <mergeCell ref="V210:Y210"/>
    <mergeCell ref="D210:E210"/>
    <mergeCell ref="F210:G210"/>
    <mergeCell ref="H210:I210"/>
    <mergeCell ref="J210:K210"/>
    <mergeCell ref="L210:M210"/>
    <mergeCell ref="N210:O210"/>
    <mergeCell ref="P210:Q210"/>
    <mergeCell ref="R211:S211"/>
    <mergeCell ref="T211:U211"/>
    <mergeCell ref="V211:Y211"/>
    <mergeCell ref="D211:E211"/>
    <mergeCell ref="F211:G211"/>
    <mergeCell ref="H211:I211"/>
    <mergeCell ref="J211:K211"/>
    <mergeCell ref="L211:M211"/>
    <mergeCell ref="N211:O211"/>
    <mergeCell ref="P211:Q211"/>
    <mergeCell ref="R228:S228"/>
    <mergeCell ref="T228:U228"/>
    <mergeCell ref="V228:Y228"/>
    <mergeCell ref="D228:E228"/>
    <mergeCell ref="F228:G228"/>
    <mergeCell ref="H228:I228"/>
    <mergeCell ref="J228:K228"/>
    <mergeCell ref="L228:M228"/>
    <mergeCell ref="N228:O228"/>
    <mergeCell ref="P228:Q228"/>
    <mergeCell ref="R227:S227"/>
    <mergeCell ref="T227:U227"/>
    <mergeCell ref="V227:Y227"/>
    <mergeCell ref="D227:E227"/>
    <mergeCell ref="F227:G227"/>
    <mergeCell ref="H227:I227"/>
    <mergeCell ref="J227:K227"/>
    <mergeCell ref="L227:M227"/>
    <mergeCell ref="N227:O227"/>
    <mergeCell ref="P227:Q227"/>
    <mergeCell ref="N231:O231"/>
    <mergeCell ref="P231:Q231"/>
    <mergeCell ref="R231:S231"/>
    <mergeCell ref="T231:U231"/>
    <mergeCell ref="B230:U230"/>
    <mergeCell ref="V230:X230"/>
    <mergeCell ref="F231:G231"/>
    <mergeCell ref="H231:I231"/>
    <mergeCell ref="J231:K231"/>
    <mergeCell ref="L231:M231"/>
    <mergeCell ref="V231:Y231"/>
    <mergeCell ref="P232:Q232"/>
    <mergeCell ref="R232:S232"/>
    <mergeCell ref="T232:U232"/>
    <mergeCell ref="V232:Y232"/>
    <mergeCell ref="D231:E231"/>
    <mergeCell ref="D232:E232"/>
    <mergeCell ref="F232:G232"/>
    <mergeCell ref="H232:I232"/>
    <mergeCell ref="J232:K232"/>
    <mergeCell ref="L232:M232"/>
    <mergeCell ref="N232:O232"/>
    <mergeCell ref="R236:S236"/>
    <mergeCell ref="T236:U236"/>
    <mergeCell ref="V236:Y236"/>
    <mergeCell ref="D236:E236"/>
    <mergeCell ref="F236:G236"/>
    <mergeCell ref="H236:I236"/>
    <mergeCell ref="J236:K236"/>
    <mergeCell ref="L236:M236"/>
    <mergeCell ref="N236:O236"/>
    <mergeCell ref="P236:Q236"/>
    <mergeCell ref="R237:S237"/>
    <mergeCell ref="T237:U237"/>
    <mergeCell ref="V237:Y237"/>
    <mergeCell ref="D237:E237"/>
    <mergeCell ref="F237:G237"/>
    <mergeCell ref="H237:I237"/>
    <mergeCell ref="J237:K237"/>
    <mergeCell ref="L237:M237"/>
    <mergeCell ref="N237:O237"/>
    <mergeCell ref="P237:Q237"/>
    <mergeCell ref="R238:S238"/>
    <mergeCell ref="T238:U238"/>
    <mergeCell ref="V238:Y238"/>
    <mergeCell ref="D238:E238"/>
    <mergeCell ref="F238:G238"/>
    <mergeCell ref="H238:I238"/>
    <mergeCell ref="J238:K238"/>
    <mergeCell ref="L238:M238"/>
    <mergeCell ref="N238:O238"/>
    <mergeCell ref="P238:Q238"/>
    <mergeCell ref="R239:S239"/>
    <mergeCell ref="T239:U239"/>
    <mergeCell ref="V239:Y239"/>
    <mergeCell ref="D239:E239"/>
    <mergeCell ref="F239:G239"/>
    <mergeCell ref="H239:I239"/>
    <mergeCell ref="J239:K239"/>
    <mergeCell ref="L239:M239"/>
    <mergeCell ref="N239:O239"/>
    <mergeCell ref="P239:Q239"/>
    <mergeCell ref="R240:S240"/>
    <mergeCell ref="T240:U240"/>
    <mergeCell ref="V240:Y240"/>
    <mergeCell ref="D240:E240"/>
    <mergeCell ref="F240:G240"/>
    <mergeCell ref="H240:I240"/>
    <mergeCell ref="J240:K240"/>
    <mergeCell ref="L240:M240"/>
    <mergeCell ref="N240:O240"/>
    <mergeCell ref="P240:Q240"/>
    <mergeCell ref="R248:S248"/>
    <mergeCell ref="T248:U248"/>
    <mergeCell ref="V248:Y248"/>
    <mergeCell ref="D248:E248"/>
    <mergeCell ref="F248:G248"/>
    <mergeCell ref="H248:I248"/>
    <mergeCell ref="J248:K248"/>
    <mergeCell ref="L248:M248"/>
    <mergeCell ref="N248:O248"/>
    <mergeCell ref="P248:Q248"/>
    <mergeCell ref="R249:S249"/>
    <mergeCell ref="T249:U249"/>
    <mergeCell ref="V249:Y249"/>
    <mergeCell ref="D249:E249"/>
    <mergeCell ref="F249:G249"/>
    <mergeCell ref="H249:I249"/>
    <mergeCell ref="J249:K249"/>
    <mergeCell ref="L249:M249"/>
    <mergeCell ref="N249:O249"/>
    <mergeCell ref="P249:Q249"/>
    <mergeCell ref="R250:S250"/>
    <mergeCell ref="T250:U250"/>
    <mergeCell ref="V250:Y250"/>
    <mergeCell ref="D250:E250"/>
    <mergeCell ref="F250:G250"/>
    <mergeCell ref="H250:I250"/>
    <mergeCell ref="J250:K250"/>
    <mergeCell ref="L250:M250"/>
    <mergeCell ref="N250:O250"/>
    <mergeCell ref="P250:Q250"/>
    <mergeCell ref="R251:S251"/>
    <mergeCell ref="T251:U251"/>
    <mergeCell ref="V251:Y251"/>
    <mergeCell ref="D251:E251"/>
    <mergeCell ref="F251:G251"/>
    <mergeCell ref="H251:I251"/>
    <mergeCell ref="J251:K251"/>
    <mergeCell ref="L251:M251"/>
    <mergeCell ref="N251:O251"/>
    <mergeCell ref="P251:Q251"/>
    <mergeCell ref="R233:S233"/>
    <mergeCell ref="T233:U233"/>
    <mergeCell ref="V233:Y233"/>
    <mergeCell ref="D233:E233"/>
    <mergeCell ref="F233:G233"/>
    <mergeCell ref="H233:I233"/>
    <mergeCell ref="J233:K233"/>
    <mergeCell ref="L233:M233"/>
    <mergeCell ref="N233:O233"/>
    <mergeCell ref="P233:Q233"/>
    <mergeCell ref="R234:S234"/>
    <mergeCell ref="T234:U234"/>
    <mergeCell ref="V234:Y234"/>
    <mergeCell ref="D234:E234"/>
    <mergeCell ref="F234:G234"/>
    <mergeCell ref="H234:I234"/>
    <mergeCell ref="J234:K234"/>
    <mergeCell ref="L234:M234"/>
    <mergeCell ref="N234:O234"/>
    <mergeCell ref="P234:Q234"/>
    <mergeCell ref="R235:S235"/>
    <mergeCell ref="T235:U235"/>
    <mergeCell ref="V235:Y235"/>
    <mergeCell ref="D235:E235"/>
    <mergeCell ref="F235:G235"/>
    <mergeCell ref="H235:I235"/>
    <mergeCell ref="J235:K235"/>
    <mergeCell ref="L235:M235"/>
    <mergeCell ref="N235:O235"/>
    <mergeCell ref="P235:Q235"/>
    <mergeCell ref="R252:S252"/>
    <mergeCell ref="T252:U252"/>
    <mergeCell ref="V252:Y252"/>
    <mergeCell ref="D252:E252"/>
    <mergeCell ref="F252:G252"/>
    <mergeCell ref="H252:I252"/>
    <mergeCell ref="J252:K252"/>
    <mergeCell ref="L252:M252"/>
    <mergeCell ref="N252:O252"/>
    <mergeCell ref="P252:Q252"/>
    <mergeCell ref="R241:S241"/>
    <mergeCell ref="T241:U241"/>
    <mergeCell ref="V241:Y241"/>
    <mergeCell ref="D241:E241"/>
    <mergeCell ref="F241:G241"/>
    <mergeCell ref="H241:I241"/>
    <mergeCell ref="J241:K241"/>
    <mergeCell ref="L241:M241"/>
    <mergeCell ref="N241:O241"/>
    <mergeCell ref="P241:Q241"/>
    <mergeCell ref="R242:S242"/>
    <mergeCell ref="T242:U242"/>
    <mergeCell ref="V242:Y242"/>
    <mergeCell ref="D242:E242"/>
    <mergeCell ref="F242:G242"/>
    <mergeCell ref="H242:I242"/>
    <mergeCell ref="J242:K242"/>
    <mergeCell ref="L242:M242"/>
    <mergeCell ref="N242:O242"/>
    <mergeCell ref="P242:Q242"/>
    <mergeCell ref="R243:S243"/>
    <mergeCell ref="T243:U243"/>
    <mergeCell ref="V243:Y243"/>
    <mergeCell ref="D243:E243"/>
    <mergeCell ref="F243:G243"/>
    <mergeCell ref="H243:I243"/>
    <mergeCell ref="J243:K243"/>
    <mergeCell ref="L243:M243"/>
    <mergeCell ref="N243:O243"/>
    <mergeCell ref="P243:Q243"/>
    <mergeCell ref="R244:S244"/>
    <mergeCell ref="T244:U244"/>
    <mergeCell ref="V244:Y244"/>
    <mergeCell ref="D244:E244"/>
    <mergeCell ref="F244:G244"/>
    <mergeCell ref="H244:I244"/>
    <mergeCell ref="J244:K244"/>
    <mergeCell ref="L244:M244"/>
    <mergeCell ref="N244:O244"/>
    <mergeCell ref="P244:Q244"/>
    <mergeCell ref="R245:S245"/>
    <mergeCell ref="T245:U245"/>
    <mergeCell ref="V245:Y245"/>
    <mergeCell ref="D245:E245"/>
    <mergeCell ref="F245:G245"/>
    <mergeCell ref="H245:I245"/>
    <mergeCell ref="J245:K245"/>
    <mergeCell ref="L245:M245"/>
    <mergeCell ref="N245:O245"/>
    <mergeCell ref="P245:Q245"/>
    <mergeCell ref="R246:S246"/>
    <mergeCell ref="T246:U246"/>
    <mergeCell ref="V246:Y246"/>
    <mergeCell ref="D246:E246"/>
    <mergeCell ref="F246:G246"/>
    <mergeCell ref="H246:I246"/>
    <mergeCell ref="J246:K246"/>
    <mergeCell ref="L246:M246"/>
    <mergeCell ref="N246:O246"/>
    <mergeCell ref="P246:Q246"/>
    <mergeCell ref="R247:S247"/>
    <mergeCell ref="T247:U247"/>
    <mergeCell ref="V247:Y247"/>
    <mergeCell ref="D247:E247"/>
    <mergeCell ref="F247:G247"/>
    <mergeCell ref="H247:I247"/>
    <mergeCell ref="J247:K247"/>
    <mergeCell ref="L247:M247"/>
    <mergeCell ref="N247:O247"/>
    <mergeCell ref="P247:Q247"/>
    <mergeCell ref="R148:S148"/>
    <mergeCell ref="T148:U148"/>
    <mergeCell ref="V148:Y148"/>
    <mergeCell ref="D148:E148"/>
    <mergeCell ref="F148:G148"/>
    <mergeCell ref="H148:I148"/>
    <mergeCell ref="J148:K148"/>
    <mergeCell ref="L148:M148"/>
    <mergeCell ref="N148:O148"/>
    <mergeCell ref="P148:Q148"/>
    <mergeCell ref="R149:S149"/>
    <mergeCell ref="T149:U149"/>
    <mergeCell ref="V149:Y149"/>
    <mergeCell ref="D149:E149"/>
    <mergeCell ref="F149:G149"/>
    <mergeCell ref="H149:I149"/>
    <mergeCell ref="J149:K149"/>
    <mergeCell ref="L149:M149"/>
    <mergeCell ref="N149:O149"/>
    <mergeCell ref="P149:Q149"/>
    <mergeCell ref="R150:S150"/>
    <mergeCell ref="T150:U150"/>
    <mergeCell ref="V150:Y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Y151"/>
    <mergeCell ref="D151:E151"/>
    <mergeCell ref="F151:G151"/>
    <mergeCell ref="H151:I151"/>
    <mergeCell ref="J151:K151"/>
    <mergeCell ref="L151:M151"/>
    <mergeCell ref="N151:O151"/>
    <mergeCell ref="P151:Q151"/>
    <mergeCell ref="R152:S152"/>
    <mergeCell ref="T152:U152"/>
    <mergeCell ref="V152:Y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Y153"/>
    <mergeCell ref="D153:E153"/>
    <mergeCell ref="F153:G153"/>
    <mergeCell ref="H153:I153"/>
    <mergeCell ref="J153:K153"/>
    <mergeCell ref="L153:M153"/>
    <mergeCell ref="N153:O153"/>
    <mergeCell ref="P153:Q153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56:S156"/>
    <mergeCell ref="T156:U156"/>
    <mergeCell ref="V156:Y156"/>
    <mergeCell ref="D156:E156"/>
    <mergeCell ref="F156:G156"/>
    <mergeCell ref="H156:I156"/>
    <mergeCell ref="J156:K156"/>
    <mergeCell ref="L156:M156"/>
    <mergeCell ref="N156:O156"/>
    <mergeCell ref="P156:Q156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N159:O159"/>
    <mergeCell ref="P159:Q159"/>
    <mergeCell ref="R159:S159"/>
    <mergeCell ref="T159:U159"/>
    <mergeCell ref="B158:U158"/>
    <mergeCell ref="V158:X158"/>
    <mergeCell ref="F159:G159"/>
    <mergeCell ref="H159:I159"/>
    <mergeCell ref="J159:K159"/>
    <mergeCell ref="L159:M159"/>
    <mergeCell ref="V159:Y159"/>
    <mergeCell ref="P160:Q160"/>
    <mergeCell ref="R160:S160"/>
    <mergeCell ref="T160:U160"/>
    <mergeCell ref="V160:Y160"/>
    <mergeCell ref="D159:E159"/>
    <mergeCell ref="D160:E160"/>
    <mergeCell ref="F160:G160"/>
    <mergeCell ref="H160:I160"/>
    <mergeCell ref="J160:K160"/>
    <mergeCell ref="L160:M160"/>
    <mergeCell ref="N160:O160"/>
    <mergeCell ref="R164:S164"/>
    <mergeCell ref="T164:U164"/>
    <mergeCell ref="V164:Y164"/>
    <mergeCell ref="D164:E164"/>
    <mergeCell ref="F164:G164"/>
    <mergeCell ref="H164:I164"/>
    <mergeCell ref="J164:K164"/>
    <mergeCell ref="L164:M164"/>
    <mergeCell ref="N164:O164"/>
    <mergeCell ref="P164:Q164"/>
    <mergeCell ref="R165:S165"/>
    <mergeCell ref="T165:U165"/>
    <mergeCell ref="V165:Y165"/>
    <mergeCell ref="D165:E165"/>
    <mergeCell ref="F165:G165"/>
    <mergeCell ref="H165:I165"/>
    <mergeCell ref="J165:K165"/>
    <mergeCell ref="L165:M165"/>
    <mergeCell ref="N165:O165"/>
    <mergeCell ref="P165:Q165"/>
    <mergeCell ref="R166:S166"/>
    <mergeCell ref="T166:U166"/>
    <mergeCell ref="V166:Y166"/>
    <mergeCell ref="D166:E166"/>
    <mergeCell ref="F166:G166"/>
    <mergeCell ref="H166:I166"/>
    <mergeCell ref="J166:K166"/>
    <mergeCell ref="L166:M166"/>
    <mergeCell ref="N166:O166"/>
    <mergeCell ref="P166:Q166"/>
    <mergeCell ref="R167:S167"/>
    <mergeCell ref="T167:U167"/>
    <mergeCell ref="V167:Y167"/>
    <mergeCell ref="D167:E167"/>
    <mergeCell ref="F167:G167"/>
    <mergeCell ref="H167:I167"/>
    <mergeCell ref="J167:K167"/>
    <mergeCell ref="L167:M167"/>
    <mergeCell ref="N167:O167"/>
    <mergeCell ref="P167:Q167"/>
    <mergeCell ref="R168:S168"/>
    <mergeCell ref="T168:U168"/>
    <mergeCell ref="V168:Y168"/>
    <mergeCell ref="D168:E168"/>
    <mergeCell ref="F168:G168"/>
    <mergeCell ref="H168:I168"/>
    <mergeCell ref="J168:K168"/>
    <mergeCell ref="L168:M168"/>
    <mergeCell ref="N168:O168"/>
    <mergeCell ref="P168:Q168"/>
    <mergeCell ref="R169:S169"/>
    <mergeCell ref="T169:U169"/>
    <mergeCell ref="V169:Y169"/>
    <mergeCell ref="D169:E169"/>
    <mergeCell ref="F169:G169"/>
    <mergeCell ref="H169:I169"/>
    <mergeCell ref="J169:K169"/>
    <mergeCell ref="L169:M169"/>
    <mergeCell ref="N169:O169"/>
    <mergeCell ref="P169:Q169"/>
    <mergeCell ref="R170:S170"/>
    <mergeCell ref="T170:U170"/>
    <mergeCell ref="V170:Y170"/>
    <mergeCell ref="D170:E170"/>
    <mergeCell ref="F170:G170"/>
    <mergeCell ref="H170:I170"/>
    <mergeCell ref="J170:K170"/>
    <mergeCell ref="L170:M170"/>
    <mergeCell ref="N170:O170"/>
    <mergeCell ref="P170:Q170"/>
    <mergeCell ref="R171:S171"/>
    <mergeCell ref="T171:U171"/>
    <mergeCell ref="V171:Y171"/>
    <mergeCell ref="D171:E171"/>
    <mergeCell ref="F171:G171"/>
    <mergeCell ref="H171:I171"/>
    <mergeCell ref="J171:K171"/>
    <mergeCell ref="L171:M171"/>
    <mergeCell ref="N171:O171"/>
    <mergeCell ref="P171:Q171"/>
    <mergeCell ref="R172:S172"/>
    <mergeCell ref="T172:U172"/>
    <mergeCell ref="V172:Y172"/>
    <mergeCell ref="D172:E172"/>
    <mergeCell ref="F172:G172"/>
    <mergeCell ref="H172:I172"/>
    <mergeCell ref="J172:K172"/>
    <mergeCell ref="L172:M172"/>
    <mergeCell ref="N172:O172"/>
    <mergeCell ref="P172:Q172"/>
    <mergeCell ref="R173:S173"/>
    <mergeCell ref="T173:U173"/>
    <mergeCell ref="V173:Y173"/>
    <mergeCell ref="D173:E173"/>
    <mergeCell ref="F173:G173"/>
    <mergeCell ref="H173:I173"/>
    <mergeCell ref="J173:K173"/>
    <mergeCell ref="L173:M173"/>
    <mergeCell ref="N173:O173"/>
    <mergeCell ref="P173:Q173"/>
    <mergeCell ref="R174:S174"/>
    <mergeCell ref="T174:U174"/>
    <mergeCell ref="V174:Y174"/>
    <mergeCell ref="D174:E174"/>
    <mergeCell ref="F174:G174"/>
    <mergeCell ref="H174:I174"/>
    <mergeCell ref="J174:K174"/>
    <mergeCell ref="L174:M174"/>
    <mergeCell ref="N174:O174"/>
    <mergeCell ref="P174:Q174"/>
    <mergeCell ref="R175:S175"/>
    <mergeCell ref="T175:U175"/>
    <mergeCell ref="V175:Y175"/>
    <mergeCell ref="D175:E175"/>
    <mergeCell ref="F175:G175"/>
    <mergeCell ref="H175:I175"/>
    <mergeCell ref="J175:K175"/>
    <mergeCell ref="L175:M175"/>
    <mergeCell ref="N175:O175"/>
    <mergeCell ref="P175:Q175"/>
    <mergeCell ref="R176:S176"/>
    <mergeCell ref="T176:U176"/>
    <mergeCell ref="V176:Y176"/>
    <mergeCell ref="D176:E176"/>
    <mergeCell ref="F176:G176"/>
    <mergeCell ref="H176:I176"/>
    <mergeCell ref="J176:K176"/>
    <mergeCell ref="L176:M176"/>
    <mergeCell ref="N176:O176"/>
    <mergeCell ref="P176:Q176"/>
    <mergeCell ref="R177:S177"/>
    <mergeCell ref="T177:U177"/>
    <mergeCell ref="V177:Y177"/>
    <mergeCell ref="D177:E177"/>
    <mergeCell ref="F177:G177"/>
    <mergeCell ref="H177:I177"/>
    <mergeCell ref="J177:K177"/>
    <mergeCell ref="L177:M177"/>
    <mergeCell ref="N177:O177"/>
    <mergeCell ref="P177:Q177"/>
    <mergeCell ref="R178:S178"/>
    <mergeCell ref="T178:U178"/>
    <mergeCell ref="V178:Y178"/>
    <mergeCell ref="D178:E178"/>
    <mergeCell ref="F178:G178"/>
    <mergeCell ref="H178:I178"/>
    <mergeCell ref="J178:K178"/>
    <mergeCell ref="L178:M178"/>
    <mergeCell ref="N178:O178"/>
    <mergeCell ref="P178:Q178"/>
    <mergeCell ref="R161:S161"/>
    <mergeCell ref="T161:U161"/>
    <mergeCell ref="V161:Y161"/>
    <mergeCell ref="D161:E161"/>
    <mergeCell ref="F161:G161"/>
    <mergeCell ref="H161:I161"/>
    <mergeCell ref="J161:K161"/>
    <mergeCell ref="L161:M161"/>
    <mergeCell ref="N161:O161"/>
    <mergeCell ref="P161:Q161"/>
    <mergeCell ref="R162:S162"/>
    <mergeCell ref="T162:U162"/>
    <mergeCell ref="V162:Y162"/>
    <mergeCell ref="D162:E162"/>
    <mergeCell ref="F162:G162"/>
    <mergeCell ref="H162:I162"/>
    <mergeCell ref="J162:K162"/>
    <mergeCell ref="L162:M162"/>
    <mergeCell ref="N162:O162"/>
    <mergeCell ref="P162:Q162"/>
    <mergeCell ref="R163:S163"/>
    <mergeCell ref="T163:U163"/>
    <mergeCell ref="V163:Y163"/>
    <mergeCell ref="D163:E163"/>
    <mergeCell ref="F163:G163"/>
    <mergeCell ref="H163:I163"/>
    <mergeCell ref="J163:K163"/>
    <mergeCell ref="L163:M163"/>
    <mergeCell ref="N163:O163"/>
    <mergeCell ref="P163:Q163"/>
    <mergeCell ref="R180:S180"/>
    <mergeCell ref="T180:U180"/>
    <mergeCell ref="V180:Y180"/>
    <mergeCell ref="D180:E180"/>
    <mergeCell ref="F180:G180"/>
    <mergeCell ref="H180:I180"/>
    <mergeCell ref="J180:K180"/>
    <mergeCell ref="L180:M180"/>
    <mergeCell ref="N180:O180"/>
    <mergeCell ref="P180:Q180"/>
    <mergeCell ref="R179:S179"/>
    <mergeCell ref="T179:U179"/>
    <mergeCell ref="V179:Y179"/>
    <mergeCell ref="D179:E179"/>
    <mergeCell ref="F179:G179"/>
    <mergeCell ref="H179:I179"/>
    <mergeCell ref="J179:K179"/>
    <mergeCell ref="L179:M179"/>
    <mergeCell ref="N179:O179"/>
    <mergeCell ref="P179:Q179"/>
    <mergeCell ref="N183:O183"/>
    <mergeCell ref="P183:Q183"/>
    <mergeCell ref="R183:S183"/>
    <mergeCell ref="T183:U183"/>
    <mergeCell ref="B182:U182"/>
    <mergeCell ref="V182:X182"/>
    <mergeCell ref="F183:G183"/>
    <mergeCell ref="H183:I183"/>
    <mergeCell ref="J183:K183"/>
    <mergeCell ref="L183:M183"/>
    <mergeCell ref="V183:Y183"/>
    <mergeCell ref="P184:Q184"/>
    <mergeCell ref="R184:S184"/>
    <mergeCell ref="T184:U184"/>
    <mergeCell ref="V184:Y184"/>
    <mergeCell ref="D183:E183"/>
    <mergeCell ref="D184:E184"/>
    <mergeCell ref="F184:G184"/>
    <mergeCell ref="H184:I184"/>
    <mergeCell ref="J184:K184"/>
    <mergeCell ref="L184:M184"/>
    <mergeCell ref="N184:O184"/>
    <mergeCell ref="R188:S188"/>
    <mergeCell ref="T188:U188"/>
    <mergeCell ref="V188:Y188"/>
    <mergeCell ref="D188:E188"/>
    <mergeCell ref="F188:G188"/>
    <mergeCell ref="H188:I188"/>
    <mergeCell ref="J188:K188"/>
    <mergeCell ref="L188:M188"/>
    <mergeCell ref="N188:O188"/>
    <mergeCell ref="P188:Q188"/>
    <mergeCell ref="R189:S189"/>
    <mergeCell ref="T189:U189"/>
    <mergeCell ref="V189:Y189"/>
    <mergeCell ref="D189:E189"/>
    <mergeCell ref="F189:G189"/>
    <mergeCell ref="H189:I189"/>
    <mergeCell ref="J189:K189"/>
    <mergeCell ref="L189:M189"/>
    <mergeCell ref="N189:O189"/>
    <mergeCell ref="P189:Q189"/>
    <mergeCell ref="R190:S190"/>
    <mergeCell ref="T190:U190"/>
    <mergeCell ref="V190:Y190"/>
    <mergeCell ref="D190:E190"/>
    <mergeCell ref="F190:G190"/>
    <mergeCell ref="H190:I190"/>
    <mergeCell ref="J190:K190"/>
    <mergeCell ref="L190:M190"/>
    <mergeCell ref="N190:O190"/>
    <mergeCell ref="P190:Q190"/>
    <mergeCell ref="R191:S191"/>
    <mergeCell ref="T191:U191"/>
    <mergeCell ref="V191:Y191"/>
    <mergeCell ref="D191:E191"/>
    <mergeCell ref="F191:G191"/>
    <mergeCell ref="H191:I191"/>
    <mergeCell ref="J191:K191"/>
    <mergeCell ref="L191:M191"/>
    <mergeCell ref="N191:O191"/>
    <mergeCell ref="P191:Q191"/>
    <mergeCell ref="R192:S192"/>
    <mergeCell ref="T192:U192"/>
    <mergeCell ref="V192:Y192"/>
    <mergeCell ref="D192:E192"/>
    <mergeCell ref="F192:G192"/>
    <mergeCell ref="H192:I192"/>
    <mergeCell ref="J192:K192"/>
    <mergeCell ref="L192:M192"/>
    <mergeCell ref="N192:O192"/>
    <mergeCell ref="P192:Q192"/>
    <mergeCell ref="R193:S193"/>
    <mergeCell ref="T193:U193"/>
    <mergeCell ref="V193:Y193"/>
    <mergeCell ref="D193:E193"/>
    <mergeCell ref="F193:G193"/>
    <mergeCell ref="H193:I193"/>
    <mergeCell ref="J193:K193"/>
    <mergeCell ref="L193:M193"/>
    <mergeCell ref="N193:O193"/>
    <mergeCell ref="P193:Q193"/>
    <mergeCell ref="R194:S194"/>
    <mergeCell ref="T194:U194"/>
    <mergeCell ref="V194:Y194"/>
    <mergeCell ref="D194:E194"/>
    <mergeCell ref="F194:G194"/>
    <mergeCell ref="H194:I194"/>
    <mergeCell ref="J194:K194"/>
    <mergeCell ref="L194:M194"/>
    <mergeCell ref="N194:O194"/>
    <mergeCell ref="P194:Q194"/>
    <mergeCell ref="R195:S195"/>
    <mergeCell ref="T195:U195"/>
    <mergeCell ref="V195:Y195"/>
    <mergeCell ref="D195:E195"/>
    <mergeCell ref="F195:G195"/>
    <mergeCell ref="H195:I195"/>
    <mergeCell ref="J195:K195"/>
    <mergeCell ref="L195:M195"/>
    <mergeCell ref="N195:O195"/>
    <mergeCell ref="P195:Q195"/>
    <mergeCell ref="R196:S196"/>
    <mergeCell ref="T196:U196"/>
    <mergeCell ref="V196:Y196"/>
    <mergeCell ref="D196:E196"/>
    <mergeCell ref="F196:G196"/>
    <mergeCell ref="H196:I196"/>
    <mergeCell ref="J196:K196"/>
    <mergeCell ref="L196:M196"/>
    <mergeCell ref="N196:O196"/>
    <mergeCell ref="P196:Q196"/>
    <mergeCell ref="R185:S185"/>
    <mergeCell ref="T185:U185"/>
    <mergeCell ref="V185:Y185"/>
    <mergeCell ref="D185:E185"/>
    <mergeCell ref="F185:G185"/>
    <mergeCell ref="H185:I185"/>
    <mergeCell ref="J185:K185"/>
    <mergeCell ref="L185:M185"/>
    <mergeCell ref="N185:O185"/>
    <mergeCell ref="P185:Q185"/>
    <mergeCell ref="R186:S186"/>
    <mergeCell ref="T186:U186"/>
    <mergeCell ref="V186:Y186"/>
    <mergeCell ref="D186:E186"/>
    <mergeCell ref="F186:G186"/>
    <mergeCell ref="H186:I186"/>
    <mergeCell ref="J186:K186"/>
    <mergeCell ref="L186:M186"/>
    <mergeCell ref="N186:O186"/>
    <mergeCell ref="P186:Q186"/>
    <mergeCell ref="R187:S187"/>
    <mergeCell ref="T187:U187"/>
    <mergeCell ref="V187:Y187"/>
    <mergeCell ref="D187:E187"/>
    <mergeCell ref="F187:G187"/>
    <mergeCell ref="H187:I187"/>
    <mergeCell ref="J187:K187"/>
    <mergeCell ref="L187:M187"/>
    <mergeCell ref="N187:O187"/>
    <mergeCell ref="P187:Q187"/>
    <mergeCell ref="R204:S204"/>
    <mergeCell ref="T204:U204"/>
    <mergeCell ref="V204:Y204"/>
    <mergeCell ref="D204:E204"/>
    <mergeCell ref="F204:G204"/>
    <mergeCell ref="H204:I204"/>
    <mergeCell ref="J204:K204"/>
    <mergeCell ref="L204:M204"/>
    <mergeCell ref="N204:O204"/>
    <mergeCell ref="P204:Q204"/>
    <mergeCell ref="R203:S203"/>
    <mergeCell ref="T203:U203"/>
    <mergeCell ref="V203:Y203"/>
    <mergeCell ref="D203:E203"/>
    <mergeCell ref="F203:G203"/>
    <mergeCell ref="H203:I203"/>
    <mergeCell ref="J203:K203"/>
    <mergeCell ref="L203:M203"/>
    <mergeCell ref="N203:O203"/>
    <mergeCell ref="P203:Q203"/>
    <mergeCell ref="N207:O207"/>
    <mergeCell ref="P207:Q207"/>
    <mergeCell ref="R207:S207"/>
    <mergeCell ref="T207:U207"/>
    <mergeCell ref="B206:U206"/>
    <mergeCell ref="V206:X206"/>
    <mergeCell ref="F207:G207"/>
    <mergeCell ref="H207:I207"/>
    <mergeCell ref="J207:K207"/>
    <mergeCell ref="L207:M207"/>
    <mergeCell ref="V207:Y207"/>
    <mergeCell ref="P208:Q208"/>
    <mergeCell ref="R208:S208"/>
    <mergeCell ref="T208:U208"/>
    <mergeCell ref="V208:Y208"/>
    <mergeCell ref="D207:E207"/>
    <mergeCell ref="D208:E208"/>
    <mergeCell ref="F208:G208"/>
    <mergeCell ref="H208:I208"/>
    <mergeCell ref="J208:K208"/>
    <mergeCell ref="L208:M208"/>
    <mergeCell ref="N208:O208"/>
    <mergeCell ref="R197:S197"/>
    <mergeCell ref="T197:U197"/>
    <mergeCell ref="V197:Y197"/>
    <mergeCell ref="D197:E197"/>
    <mergeCell ref="F197:G197"/>
    <mergeCell ref="H197:I197"/>
    <mergeCell ref="J197:K197"/>
    <mergeCell ref="L197:M197"/>
    <mergeCell ref="N197:O197"/>
    <mergeCell ref="P197:Q197"/>
    <mergeCell ref="R198:S198"/>
    <mergeCell ref="T198:U198"/>
    <mergeCell ref="V198:Y198"/>
    <mergeCell ref="D198:E198"/>
    <mergeCell ref="F198:G198"/>
    <mergeCell ref="H198:I198"/>
    <mergeCell ref="J198:K198"/>
    <mergeCell ref="L198:M198"/>
    <mergeCell ref="N198:O198"/>
    <mergeCell ref="P198:Q198"/>
    <mergeCell ref="R199:S199"/>
    <mergeCell ref="T199:U199"/>
    <mergeCell ref="V199:Y199"/>
    <mergeCell ref="D199:E199"/>
    <mergeCell ref="F199:G199"/>
    <mergeCell ref="H199:I199"/>
    <mergeCell ref="J199:K199"/>
    <mergeCell ref="L199:M199"/>
    <mergeCell ref="N199:O199"/>
    <mergeCell ref="P199:Q199"/>
    <mergeCell ref="R200:S200"/>
    <mergeCell ref="T200:U200"/>
    <mergeCell ref="V200:Y200"/>
    <mergeCell ref="D200:E200"/>
    <mergeCell ref="F200:G200"/>
    <mergeCell ref="H200:I200"/>
    <mergeCell ref="J200:K200"/>
    <mergeCell ref="L200:M200"/>
    <mergeCell ref="N200:O200"/>
    <mergeCell ref="P200:Q200"/>
    <mergeCell ref="R201:S201"/>
    <mergeCell ref="T201:U201"/>
    <mergeCell ref="V201:Y201"/>
    <mergeCell ref="D201:E201"/>
    <mergeCell ref="F201:G201"/>
    <mergeCell ref="H201:I201"/>
    <mergeCell ref="J201:K201"/>
    <mergeCell ref="L201:M201"/>
    <mergeCell ref="N201:O201"/>
    <mergeCell ref="P201:Q201"/>
    <mergeCell ref="R202:S202"/>
    <mergeCell ref="T202:U202"/>
    <mergeCell ref="V202:Y202"/>
    <mergeCell ref="D202:E202"/>
    <mergeCell ref="F202:G202"/>
    <mergeCell ref="H202:I202"/>
    <mergeCell ref="J202:K202"/>
    <mergeCell ref="L202:M202"/>
    <mergeCell ref="N202:O202"/>
    <mergeCell ref="P202:Q202"/>
    <mergeCell ref="R212:S212"/>
    <mergeCell ref="T212:U212"/>
    <mergeCell ref="V212:Y212"/>
    <mergeCell ref="D212:E212"/>
    <mergeCell ref="F212:G212"/>
    <mergeCell ref="H212:I212"/>
    <mergeCell ref="J212:K212"/>
    <mergeCell ref="L212:M212"/>
    <mergeCell ref="N212:O212"/>
    <mergeCell ref="P212:Q212"/>
  </mergeCells>
  <conditionalFormatting sqref="B16:E36 B40:E60 B64:E84 B88:E108 B112:E132 B136:E156 B160:E180 B184:E204 B208:E228 B232:E252">
    <cfRule type="expression" dxfId="0" priority="1">
      <formula>INDIRECT(CONCAT("D",ROW()))</formula>
    </cfRule>
  </conditionalFormatting>
  <dataValidations>
    <dataValidation type="decimal" allowBlank="1" showDropDown="1" sqref="F3">
      <formula1>1.0</formula1>
      <formula2>20.0</formula2>
    </dataValidation>
    <dataValidation type="list" allowBlank="1" sqref="B16:B36 B40:B60 B64:B84 B88:B108 B112:B132 B136:B156 B160:B180 B184:B204 B208:B228 B232:B252">
      <formula1>DataSheet!$B$4:$C$380</formula1>
    </dataValidation>
    <dataValidation type="list" allowBlank="1" sqref="C16:C36 C40:C60 C64:C84 C88:C108 C112:C132 C136:C156 C160:C180 C184:C204 C208:C228 C232:C252">
      <formula1>"Empower,Enlarge,Extend,Heighten,Maximize,Quicken,Silent,Still,Widen"</formula1>
    </dataValidation>
  </dataValidations>
  <hyperlinks>
    <hyperlink display="Cantrips" location="Known Spells!B14:Y36" ref="B3"/>
    <hyperlink display="1st Level Spells" location="Known Spells!B38:Y60" ref="B4"/>
    <hyperlink display="2nd Level Spells" location="Known Spells!B62:Y84" ref="B5"/>
    <hyperlink display="3rd Level Spells" location="Known Spells!B86:Y108" ref="B6"/>
    <hyperlink display="4th Level Spells" location="Known Spells!B110:Y132" ref="B7"/>
    <hyperlink display="5th Level Spells" location="Known Spells!B134:Y156" ref="B8"/>
    <hyperlink display="6th Level Spells" location="Known Spells!B158:Y180" ref="B9"/>
    <hyperlink display="7th Level Spells" location="Known Spells!B182:Y204" ref="B10"/>
    <hyperlink display="8th Level Spells" location="Known Spells!B206:Y228" ref="B11"/>
    <hyperlink display="9th Level Spells" location="Known Spells!B218:T218" ref="B12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4" t="s">
        <v>1</v>
      </c>
      <c r="B2" s="44" t="s">
        <v>27</v>
      </c>
      <c r="C2" s="44" t="s">
        <v>28</v>
      </c>
      <c r="D2" s="44" t="s">
        <v>29</v>
      </c>
      <c r="E2" s="44" t="s">
        <v>30</v>
      </c>
      <c r="F2" s="44" t="s">
        <v>31</v>
      </c>
      <c r="G2" s="44" t="s">
        <v>32</v>
      </c>
      <c r="H2" s="44" t="s">
        <v>33</v>
      </c>
      <c r="I2" s="44" t="s">
        <v>34</v>
      </c>
      <c r="J2" s="44" t="s">
        <v>35</v>
      </c>
      <c r="K2" s="44" t="s">
        <v>36</v>
      </c>
    </row>
    <row r="3">
      <c r="A3" s="44">
        <v>1.0</v>
      </c>
      <c r="B3" s="44">
        <v>3.0</v>
      </c>
      <c r="C3" s="44">
        <v>1.0</v>
      </c>
    </row>
    <row r="4">
      <c r="A4" s="44">
        <v>2.0</v>
      </c>
      <c r="B4" s="44">
        <v>4.0</v>
      </c>
      <c r="C4" s="44">
        <v>2.0</v>
      </c>
    </row>
    <row r="5">
      <c r="A5" s="44">
        <v>3.0</v>
      </c>
      <c r="B5" s="44">
        <v>4.0</v>
      </c>
      <c r="C5" s="44">
        <v>2.0</v>
      </c>
      <c r="D5" s="44">
        <v>1.0</v>
      </c>
    </row>
    <row r="6">
      <c r="A6" s="44">
        <v>4.0</v>
      </c>
      <c r="B6" s="44">
        <v>4.0</v>
      </c>
      <c r="C6" s="44">
        <v>3.0</v>
      </c>
      <c r="D6" s="44">
        <v>2.0</v>
      </c>
    </row>
    <row r="7">
      <c r="A7" s="44">
        <v>5.0</v>
      </c>
      <c r="B7" s="44">
        <v>4.0</v>
      </c>
      <c r="C7" s="44">
        <v>3.0</v>
      </c>
      <c r="D7" s="44">
        <v>2.0</v>
      </c>
      <c r="E7" s="44">
        <v>1.0</v>
      </c>
    </row>
    <row r="8">
      <c r="A8" s="44">
        <v>6.0</v>
      </c>
      <c r="B8" s="44">
        <v>4.0</v>
      </c>
      <c r="C8" s="44">
        <v>3.0</v>
      </c>
      <c r="D8" s="44">
        <v>3.0</v>
      </c>
      <c r="E8" s="44">
        <v>2.0</v>
      </c>
    </row>
    <row r="9">
      <c r="A9" s="44">
        <v>7.0</v>
      </c>
      <c r="B9" s="44">
        <v>4.0</v>
      </c>
      <c r="C9" s="44">
        <v>4.0</v>
      </c>
      <c r="D9" s="44">
        <v>3.0</v>
      </c>
      <c r="E9" s="44">
        <v>2.0</v>
      </c>
      <c r="F9" s="44">
        <v>1.0</v>
      </c>
    </row>
    <row r="10">
      <c r="A10" s="44">
        <v>8.0</v>
      </c>
      <c r="B10" s="44">
        <v>4.0</v>
      </c>
      <c r="C10" s="44">
        <v>4.0</v>
      </c>
      <c r="D10" s="44">
        <v>3.0</v>
      </c>
      <c r="E10" s="44">
        <v>3.0</v>
      </c>
      <c r="F10" s="44">
        <v>2.0</v>
      </c>
    </row>
    <row r="11">
      <c r="A11" s="44">
        <v>9.0</v>
      </c>
      <c r="B11" s="44">
        <v>4.0</v>
      </c>
      <c r="C11" s="44">
        <v>4.0</v>
      </c>
      <c r="D11" s="44">
        <v>4.0</v>
      </c>
      <c r="E11" s="44">
        <v>3.0</v>
      </c>
      <c r="F11" s="44">
        <v>2.0</v>
      </c>
      <c r="G11" s="44">
        <v>1.0</v>
      </c>
    </row>
    <row r="12">
      <c r="A12" s="44">
        <v>10.0</v>
      </c>
      <c r="B12" s="44">
        <v>4.0</v>
      </c>
      <c r="C12" s="44">
        <v>4.0</v>
      </c>
      <c r="D12" s="44">
        <v>4.0</v>
      </c>
      <c r="E12" s="44">
        <v>3.0</v>
      </c>
      <c r="F12" s="44">
        <v>3.0</v>
      </c>
      <c r="G12" s="44">
        <v>2.0</v>
      </c>
    </row>
    <row r="13">
      <c r="A13" s="44">
        <v>11.0</v>
      </c>
      <c r="B13" s="44">
        <v>4.0</v>
      </c>
      <c r="C13" s="44">
        <v>4.0</v>
      </c>
      <c r="D13" s="44">
        <v>4.0</v>
      </c>
      <c r="E13" s="44">
        <v>4.0</v>
      </c>
      <c r="F13" s="44">
        <v>3.0</v>
      </c>
      <c r="G13" s="44">
        <v>2.0</v>
      </c>
      <c r="H13" s="44">
        <v>1.0</v>
      </c>
    </row>
    <row r="14">
      <c r="A14" s="44">
        <v>12.0</v>
      </c>
      <c r="B14" s="44">
        <v>4.0</v>
      </c>
      <c r="C14" s="44">
        <v>4.0</v>
      </c>
      <c r="D14" s="44">
        <v>4.0</v>
      </c>
      <c r="E14" s="44">
        <v>4.0</v>
      </c>
      <c r="F14" s="44">
        <v>3.0</v>
      </c>
      <c r="G14" s="44">
        <v>3.0</v>
      </c>
      <c r="H14" s="44">
        <v>2.0</v>
      </c>
    </row>
    <row r="15">
      <c r="A15" s="44">
        <v>13.0</v>
      </c>
      <c r="B15" s="44">
        <v>4.0</v>
      </c>
      <c r="C15" s="44">
        <v>4.0</v>
      </c>
      <c r="D15" s="44">
        <v>4.0</v>
      </c>
      <c r="E15" s="44">
        <v>4.0</v>
      </c>
      <c r="F15" s="44">
        <v>4.0</v>
      </c>
      <c r="G15" s="44">
        <v>3.0</v>
      </c>
      <c r="H15" s="44">
        <v>2.0</v>
      </c>
      <c r="I15" s="44">
        <v>1.0</v>
      </c>
    </row>
    <row r="16">
      <c r="A16" s="44">
        <v>14.0</v>
      </c>
      <c r="B16" s="44">
        <v>4.0</v>
      </c>
      <c r="C16" s="44">
        <v>4.0</v>
      </c>
      <c r="D16" s="44">
        <v>4.0</v>
      </c>
      <c r="E16" s="44">
        <v>4.0</v>
      </c>
      <c r="F16" s="44">
        <v>4.0</v>
      </c>
      <c r="G16" s="44">
        <v>3.0</v>
      </c>
      <c r="H16" s="44">
        <v>3.0</v>
      </c>
      <c r="I16" s="44">
        <v>2.0</v>
      </c>
    </row>
    <row r="17">
      <c r="A17" s="44">
        <v>15.0</v>
      </c>
      <c r="B17" s="44">
        <v>4.0</v>
      </c>
      <c r="C17" s="44">
        <v>4.0</v>
      </c>
      <c r="D17" s="44">
        <v>4.0</v>
      </c>
      <c r="E17" s="44">
        <v>4.0</v>
      </c>
      <c r="F17" s="44">
        <v>4.0</v>
      </c>
      <c r="G17" s="44">
        <v>4.0</v>
      </c>
      <c r="H17" s="44">
        <v>3.0</v>
      </c>
      <c r="I17" s="44">
        <v>2.0</v>
      </c>
      <c r="J17" s="44">
        <v>1.0</v>
      </c>
    </row>
    <row r="18">
      <c r="A18" s="44">
        <v>16.0</v>
      </c>
      <c r="B18" s="44">
        <v>4.0</v>
      </c>
      <c r="C18" s="44">
        <v>4.0</v>
      </c>
      <c r="D18" s="44">
        <v>4.0</v>
      </c>
      <c r="E18" s="44">
        <v>4.0</v>
      </c>
      <c r="F18" s="44">
        <v>4.0</v>
      </c>
      <c r="G18" s="44">
        <v>4.0</v>
      </c>
      <c r="H18" s="44">
        <v>3.0</v>
      </c>
      <c r="I18" s="44">
        <v>3.0</v>
      </c>
      <c r="J18" s="44">
        <v>2.0</v>
      </c>
    </row>
    <row r="19">
      <c r="A19" s="44">
        <v>17.0</v>
      </c>
      <c r="B19" s="44">
        <v>4.0</v>
      </c>
      <c r="C19" s="44">
        <v>4.0</v>
      </c>
      <c r="D19" s="44">
        <v>4.0</v>
      </c>
      <c r="E19" s="44">
        <v>4.0</v>
      </c>
      <c r="F19" s="44">
        <v>4.0</v>
      </c>
      <c r="G19" s="44">
        <v>4.0</v>
      </c>
      <c r="H19" s="44">
        <v>4.0</v>
      </c>
      <c r="I19" s="44">
        <v>3.0</v>
      </c>
      <c r="J19" s="44">
        <v>2.0</v>
      </c>
      <c r="K19" s="44">
        <v>1.0</v>
      </c>
    </row>
    <row r="20">
      <c r="A20" s="44">
        <v>18.0</v>
      </c>
      <c r="B20" s="44">
        <v>4.0</v>
      </c>
      <c r="C20" s="44">
        <v>4.0</v>
      </c>
      <c r="D20" s="44">
        <v>4.0</v>
      </c>
      <c r="E20" s="44">
        <v>4.0</v>
      </c>
      <c r="F20" s="44">
        <v>4.0</v>
      </c>
      <c r="G20" s="44">
        <v>4.0</v>
      </c>
      <c r="H20" s="44">
        <v>4.0</v>
      </c>
      <c r="I20" s="44">
        <v>3.0</v>
      </c>
      <c r="J20" s="44">
        <v>3.0</v>
      </c>
      <c r="K20" s="44">
        <v>2.0</v>
      </c>
    </row>
    <row r="21">
      <c r="A21" s="44">
        <v>19.0</v>
      </c>
      <c r="B21" s="44">
        <v>4.0</v>
      </c>
      <c r="C21" s="44">
        <v>4.0</v>
      </c>
      <c r="D21" s="44">
        <v>4.0</v>
      </c>
      <c r="E21" s="44">
        <v>4.0</v>
      </c>
      <c r="F21" s="44">
        <v>4.0</v>
      </c>
      <c r="G21" s="44">
        <v>4.0</v>
      </c>
      <c r="H21" s="44">
        <v>4.0</v>
      </c>
      <c r="I21" s="44">
        <v>4.0</v>
      </c>
      <c r="J21" s="44">
        <v>3.0</v>
      </c>
      <c r="K21" s="44">
        <v>3.0</v>
      </c>
    </row>
    <row r="22">
      <c r="A22" s="44">
        <v>20.0</v>
      </c>
      <c r="B22" s="44">
        <v>4.0</v>
      </c>
      <c r="C22" s="44">
        <v>4.0</v>
      </c>
      <c r="D22" s="44">
        <v>4.0</v>
      </c>
      <c r="E22" s="44">
        <v>4.0</v>
      </c>
      <c r="F22" s="44">
        <v>4.0</v>
      </c>
      <c r="G22" s="44">
        <v>4.0</v>
      </c>
      <c r="H22" s="44">
        <v>4.0</v>
      </c>
      <c r="I22" s="44">
        <v>4.0</v>
      </c>
      <c r="J22" s="44">
        <v>4.0</v>
      </c>
      <c r="K22" s="44">
        <v>4.0</v>
      </c>
    </row>
    <row r="25">
      <c r="A25" s="44" t="s">
        <v>2</v>
      </c>
      <c r="B25" s="44" t="s">
        <v>28</v>
      </c>
      <c r="C25" s="44" t="s">
        <v>29</v>
      </c>
      <c r="D25" s="44" t="s">
        <v>30</v>
      </c>
      <c r="E25" s="44" t="s">
        <v>31</v>
      </c>
      <c r="F25" s="44" t="s">
        <v>32</v>
      </c>
      <c r="G25" s="44" t="s">
        <v>33</v>
      </c>
      <c r="H25" s="44" t="s">
        <v>34</v>
      </c>
      <c r="I25" s="44" t="s">
        <v>35</v>
      </c>
      <c r="J25" s="44" t="s">
        <v>36</v>
      </c>
    </row>
    <row r="26">
      <c r="A26" s="44">
        <v>-5.0</v>
      </c>
    </row>
    <row r="27">
      <c r="A27" s="44">
        <v>-4.0</v>
      </c>
    </row>
    <row r="28">
      <c r="A28" s="44">
        <v>-3.0</v>
      </c>
    </row>
    <row r="29">
      <c r="A29" s="44">
        <v>-2.0</v>
      </c>
    </row>
    <row r="30">
      <c r="A30" s="44">
        <v>-1.0</v>
      </c>
    </row>
    <row r="31">
      <c r="A31" s="44">
        <v>0.0</v>
      </c>
    </row>
    <row r="32">
      <c r="A32" s="44">
        <v>1.0</v>
      </c>
      <c r="B32" s="44">
        <v>1.0</v>
      </c>
    </row>
    <row r="33">
      <c r="A33" s="44">
        <v>2.0</v>
      </c>
      <c r="B33" s="44">
        <v>1.0</v>
      </c>
      <c r="C33" s="44">
        <v>1.0</v>
      </c>
    </row>
    <row r="34">
      <c r="A34" s="44">
        <v>3.0</v>
      </c>
      <c r="B34" s="44">
        <v>1.0</v>
      </c>
      <c r="C34" s="44">
        <v>1.0</v>
      </c>
      <c r="D34" s="44">
        <v>1.0</v>
      </c>
    </row>
    <row r="35">
      <c r="A35" s="44">
        <v>4.0</v>
      </c>
      <c r="B35" s="44">
        <v>1.0</v>
      </c>
      <c r="C35" s="44">
        <v>1.0</v>
      </c>
      <c r="D35" s="44">
        <v>1.0</v>
      </c>
      <c r="E35" s="44">
        <v>1.0</v>
      </c>
    </row>
    <row r="36">
      <c r="A36" s="44">
        <v>5.0</v>
      </c>
      <c r="B36" s="44">
        <v>2.0</v>
      </c>
      <c r="C36" s="44">
        <v>1.0</v>
      </c>
      <c r="D36" s="44">
        <v>1.0</v>
      </c>
      <c r="E36" s="44">
        <v>1.0</v>
      </c>
      <c r="F36" s="44">
        <v>1.0</v>
      </c>
    </row>
    <row r="37">
      <c r="A37" s="44">
        <v>6.0</v>
      </c>
      <c r="B37" s="44">
        <v>2.0</v>
      </c>
      <c r="C37" s="44">
        <v>2.0</v>
      </c>
      <c r="D37" s="44">
        <v>1.0</v>
      </c>
      <c r="E37" s="44">
        <v>1.0</v>
      </c>
      <c r="F37" s="44">
        <v>1.0</v>
      </c>
      <c r="G37" s="44">
        <v>1.0</v>
      </c>
    </row>
    <row r="38">
      <c r="A38" s="44">
        <v>7.0</v>
      </c>
      <c r="B38" s="44">
        <v>2.0</v>
      </c>
      <c r="C38" s="44">
        <v>2.0</v>
      </c>
      <c r="D38" s="44">
        <v>2.0</v>
      </c>
      <c r="E38" s="44">
        <v>1.0</v>
      </c>
      <c r="F38" s="44">
        <v>1.0</v>
      </c>
      <c r="G38" s="44">
        <v>1.0</v>
      </c>
      <c r="H38" s="44">
        <v>1.0</v>
      </c>
    </row>
    <row r="39">
      <c r="A39" s="44">
        <v>8.0</v>
      </c>
      <c r="B39" s="44">
        <v>2.0</v>
      </c>
      <c r="C39" s="44">
        <v>2.0</v>
      </c>
      <c r="D39" s="44">
        <v>2.0</v>
      </c>
      <c r="E39" s="44">
        <v>2.0</v>
      </c>
      <c r="F39" s="44">
        <v>1.0</v>
      </c>
      <c r="G39" s="44">
        <v>1.0</v>
      </c>
      <c r="H39" s="44">
        <v>1.0</v>
      </c>
      <c r="I39" s="44">
        <v>1.0</v>
      </c>
    </row>
    <row r="40">
      <c r="A40" s="44">
        <v>9.0</v>
      </c>
      <c r="B40" s="44">
        <v>3.0</v>
      </c>
      <c r="C40" s="44">
        <v>2.0</v>
      </c>
      <c r="D40" s="44">
        <v>2.0</v>
      </c>
      <c r="E40" s="44">
        <v>2.0</v>
      </c>
      <c r="F40" s="44">
        <v>2.0</v>
      </c>
      <c r="G40" s="44">
        <v>1.0</v>
      </c>
      <c r="H40" s="44">
        <v>1.0</v>
      </c>
      <c r="I40" s="44">
        <v>1.0</v>
      </c>
      <c r="J40" s="44">
        <v>1.0</v>
      </c>
    </row>
    <row r="41">
      <c r="A41" s="44">
        <v>10.0</v>
      </c>
      <c r="B41" s="44">
        <v>3.0</v>
      </c>
      <c r="C41" s="44">
        <v>3.0</v>
      </c>
      <c r="D41" s="44">
        <v>2.0</v>
      </c>
      <c r="E41" s="44">
        <v>2.0</v>
      </c>
      <c r="F41" s="44">
        <v>2.0</v>
      </c>
      <c r="G41" s="44">
        <v>2.0</v>
      </c>
      <c r="H41" s="44">
        <v>1.0</v>
      </c>
      <c r="I41" s="44">
        <v>1.0</v>
      </c>
      <c r="J41" s="44">
        <v>1.0</v>
      </c>
    </row>
    <row r="42">
      <c r="A42" s="44">
        <v>11.0</v>
      </c>
      <c r="B42" s="44">
        <v>3.0</v>
      </c>
      <c r="C42" s="44">
        <v>3.0</v>
      </c>
      <c r="D42" s="44">
        <v>3.0</v>
      </c>
      <c r="E42" s="44">
        <v>2.0</v>
      </c>
      <c r="F42" s="44">
        <v>2.0</v>
      </c>
      <c r="G42" s="44">
        <v>2.0</v>
      </c>
      <c r="H42" s="44">
        <v>2.0</v>
      </c>
      <c r="I42" s="44">
        <v>1.0</v>
      </c>
      <c r="J42" s="44">
        <v>1.0</v>
      </c>
    </row>
    <row r="43">
      <c r="A43" s="44">
        <v>12.0</v>
      </c>
      <c r="B43" s="44">
        <v>3.0</v>
      </c>
      <c r="C43" s="44">
        <v>3.0</v>
      </c>
      <c r="D43" s="44">
        <v>3.0</v>
      </c>
      <c r="E43" s="44">
        <v>3.0</v>
      </c>
      <c r="F43" s="44">
        <v>2.0</v>
      </c>
      <c r="G43" s="44">
        <v>2.0</v>
      </c>
      <c r="H43" s="44">
        <v>2.0</v>
      </c>
      <c r="I43" s="44">
        <v>2.0</v>
      </c>
      <c r="J43" s="44">
        <v>1.0</v>
      </c>
    </row>
    <row r="44">
      <c r="A44" s="44">
        <v>13.0</v>
      </c>
      <c r="B44" s="44">
        <v>4.0</v>
      </c>
      <c r="C44" s="44">
        <v>3.0</v>
      </c>
      <c r="D44" s="44">
        <v>3.0</v>
      </c>
      <c r="E44" s="44">
        <v>3.0</v>
      </c>
      <c r="F44" s="44">
        <v>3.0</v>
      </c>
      <c r="G44" s="44">
        <v>2.0</v>
      </c>
      <c r="H44" s="44">
        <v>2.0</v>
      </c>
      <c r="I44" s="44">
        <v>2.0</v>
      </c>
      <c r="J44" s="44">
        <v>2.0</v>
      </c>
    </row>
    <row r="45">
      <c r="A45" s="44">
        <v>14.0</v>
      </c>
      <c r="B45" s="44">
        <v>4.0</v>
      </c>
      <c r="C45" s="44">
        <v>4.0</v>
      </c>
      <c r="D45" s="44">
        <v>3.0</v>
      </c>
      <c r="E45" s="44">
        <v>3.0</v>
      </c>
      <c r="F45" s="44">
        <v>3.0</v>
      </c>
      <c r="G45" s="44">
        <v>3.0</v>
      </c>
      <c r="H45" s="44">
        <v>2.0</v>
      </c>
      <c r="I45" s="44">
        <v>2.0</v>
      </c>
      <c r="J45" s="44">
        <v>2.0</v>
      </c>
    </row>
    <row r="46">
      <c r="A46" s="44">
        <v>15.0</v>
      </c>
      <c r="B46" s="44">
        <v>4.0</v>
      </c>
      <c r="C46" s="44">
        <v>4.0</v>
      </c>
      <c r="D46" s="44">
        <v>4.0</v>
      </c>
      <c r="E46" s="44">
        <v>3.0</v>
      </c>
      <c r="F46" s="44">
        <v>3.0</v>
      </c>
      <c r="G46" s="44">
        <v>3.0</v>
      </c>
      <c r="H46" s="44">
        <v>3.0</v>
      </c>
      <c r="I46" s="44">
        <v>2.0</v>
      </c>
      <c r="J46" s="44">
        <v>2.0</v>
      </c>
    </row>
    <row r="47">
      <c r="A47" s="44">
        <v>16.0</v>
      </c>
      <c r="B47" s="44">
        <v>4.0</v>
      </c>
      <c r="C47" s="44">
        <v>4.0</v>
      </c>
      <c r="D47" s="44">
        <v>4.0</v>
      </c>
      <c r="E47" s="44">
        <v>4.0</v>
      </c>
      <c r="F47" s="44">
        <v>3.0</v>
      </c>
      <c r="G47" s="44">
        <v>3.0</v>
      </c>
      <c r="H47" s="44">
        <v>3.0</v>
      </c>
      <c r="I47" s="44">
        <v>3.0</v>
      </c>
      <c r="J47" s="44">
        <v>2.0</v>
      </c>
    </row>
    <row r="48">
      <c r="A48" s="44">
        <v>17.0</v>
      </c>
      <c r="B48" s="44">
        <v>5.0</v>
      </c>
      <c r="C48" s="44">
        <v>4.0</v>
      </c>
      <c r="D48" s="44">
        <v>4.0</v>
      </c>
      <c r="E48" s="44">
        <v>4.0</v>
      </c>
      <c r="F48" s="44">
        <v>4.0</v>
      </c>
      <c r="G48" s="44">
        <v>3.0</v>
      </c>
      <c r="H48" s="44">
        <v>3.0</v>
      </c>
      <c r="I48" s="44">
        <v>3.0</v>
      </c>
      <c r="J48" s="44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1.29"/>
    <col customWidth="1" min="2" max="2" width="21.43"/>
    <col customWidth="1" min="3" max="3" width="18.14"/>
    <col customWidth="1" min="4" max="4" width="3.14"/>
    <col customWidth="1" min="5" max="5" width="10.43"/>
    <col customWidth="1" min="6" max="6" width="3.14"/>
    <col customWidth="1" min="7" max="7" width="11.57"/>
    <col customWidth="1" min="8" max="8" width="3.0"/>
    <col customWidth="1" min="9" max="9" width="8.43"/>
    <col customWidth="1" min="10" max="10" width="7.29"/>
    <col customWidth="1" min="11" max="11" width="6.57"/>
    <col customWidth="1" min="12" max="12" width="7.86"/>
    <col customWidth="1" min="13" max="14" width="14.43"/>
    <col customWidth="1" min="15" max="15" width="10.86"/>
    <col customWidth="1" min="16" max="16" width="8.29"/>
    <col customWidth="1" min="17" max="17" width="9.29"/>
    <col customWidth="1" min="18" max="18" width="7.14"/>
    <col customWidth="1" min="19" max="19" width="8.86"/>
    <col customWidth="1" min="20" max="20" width="9.29"/>
    <col customWidth="1" min="21" max="22" width="7.29"/>
    <col customWidth="1" min="23" max="23" width="4.86"/>
    <col customWidth="1" min="25" max="25" width="1.29"/>
  </cols>
  <sheetData>
    <row r="2">
      <c r="B2" s="2" t="s">
        <v>0</v>
      </c>
      <c r="C2" s="3"/>
      <c r="D2" s="4"/>
    </row>
    <row r="3">
      <c r="B3" s="8" t="s">
        <v>3</v>
      </c>
      <c r="C3" s="9"/>
      <c r="D3" s="4"/>
    </row>
    <row r="4">
      <c r="B4" s="13" t="s">
        <v>4</v>
      </c>
      <c r="C4" s="3"/>
      <c r="D4" s="4"/>
    </row>
    <row r="5">
      <c r="B5" s="8" t="s">
        <v>5</v>
      </c>
      <c r="C5" s="9"/>
      <c r="D5" s="4"/>
    </row>
    <row r="6">
      <c r="B6" s="13" t="s">
        <v>6</v>
      </c>
      <c r="C6" s="3"/>
      <c r="D6" s="4"/>
    </row>
    <row r="7">
      <c r="B7" s="8" t="s">
        <v>7</v>
      </c>
      <c r="C7" s="9"/>
      <c r="D7" s="4"/>
    </row>
    <row r="8">
      <c r="B8" s="13" t="s">
        <v>8</v>
      </c>
      <c r="C8" s="3"/>
      <c r="D8" s="4"/>
    </row>
    <row r="9">
      <c r="B9" s="8" t="s">
        <v>9</v>
      </c>
      <c r="C9" s="9"/>
      <c r="D9" s="4"/>
    </row>
    <row r="10">
      <c r="B10" s="13" t="s">
        <v>10</v>
      </c>
      <c r="C10" s="3"/>
      <c r="D10" s="4"/>
    </row>
    <row r="11">
      <c r="B11" s="8" t="s">
        <v>11</v>
      </c>
      <c r="C11" s="9"/>
      <c r="D11" s="4"/>
    </row>
    <row r="12">
      <c r="B12" s="13" t="s">
        <v>12</v>
      </c>
      <c r="C12" s="3"/>
      <c r="D12" s="4"/>
    </row>
    <row r="14">
      <c r="B14" s="14" t="s">
        <v>37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6"/>
    </row>
    <row r="15">
      <c r="B15" s="19" t="s">
        <v>1</v>
      </c>
      <c r="C15" s="20" t="s">
        <v>14</v>
      </c>
      <c r="D15" s="21"/>
      <c r="E15" s="20" t="s">
        <v>17</v>
      </c>
      <c r="F15" s="21"/>
      <c r="G15" s="20" t="s">
        <v>18</v>
      </c>
      <c r="H15" s="21"/>
      <c r="I15" s="20" t="s">
        <v>19</v>
      </c>
      <c r="J15" s="21"/>
      <c r="K15" s="20" t="s">
        <v>20</v>
      </c>
      <c r="L15" s="21"/>
      <c r="M15" s="20" t="s">
        <v>21</v>
      </c>
      <c r="N15" s="21"/>
      <c r="O15" s="20" t="s">
        <v>22</v>
      </c>
      <c r="P15" s="21"/>
      <c r="Q15" s="20" t="s">
        <v>23</v>
      </c>
      <c r="R15" s="21"/>
      <c r="S15" s="20" t="s">
        <v>24</v>
      </c>
      <c r="T15" s="21"/>
      <c r="U15" s="20" t="s">
        <v>25</v>
      </c>
      <c r="V15" s="9"/>
      <c r="W15" s="9"/>
      <c r="X15" s="21"/>
    </row>
    <row r="16">
      <c r="B16" s="45">
        <v>0.0</v>
      </c>
      <c r="C16" s="46" t="s">
        <v>38</v>
      </c>
      <c r="D16" s="16"/>
      <c r="E16" s="47" t="s">
        <v>39</v>
      </c>
      <c r="F16" s="16"/>
      <c r="G16" s="48" t="s">
        <v>40</v>
      </c>
      <c r="H16" s="16"/>
      <c r="I16" s="47" t="s">
        <v>41</v>
      </c>
      <c r="J16" s="16"/>
      <c r="K16" s="47" t="s">
        <v>42</v>
      </c>
      <c r="L16" s="16"/>
      <c r="M16" s="47" t="s">
        <v>43</v>
      </c>
      <c r="N16" s="16"/>
      <c r="O16" s="47" t="s">
        <v>44</v>
      </c>
      <c r="P16" s="16"/>
      <c r="Q16" s="47" t="s">
        <v>45</v>
      </c>
      <c r="R16" s="16"/>
      <c r="S16" s="47" t="s">
        <v>46</v>
      </c>
      <c r="T16" s="16"/>
      <c r="U16" s="27" t="s">
        <v>47</v>
      </c>
      <c r="V16" s="3"/>
      <c r="W16" s="3"/>
      <c r="X16" s="16"/>
    </row>
    <row r="17">
      <c r="B17" s="49">
        <v>0.0</v>
      </c>
      <c r="C17" s="50" t="s">
        <v>48</v>
      </c>
      <c r="D17" s="21"/>
      <c r="E17" s="51" t="s">
        <v>49</v>
      </c>
      <c r="F17" s="21"/>
      <c r="G17" s="51" t="s">
        <v>50</v>
      </c>
      <c r="H17" s="21"/>
      <c r="I17" s="52" t="s">
        <v>41</v>
      </c>
      <c r="J17" s="21"/>
      <c r="K17" s="52" t="str">
        <f>close</f>
        <v>Close: 55 ft</v>
      </c>
      <c r="L17" s="21"/>
      <c r="M17" s="51" t="s">
        <v>51</v>
      </c>
      <c r="N17" s="21"/>
      <c r="O17" s="51" t="s">
        <v>52</v>
      </c>
      <c r="P17" s="21"/>
      <c r="Q17" s="51" t="s">
        <v>53</v>
      </c>
      <c r="R17" s="21"/>
      <c r="S17" s="51" t="s">
        <v>54</v>
      </c>
      <c r="T17" s="21"/>
      <c r="U17" s="53" t="s">
        <v>55</v>
      </c>
      <c r="V17" s="9"/>
      <c r="W17" s="9"/>
      <c r="X17" s="21"/>
    </row>
    <row r="18">
      <c r="B18" s="54">
        <v>0.0</v>
      </c>
      <c r="C18" s="46" t="s">
        <v>56</v>
      </c>
      <c r="D18" s="16"/>
      <c r="E18" s="47" t="s">
        <v>57</v>
      </c>
      <c r="F18" s="16"/>
      <c r="G18" s="47" t="s">
        <v>50</v>
      </c>
      <c r="H18" s="16"/>
      <c r="I18" s="47" t="s">
        <v>41</v>
      </c>
      <c r="J18" s="16"/>
      <c r="K18" s="47" t="s">
        <v>58</v>
      </c>
      <c r="L18" s="16"/>
      <c r="M18" s="47" t="s">
        <v>59</v>
      </c>
      <c r="N18" s="16"/>
      <c r="O18" s="25" t="str">
        <f>CONCAT("Up to ",CONCAT(Level, " minute(s)
 Concentration, up to 1 minute/level"))</f>
        <v>Up to 13 minute(s)
 Concentration, up to 1 minute/level</v>
      </c>
      <c r="P18" s="16"/>
      <c r="Q18" s="47" t="s">
        <v>53</v>
      </c>
      <c r="R18" s="16"/>
      <c r="S18" s="47" t="s">
        <v>54</v>
      </c>
      <c r="T18" s="16"/>
      <c r="U18" s="27" t="s">
        <v>60</v>
      </c>
      <c r="V18" s="3"/>
      <c r="W18" s="3"/>
      <c r="X18" s="16"/>
    </row>
    <row r="19">
      <c r="B19" s="55">
        <v>0.0</v>
      </c>
      <c r="C19" s="56" t="s">
        <v>61</v>
      </c>
      <c r="D19" s="21"/>
      <c r="E19" s="52" t="s">
        <v>57</v>
      </c>
      <c r="F19" s="21"/>
      <c r="G19" s="52" t="s">
        <v>50</v>
      </c>
      <c r="H19" s="21"/>
      <c r="I19" s="52" t="s">
        <v>41</v>
      </c>
      <c r="J19" s="21"/>
      <c r="K19" s="31" t="str">
        <f>CONCAT("Close: ", CONCAT(25+(5*FLOOR(Level/2,1)), " ft"))</f>
        <v>Close: 55 ft</v>
      </c>
      <c r="L19" s="21"/>
      <c r="M19" s="31" t="s">
        <v>62</v>
      </c>
      <c r="N19" s="21"/>
      <c r="O19" s="52" t="s">
        <v>52</v>
      </c>
      <c r="P19" s="21"/>
      <c r="Q19" s="52" t="s">
        <v>53</v>
      </c>
      <c r="R19" s="21"/>
      <c r="S19" s="52" t="s">
        <v>54</v>
      </c>
      <c r="T19" s="21"/>
      <c r="U19" s="33" t="s">
        <v>63</v>
      </c>
      <c r="V19" s="9"/>
      <c r="W19" s="9"/>
      <c r="X19" s="21"/>
    </row>
    <row r="20">
      <c r="B20" s="54">
        <v>0.0</v>
      </c>
      <c r="C20" s="46" t="s">
        <v>64</v>
      </c>
      <c r="D20" s="16"/>
      <c r="E20" s="47" t="s">
        <v>57</v>
      </c>
      <c r="F20" s="16"/>
      <c r="G20" s="47" t="s">
        <v>65</v>
      </c>
      <c r="H20" s="16"/>
      <c r="I20" s="47" t="s">
        <v>41</v>
      </c>
      <c r="J20" s="16"/>
      <c r="K20" s="47" t="s">
        <v>66</v>
      </c>
      <c r="L20" s="16"/>
      <c r="M20" s="47" t="s">
        <v>67</v>
      </c>
      <c r="N20" s="16"/>
      <c r="O20" s="25" t="str">
        <f>CONCAT(Level*10, " minutes
10 minutes/level")</f>
        <v>130 minutes
10 minutes/level</v>
      </c>
      <c r="P20" s="16"/>
      <c r="Q20" s="47" t="s">
        <v>68</v>
      </c>
      <c r="R20" s="16"/>
      <c r="S20" s="47" t="s">
        <v>68</v>
      </c>
      <c r="T20" s="16"/>
      <c r="U20" s="27" t="s">
        <v>69</v>
      </c>
      <c r="V20" s="3"/>
      <c r="W20" s="3"/>
      <c r="X20" s="16"/>
    </row>
    <row r="21">
      <c r="B21" s="55">
        <v>0.0</v>
      </c>
      <c r="C21" s="56" t="s">
        <v>70</v>
      </c>
      <c r="D21" s="21"/>
      <c r="E21" s="32" t="s">
        <v>71</v>
      </c>
      <c r="F21" s="21"/>
      <c r="G21" s="31" t="s">
        <v>40</v>
      </c>
      <c r="H21" s="21"/>
      <c r="I21" s="31" t="s">
        <v>41</v>
      </c>
      <c r="J21" s="21"/>
      <c r="K21" s="31" t="str">
        <f>close</f>
        <v>Close: 55 ft</v>
      </c>
      <c r="L21" s="21"/>
      <c r="M21" s="31" t="s">
        <v>72</v>
      </c>
      <c r="N21" s="21"/>
      <c r="O21" s="31" t="s">
        <v>73</v>
      </c>
      <c r="P21" s="21"/>
      <c r="Q21" s="31" t="s">
        <v>74</v>
      </c>
      <c r="R21" s="21"/>
      <c r="S21" s="31" t="s">
        <v>75</v>
      </c>
      <c r="T21" s="21"/>
      <c r="U21" s="33" t="s">
        <v>76</v>
      </c>
      <c r="V21" s="9"/>
      <c r="W21" s="9"/>
      <c r="X21" s="21"/>
    </row>
    <row r="22">
      <c r="B22" s="54">
        <v>0.0</v>
      </c>
      <c r="C22" s="46" t="s">
        <v>77</v>
      </c>
      <c r="D22" s="16"/>
      <c r="E22" s="26" t="s">
        <v>78</v>
      </c>
      <c r="F22" s="16"/>
      <c r="G22" s="25" t="s">
        <v>50</v>
      </c>
      <c r="H22" s="16"/>
      <c r="I22" s="25" t="s">
        <v>41</v>
      </c>
      <c r="J22" s="16"/>
      <c r="K22" s="25" t="str">
        <f>medium</f>
        <v>Medium: 230 ft</v>
      </c>
      <c r="L22" s="16"/>
      <c r="M22" s="26" t="s">
        <v>79</v>
      </c>
      <c r="N22" s="16"/>
      <c r="O22" s="25" t="s">
        <v>80</v>
      </c>
      <c r="P22" s="16"/>
      <c r="Q22" s="25" t="s">
        <v>53</v>
      </c>
      <c r="R22" s="16"/>
      <c r="S22" s="25" t="s">
        <v>54</v>
      </c>
      <c r="T22" s="16"/>
      <c r="U22" s="27" t="s">
        <v>81</v>
      </c>
      <c r="V22" s="3"/>
      <c r="W22" s="3"/>
      <c r="X22" s="16"/>
    </row>
    <row r="23">
      <c r="B23" s="57">
        <v>0.0</v>
      </c>
      <c r="C23" s="30" t="s">
        <v>82</v>
      </c>
      <c r="D23" s="21"/>
      <c r="E23" s="51" t="s">
        <v>78</v>
      </c>
      <c r="F23" s="21"/>
      <c r="G23" s="52" t="s">
        <v>83</v>
      </c>
      <c r="H23" s="21"/>
      <c r="I23" s="52" t="s">
        <v>41</v>
      </c>
      <c r="J23" s="21"/>
      <c r="K23" s="52" t="str">
        <f>CONCAT("Close: ", CONCAT(25+(5*FLOOR(Level/2,1)), " ft"))</f>
        <v>Close: 55 ft</v>
      </c>
      <c r="L23" s="21"/>
      <c r="M23" s="52" t="s">
        <v>84</v>
      </c>
      <c r="N23" s="21"/>
      <c r="O23" s="52" t="s">
        <v>52</v>
      </c>
      <c r="P23" s="21"/>
      <c r="Q23" s="52" t="s">
        <v>85</v>
      </c>
      <c r="R23" s="21"/>
      <c r="S23" s="52" t="s">
        <v>75</v>
      </c>
      <c r="T23" s="21"/>
      <c r="U23" s="33" t="s">
        <v>86</v>
      </c>
      <c r="V23" s="9"/>
      <c r="W23" s="9"/>
      <c r="X23" s="21"/>
    </row>
    <row r="24">
      <c r="B24" s="23">
        <v>0.0</v>
      </c>
      <c r="C24" s="24" t="s">
        <v>87</v>
      </c>
      <c r="D24" s="16"/>
      <c r="E24" s="48" t="s">
        <v>78</v>
      </c>
      <c r="F24" s="16"/>
      <c r="G24" s="48" t="s">
        <v>88</v>
      </c>
      <c r="H24" s="16"/>
      <c r="I24" s="47" t="s">
        <v>41</v>
      </c>
      <c r="J24" s="16"/>
      <c r="K24" s="47" t="s">
        <v>42</v>
      </c>
      <c r="L24" s="16"/>
      <c r="M24" s="47" t="s">
        <v>89</v>
      </c>
      <c r="N24" s="16"/>
      <c r="O24" s="47" t="str">
        <f>CONCAT(Level*10, " minutes
10 minutes/level")</f>
        <v>130 minutes
10 minutes/level</v>
      </c>
      <c r="P24" s="16"/>
      <c r="Q24" s="47" t="s">
        <v>53</v>
      </c>
      <c r="R24" s="16"/>
      <c r="S24" s="47" t="s">
        <v>54</v>
      </c>
      <c r="T24" s="16"/>
      <c r="U24" s="27" t="s">
        <v>90</v>
      </c>
      <c r="V24" s="3"/>
      <c r="W24" s="3"/>
      <c r="X24" s="16"/>
    </row>
    <row r="25">
      <c r="B25" s="29">
        <v>0.0</v>
      </c>
      <c r="C25" s="58" t="s">
        <v>91</v>
      </c>
      <c r="D25" s="21"/>
      <c r="E25" s="51" t="s">
        <v>92</v>
      </c>
      <c r="F25" s="21"/>
      <c r="G25" s="51" t="s">
        <v>50</v>
      </c>
      <c r="H25" s="21"/>
      <c r="I25" s="52" t="s">
        <v>41</v>
      </c>
      <c r="J25" s="21"/>
      <c r="K25" s="52" t="str">
        <f>close</f>
        <v>Close: 55 ft</v>
      </c>
      <c r="L25" s="21"/>
      <c r="M25" s="51" t="s">
        <v>93</v>
      </c>
      <c r="N25" s="21"/>
      <c r="O25" s="51" t="s">
        <v>52</v>
      </c>
      <c r="P25" s="21"/>
      <c r="Q25" s="52" t="s">
        <v>53</v>
      </c>
      <c r="R25" s="21"/>
      <c r="S25" s="51" t="s">
        <v>75</v>
      </c>
      <c r="T25" s="21"/>
      <c r="U25" s="53" t="s">
        <v>94</v>
      </c>
      <c r="V25" s="9"/>
      <c r="W25" s="9"/>
      <c r="X25" s="21"/>
    </row>
    <row r="26">
      <c r="B26" s="23">
        <v>0.0</v>
      </c>
      <c r="C26" s="24" t="s">
        <v>95</v>
      </c>
      <c r="D26" s="16"/>
      <c r="E26" s="26" t="s">
        <v>96</v>
      </c>
      <c r="F26" s="16"/>
      <c r="G26" s="25" t="s">
        <v>40</v>
      </c>
      <c r="H26" s="16"/>
      <c r="I26" s="25" t="s">
        <v>41</v>
      </c>
      <c r="J26" s="16"/>
      <c r="K26" s="25" t="str">
        <f>close</f>
        <v>Close: 55 ft</v>
      </c>
      <c r="L26" s="16"/>
      <c r="M26" s="25" t="s">
        <v>97</v>
      </c>
      <c r="N26" s="16"/>
      <c r="O26" s="25" t="str">
        <f>Level&amp;" round(s) (D)
1 round/level"</f>
        <v>13 round(s) (D)
1 round/level</v>
      </c>
      <c r="P26" s="16"/>
      <c r="Q26" s="25" t="s">
        <v>98</v>
      </c>
      <c r="R26" s="16"/>
      <c r="S26" s="25" t="s">
        <v>54</v>
      </c>
      <c r="T26" s="16"/>
      <c r="U26" s="27" t="s">
        <v>99</v>
      </c>
      <c r="V26" s="3"/>
      <c r="W26" s="3"/>
      <c r="X26" s="16"/>
      <c r="Y26" s="18"/>
    </row>
    <row r="27">
      <c r="B27" s="29">
        <v>0.0</v>
      </c>
      <c r="C27" s="58" t="s">
        <v>100</v>
      </c>
      <c r="D27" s="21"/>
      <c r="E27" s="32" t="s">
        <v>101</v>
      </c>
      <c r="F27" s="21"/>
      <c r="G27" s="32" t="s">
        <v>50</v>
      </c>
      <c r="H27" s="21"/>
      <c r="I27" s="31" t="s">
        <v>41</v>
      </c>
      <c r="J27" s="21"/>
      <c r="K27" s="31" t="str">
        <f>close</f>
        <v>Close: 55 ft</v>
      </c>
      <c r="L27" s="21"/>
      <c r="M27" s="32" t="s">
        <v>93</v>
      </c>
      <c r="N27" s="21"/>
      <c r="O27" s="32" t="s">
        <v>52</v>
      </c>
      <c r="P27" s="21"/>
      <c r="Q27" s="32" t="s">
        <v>53</v>
      </c>
      <c r="R27" s="21"/>
      <c r="S27" s="32" t="s">
        <v>75</v>
      </c>
      <c r="T27" s="21"/>
      <c r="U27" s="53" t="s">
        <v>102</v>
      </c>
      <c r="V27" s="9"/>
      <c r="W27" s="9"/>
      <c r="X27" s="21"/>
      <c r="Y27" s="22"/>
    </row>
    <row r="28">
      <c r="B28" s="41">
        <v>0.0</v>
      </c>
      <c r="C28" s="59" t="s">
        <v>103</v>
      </c>
      <c r="D28" s="16"/>
      <c r="E28" s="26" t="s">
        <v>101</v>
      </c>
      <c r="F28" s="16"/>
      <c r="G28" s="26" t="s">
        <v>40</v>
      </c>
      <c r="H28" s="16"/>
      <c r="I28" s="25" t="s">
        <v>41</v>
      </c>
      <c r="J28" s="16"/>
      <c r="K28" s="26" t="s">
        <v>42</v>
      </c>
      <c r="L28" s="16"/>
      <c r="M28" s="26" t="s">
        <v>104</v>
      </c>
      <c r="N28" s="16"/>
      <c r="O28" s="26" t="str">
        <f>Level&amp;" round(s)
1 round/level"</f>
        <v>13 round(s)
1 round/level</v>
      </c>
      <c r="P28" s="16"/>
      <c r="Q28" s="26" t="s">
        <v>85</v>
      </c>
      <c r="R28" s="16"/>
      <c r="S28" s="26" t="s">
        <v>75</v>
      </c>
      <c r="T28" s="16"/>
      <c r="U28" s="60" t="s">
        <v>105</v>
      </c>
      <c r="V28" s="3"/>
      <c r="W28" s="3"/>
      <c r="X28" s="16"/>
      <c r="Y28" s="22"/>
    </row>
    <row r="29">
      <c r="B29" s="57">
        <v>0.0</v>
      </c>
      <c r="C29" s="30" t="s">
        <v>106</v>
      </c>
      <c r="D29" s="21"/>
      <c r="E29" s="31" t="s">
        <v>107</v>
      </c>
      <c r="F29" s="21"/>
      <c r="G29" s="31" t="s">
        <v>50</v>
      </c>
      <c r="H29" s="21"/>
      <c r="I29" s="31" t="s">
        <v>41</v>
      </c>
      <c r="J29" s="21"/>
      <c r="K29" s="31" t="str">
        <f>close</f>
        <v>Close: 55 ft</v>
      </c>
      <c r="L29" s="21"/>
      <c r="M29" s="31" t="s">
        <v>108</v>
      </c>
      <c r="N29" s="21"/>
      <c r="O29" s="31" t="s">
        <v>109</v>
      </c>
      <c r="P29" s="21"/>
      <c r="Q29" s="31" t="s">
        <v>53</v>
      </c>
      <c r="R29" s="21"/>
      <c r="S29" s="31" t="s">
        <v>54</v>
      </c>
      <c r="T29" s="21"/>
      <c r="U29" s="53" t="s">
        <v>110</v>
      </c>
      <c r="V29" s="9"/>
      <c r="W29" s="9"/>
      <c r="X29" s="21"/>
      <c r="Y29" s="22"/>
    </row>
    <row r="30">
      <c r="B30" s="23">
        <v>0.0</v>
      </c>
      <c r="C30" s="24" t="s">
        <v>111</v>
      </c>
      <c r="D30" s="16"/>
      <c r="E30" s="47" t="s">
        <v>107</v>
      </c>
      <c r="F30" s="16"/>
      <c r="G30" s="47" t="s">
        <v>50</v>
      </c>
      <c r="H30" s="16"/>
      <c r="I30" s="47" t="s">
        <v>41</v>
      </c>
      <c r="J30" s="16"/>
      <c r="K30" s="47" t="s">
        <v>112</v>
      </c>
      <c r="L30" s="16"/>
      <c r="M30" s="47" t="s">
        <v>113</v>
      </c>
      <c r="N30" s="16"/>
      <c r="O30" s="47" t="s">
        <v>52</v>
      </c>
      <c r="P30" s="16"/>
      <c r="Q30" s="47" t="s">
        <v>114</v>
      </c>
      <c r="R30" s="16"/>
      <c r="S30" s="47" t="s">
        <v>115</v>
      </c>
      <c r="T30" s="16"/>
      <c r="U30" s="27" t="s">
        <v>116</v>
      </c>
      <c r="V30" s="3"/>
      <c r="W30" s="3"/>
      <c r="X30" s="16"/>
      <c r="Y30" s="36"/>
    </row>
    <row r="31">
      <c r="B31" s="57">
        <v>0.0</v>
      </c>
      <c r="C31" s="30" t="s">
        <v>117</v>
      </c>
      <c r="D31" s="21"/>
      <c r="E31" s="32" t="s">
        <v>118</v>
      </c>
      <c r="F31" s="21"/>
      <c r="G31" s="31" t="s">
        <v>65</v>
      </c>
      <c r="H31" s="21"/>
      <c r="I31" s="31" t="s">
        <v>41</v>
      </c>
      <c r="J31" s="21"/>
      <c r="K31" s="31" t="str">
        <f>medium</f>
        <v>Medium: 230 ft</v>
      </c>
      <c r="L31" s="21"/>
      <c r="M31" s="31" t="str">
        <f>Level&amp;" creature(s), 1 creature/level"</f>
        <v>13 creature(s), 1 creature/level</v>
      </c>
      <c r="N31" s="21"/>
      <c r="O31" s="31" t="str">
        <f>Level*10&amp;" minutes
10 minutes/level"</f>
        <v>130 minutes
10 minutes/level</v>
      </c>
      <c r="P31" s="21"/>
      <c r="Q31" s="31" t="s">
        <v>53</v>
      </c>
      <c r="R31" s="21"/>
      <c r="S31" s="31" t="s">
        <v>54</v>
      </c>
      <c r="T31" s="21"/>
      <c r="U31" s="33" t="s">
        <v>119</v>
      </c>
      <c r="V31" s="9"/>
      <c r="W31" s="9"/>
      <c r="X31" s="21"/>
      <c r="Y31" s="38"/>
    </row>
    <row r="32">
      <c r="B32" s="23">
        <v>0.0</v>
      </c>
      <c r="C32" s="24" t="s">
        <v>120</v>
      </c>
      <c r="D32" s="16"/>
      <c r="E32" s="25" t="s">
        <v>107</v>
      </c>
      <c r="F32" s="16"/>
      <c r="G32" s="25" t="s">
        <v>65</v>
      </c>
      <c r="H32" s="16"/>
      <c r="I32" s="25" t="s">
        <v>41</v>
      </c>
      <c r="J32" s="16"/>
      <c r="K32" s="25" t="str">
        <f>close</f>
        <v>Close: 55 ft</v>
      </c>
      <c r="L32" s="16"/>
      <c r="M32" s="26" t="s">
        <v>121</v>
      </c>
      <c r="N32" s="16"/>
      <c r="O32" s="25" t="s">
        <v>52</v>
      </c>
      <c r="P32" s="16"/>
      <c r="Q32" s="25" t="s">
        <v>122</v>
      </c>
      <c r="R32" s="16"/>
      <c r="S32" s="25" t="s">
        <v>123</v>
      </c>
      <c r="T32" s="16"/>
      <c r="U32" s="27" t="s">
        <v>124</v>
      </c>
      <c r="V32" s="3"/>
      <c r="W32" s="3"/>
      <c r="X32" s="16"/>
      <c r="Y32" s="38"/>
    </row>
    <row r="33">
      <c r="B33" s="29">
        <v>0.0</v>
      </c>
      <c r="C33" s="58" t="s">
        <v>125</v>
      </c>
      <c r="D33" s="21"/>
      <c r="E33" s="31" t="s">
        <v>126</v>
      </c>
      <c r="F33" s="21"/>
      <c r="G33" s="31" t="s">
        <v>50</v>
      </c>
      <c r="H33" s="21"/>
      <c r="I33" s="31" t="s">
        <v>41</v>
      </c>
      <c r="J33" s="21"/>
      <c r="K33" s="32" t="s">
        <v>127</v>
      </c>
      <c r="L33" s="21"/>
      <c r="M33" s="32" t="s">
        <v>128</v>
      </c>
      <c r="N33" s="21"/>
      <c r="O33" s="32" t="s">
        <v>129</v>
      </c>
      <c r="P33" s="21"/>
      <c r="Q33" s="32" t="s">
        <v>53</v>
      </c>
      <c r="R33" s="21"/>
      <c r="S33" s="31" t="s">
        <v>54</v>
      </c>
      <c r="T33" s="21"/>
      <c r="U33" s="53" t="s">
        <v>130</v>
      </c>
      <c r="V33" s="9"/>
      <c r="W33" s="9"/>
      <c r="X33" s="21"/>
      <c r="Y33" s="38"/>
    </row>
    <row r="34">
      <c r="B34" s="23">
        <v>0.0</v>
      </c>
      <c r="C34" s="24" t="s">
        <v>131</v>
      </c>
      <c r="D34" s="16"/>
      <c r="E34" s="25" t="s">
        <v>126</v>
      </c>
      <c r="F34" s="16"/>
      <c r="G34" s="25" t="s">
        <v>50</v>
      </c>
      <c r="H34" s="16"/>
      <c r="I34" s="25" t="s">
        <v>41</v>
      </c>
      <c r="J34" s="16"/>
      <c r="K34" s="25" t="s">
        <v>112</v>
      </c>
      <c r="L34" s="16"/>
      <c r="M34" s="25" t="s">
        <v>132</v>
      </c>
      <c r="N34" s="16"/>
      <c r="O34" s="25" t="s">
        <v>133</v>
      </c>
      <c r="P34" s="16"/>
      <c r="Q34" s="25" t="s">
        <v>132</v>
      </c>
      <c r="R34" s="16"/>
      <c r="S34" s="25" t="s">
        <v>54</v>
      </c>
      <c r="T34" s="16"/>
      <c r="U34" s="27" t="s">
        <v>134</v>
      </c>
      <c r="V34" s="3"/>
      <c r="W34" s="3"/>
      <c r="X34" s="16"/>
      <c r="Y34" s="38"/>
    </row>
    <row r="35">
      <c r="B35" s="57">
        <v>1.0</v>
      </c>
      <c r="C35" s="30" t="s">
        <v>135</v>
      </c>
      <c r="D35" s="21"/>
      <c r="E35" s="31" t="s">
        <v>39</v>
      </c>
      <c r="F35" s="21"/>
      <c r="G35" s="31" t="s">
        <v>65</v>
      </c>
      <c r="H35" s="21"/>
      <c r="I35" s="31" t="s">
        <v>41</v>
      </c>
      <c r="J35" s="21"/>
      <c r="K35" s="31" t="str">
        <f>close</f>
        <v>Close: 55 ft</v>
      </c>
      <c r="L35" s="21"/>
      <c r="M35" s="31" t="s">
        <v>136</v>
      </c>
      <c r="N35" s="21"/>
      <c r="O35" s="31" t="str">
        <f>Level*2&amp;" hours (D)
2 hours/level"</f>
        <v>26 hours (D)
2 hours/level</v>
      </c>
      <c r="P35" s="21"/>
      <c r="Q35" s="31" t="s">
        <v>53</v>
      </c>
      <c r="R35" s="21"/>
      <c r="S35" s="31" t="s">
        <v>54</v>
      </c>
      <c r="T35" s="21"/>
      <c r="U35" s="33" t="str">
        <f>"Wards an area for "&amp;Level*2&amp;" hours, 2 hours/level"</f>
        <v>Wards an area for 26 hours, 2 hours/level</v>
      </c>
      <c r="V35" s="9"/>
      <c r="W35" s="9"/>
      <c r="X35" s="21"/>
      <c r="Y35" s="38"/>
    </row>
    <row r="36">
      <c r="B36" s="23">
        <v>1.0</v>
      </c>
      <c r="C36" s="24" t="s">
        <v>137</v>
      </c>
      <c r="D36" s="16"/>
      <c r="E36" s="25" t="s">
        <v>39</v>
      </c>
      <c r="F36" s="16"/>
      <c r="G36" s="25" t="s">
        <v>50</v>
      </c>
      <c r="H36" s="16"/>
      <c r="I36" s="25" t="s">
        <v>41</v>
      </c>
      <c r="J36" s="16"/>
      <c r="K36" s="25" t="s">
        <v>42</v>
      </c>
      <c r="L36" s="16"/>
      <c r="M36" s="25" t="s">
        <v>104</v>
      </c>
      <c r="N36" s="16"/>
      <c r="O36" s="25" t="s">
        <v>138</v>
      </c>
      <c r="P36" s="16"/>
      <c r="Q36" s="25" t="s">
        <v>45</v>
      </c>
      <c r="R36" s="16"/>
      <c r="S36" s="25" t="s">
        <v>46</v>
      </c>
      <c r="T36" s="16"/>
      <c r="U36" s="27" t="s">
        <v>139</v>
      </c>
      <c r="V36" s="3"/>
      <c r="W36" s="3"/>
      <c r="X36" s="16"/>
      <c r="Y36" s="38"/>
    </row>
    <row r="37">
      <c r="B37" s="57">
        <v>1.0</v>
      </c>
      <c r="C37" s="58" t="s">
        <v>140</v>
      </c>
      <c r="D37" s="21"/>
      <c r="E37" s="31" t="s">
        <v>39</v>
      </c>
      <c r="F37" s="21"/>
      <c r="G37" s="32" t="s">
        <v>83</v>
      </c>
      <c r="H37" s="21"/>
      <c r="I37" s="31" t="s">
        <v>41</v>
      </c>
      <c r="J37" s="21"/>
      <c r="K37" s="31" t="str">
        <f>medium</f>
        <v>Medium: 230 ft</v>
      </c>
      <c r="L37" s="21"/>
      <c r="M37" s="31" t="str">
        <f>"One portal, up to "&amp;Level*20&amp;" sq ft, 20 sq ft/level"</f>
        <v>One portal, up to 260 sq ft, 20 sq ft/level</v>
      </c>
      <c r="N37" s="21"/>
      <c r="O37" s="31" t="str">
        <f>Level&amp;" minute(s) (D)
1 minute/level"</f>
        <v>13 minute(s) (D)
1 minute/level</v>
      </c>
      <c r="P37" s="21"/>
      <c r="Q37" s="32" t="s">
        <v>53</v>
      </c>
      <c r="R37" s="21"/>
      <c r="S37" s="32" t="s">
        <v>54</v>
      </c>
      <c r="T37" s="21"/>
      <c r="U37" s="53" t="s">
        <v>141</v>
      </c>
      <c r="V37" s="9"/>
      <c r="W37" s="9"/>
      <c r="X37" s="21"/>
      <c r="Y37" s="38"/>
    </row>
    <row r="38">
      <c r="B38" s="23">
        <v>1.0</v>
      </c>
      <c r="C38" s="59" t="s">
        <v>142</v>
      </c>
      <c r="D38" s="16"/>
      <c r="E38" s="26" t="s">
        <v>143</v>
      </c>
      <c r="F38" s="16"/>
      <c r="G38" s="26" t="s">
        <v>40</v>
      </c>
      <c r="H38" s="16"/>
      <c r="I38" s="25" t="s">
        <v>41</v>
      </c>
      <c r="J38" s="16"/>
      <c r="K38" s="26" t="s">
        <v>42</v>
      </c>
      <c r="L38" s="16"/>
      <c r="M38" s="26" t="s">
        <v>104</v>
      </c>
      <c r="N38" s="16"/>
      <c r="O38" s="25" t="str">
        <f>Level&amp;" minute(s) (D)
1 minute/level"</f>
        <v>13 minute(s) (D)
1 minute/level</v>
      </c>
      <c r="P38" s="16"/>
      <c r="Q38" s="26" t="s">
        <v>45</v>
      </c>
      <c r="R38" s="16"/>
      <c r="S38" s="26" t="s">
        <v>144</v>
      </c>
      <c r="T38" s="16"/>
      <c r="U38" s="61" t="s">
        <v>145</v>
      </c>
      <c r="V38" s="3"/>
      <c r="W38" s="3"/>
      <c r="X38" s="16"/>
      <c r="Y38" s="38"/>
    </row>
    <row r="39">
      <c r="B39" s="57">
        <v>1.0</v>
      </c>
      <c r="C39" s="58" t="s">
        <v>146</v>
      </c>
      <c r="D39" s="21"/>
      <c r="E39" s="32" t="s">
        <v>147</v>
      </c>
      <c r="F39" s="21"/>
      <c r="G39" s="32" t="s">
        <v>40</v>
      </c>
      <c r="H39" s="21"/>
      <c r="I39" s="31" t="s">
        <v>41</v>
      </c>
      <c r="J39" s="21"/>
      <c r="K39" s="32" t="s">
        <v>42</v>
      </c>
      <c r="L39" s="21"/>
      <c r="M39" s="32" t="s">
        <v>104</v>
      </c>
      <c r="N39" s="21"/>
      <c r="O39" s="31" t="str">
        <f>Level&amp;" minute(s) (D)
1 minute/level"</f>
        <v>13 minute(s) (D)
1 minute/level</v>
      </c>
      <c r="P39" s="21"/>
      <c r="Q39" s="32" t="s">
        <v>45</v>
      </c>
      <c r="R39" s="21"/>
      <c r="S39" s="32" t="s">
        <v>144</v>
      </c>
      <c r="T39" s="21"/>
      <c r="U39" s="62" t="s">
        <v>145</v>
      </c>
      <c r="V39" s="9"/>
      <c r="W39" s="9"/>
      <c r="X39" s="21"/>
      <c r="Y39" s="38"/>
    </row>
    <row r="40">
      <c r="B40" s="23">
        <v>1.0</v>
      </c>
      <c r="C40" s="59" t="s">
        <v>148</v>
      </c>
      <c r="D40" s="16"/>
      <c r="E40" s="26" t="s">
        <v>149</v>
      </c>
      <c r="F40" s="16"/>
      <c r="G40" s="26" t="s">
        <v>40</v>
      </c>
      <c r="H40" s="16"/>
      <c r="I40" s="25" t="s">
        <v>41</v>
      </c>
      <c r="J40" s="16"/>
      <c r="K40" s="26" t="s">
        <v>42</v>
      </c>
      <c r="L40" s="16"/>
      <c r="M40" s="26" t="s">
        <v>104</v>
      </c>
      <c r="N40" s="16"/>
      <c r="O40" s="25" t="str">
        <f>Level&amp;" minute(s) (D)
1 minute/level"</f>
        <v>13 minute(s) (D)
1 minute/level</v>
      </c>
      <c r="P40" s="16"/>
      <c r="Q40" s="26" t="s">
        <v>45</v>
      </c>
      <c r="R40" s="16"/>
      <c r="S40" s="26" t="s">
        <v>144</v>
      </c>
      <c r="T40" s="16"/>
      <c r="U40" s="61" t="s">
        <v>145</v>
      </c>
      <c r="V40" s="3"/>
      <c r="W40" s="3"/>
      <c r="X40" s="16"/>
      <c r="Y40" s="38"/>
    </row>
    <row r="41">
      <c r="B41" s="57">
        <v>1.0</v>
      </c>
      <c r="C41" s="58" t="s">
        <v>150</v>
      </c>
      <c r="D41" s="21"/>
      <c r="E41" s="32" t="s">
        <v>151</v>
      </c>
      <c r="F41" s="21"/>
      <c r="G41" s="32" t="s">
        <v>40</v>
      </c>
      <c r="H41" s="21"/>
      <c r="I41" s="31" t="s">
        <v>41</v>
      </c>
      <c r="J41" s="21"/>
      <c r="K41" s="32" t="s">
        <v>42</v>
      </c>
      <c r="L41" s="21"/>
      <c r="M41" s="32" t="s">
        <v>104</v>
      </c>
      <c r="N41" s="21"/>
      <c r="O41" s="31" t="str">
        <f>Level&amp;" minute(s) (D)
1 minute/level"</f>
        <v>13 minute(s) (D)
1 minute/level</v>
      </c>
      <c r="P41" s="21"/>
      <c r="Q41" s="32" t="s">
        <v>45</v>
      </c>
      <c r="R41" s="21"/>
      <c r="S41" s="32" t="s">
        <v>144</v>
      </c>
      <c r="T41" s="21"/>
      <c r="U41" s="62" t="s">
        <v>145</v>
      </c>
      <c r="V41" s="9"/>
      <c r="W41" s="9"/>
      <c r="X41" s="21"/>
      <c r="Y41" s="38"/>
    </row>
    <row r="42">
      <c r="B42" s="23">
        <v>1.0</v>
      </c>
      <c r="C42" s="59" t="s">
        <v>152</v>
      </c>
      <c r="D42" s="16"/>
      <c r="E42" s="26" t="s">
        <v>153</v>
      </c>
      <c r="F42" s="16"/>
      <c r="G42" s="26" t="s">
        <v>50</v>
      </c>
      <c r="H42" s="16"/>
      <c r="I42" s="25" t="s">
        <v>41</v>
      </c>
      <c r="J42" s="16"/>
      <c r="K42" s="26" t="s">
        <v>66</v>
      </c>
      <c r="L42" s="16"/>
      <c r="M42" s="26" t="s">
        <v>67</v>
      </c>
      <c r="N42" s="16"/>
      <c r="O42" s="25" t="str">
        <f>Level&amp;" minute(s) (D)
1 minute/level"</f>
        <v>13 minute(s) (D)
1 minute/level</v>
      </c>
      <c r="P42" s="16"/>
      <c r="Q42" s="26" t="s">
        <v>68</v>
      </c>
      <c r="R42" s="16"/>
      <c r="S42" s="26" t="s">
        <v>68</v>
      </c>
      <c r="T42" s="16"/>
      <c r="U42" s="60" t="s">
        <v>154</v>
      </c>
      <c r="V42" s="3"/>
      <c r="W42" s="3"/>
      <c r="X42" s="16"/>
      <c r="Y42" s="38"/>
    </row>
    <row r="43">
      <c r="B43" s="57">
        <v>1.0</v>
      </c>
      <c r="C43" s="30" t="s">
        <v>155</v>
      </c>
      <c r="D43" s="21"/>
      <c r="E43" s="32" t="s">
        <v>156</v>
      </c>
      <c r="F43" s="21"/>
      <c r="G43" s="31" t="s">
        <v>40</v>
      </c>
      <c r="H43" s="21"/>
      <c r="I43" s="31" t="s">
        <v>41</v>
      </c>
      <c r="J43" s="21"/>
      <c r="K43" s="31" t="str">
        <f>close</f>
        <v>Close: 55 ft</v>
      </c>
      <c r="L43" s="21"/>
      <c r="M43" s="31" t="s">
        <v>157</v>
      </c>
      <c r="N43" s="21"/>
      <c r="O43" s="31" t="str">
        <f>Level&amp;" round(s) (D)
1 round/level"</f>
        <v>13 round(s) (D)
1 round/level</v>
      </c>
      <c r="P43" s="21"/>
      <c r="Q43" s="31" t="s">
        <v>132</v>
      </c>
      <c r="R43" s="21"/>
      <c r="S43" s="31" t="s">
        <v>54</v>
      </c>
      <c r="T43" s="21"/>
      <c r="U43" s="33" t="s">
        <v>158</v>
      </c>
      <c r="V43" s="9"/>
      <c r="W43" s="9"/>
      <c r="X43" s="21"/>
      <c r="Y43" s="38"/>
    </row>
    <row r="44">
      <c r="B44" s="23">
        <v>1.0</v>
      </c>
      <c r="C44" s="59" t="s">
        <v>159</v>
      </c>
      <c r="D44" s="16"/>
      <c r="E44" s="26" t="s">
        <v>160</v>
      </c>
      <c r="F44" s="16"/>
      <c r="G44" s="26" t="s">
        <v>65</v>
      </c>
      <c r="H44" s="16"/>
      <c r="I44" s="25" t="s">
        <v>41</v>
      </c>
      <c r="J44" s="16"/>
      <c r="K44" s="26" t="s">
        <v>42</v>
      </c>
      <c r="L44" s="16"/>
      <c r="M44" s="26" t="s">
        <v>104</v>
      </c>
      <c r="N44" s="16"/>
      <c r="O44" s="25" t="str">
        <f>Level&amp;" hour(s) (D)
1 hour/level"</f>
        <v>13 hour(s) (D)
1 hour/level</v>
      </c>
      <c r="P44" s="16"/>
      <c r="Q44" s="26" t="s">
        <v>45</v>
      </c>
      <c r="R44" s="16"/>
      <c r="S44" s="25" t="s">
        <v>54</v>
      </c>
      <c r="T44" s="16"/>
      <c r="U44" s="60" t="s">
        <v>161</v>
      </c>
      <c r="V44" s="3"/>
      <c r="W44" s="3"/>
      <c r="X44" s="16"/>
      <c r="Y44" s="38"/>
    </row>
    <row r="45">
      <c r="B45" s="57">
        <v>1.0</v>
      </c>
      <c r="C45" s="58" t="s">
        <v>162</v>
      </c>
      <c r="D45" s="21"/>
      <c r="E45" s="32" t="s">
        <v>163</v>
      </c>
      <c r="F45" s="21"/>
      <c r="G45" s="32" t="s">
        <v>40</v>
      </c>
      <c r="H45" s="21"/>
      <c r="I45" s="32" t="s">
        <v>73</v>
      </c>
      <c r="J45" s="21"/>
      <c r="K45" s="32" t="str">
        <f>close</f>
        <v>Close: 55 ft</v>
      </c>
      <c r="L45" s="21"/>
      <c r="M45" s="32" t="s">
        <v>164</v>
      </c>
      <c r="N45" s="21"/>
      <c r="O45" s="31" t="str">
        <f>Level*2&amp;" hours (D)
2 hours/level"</f>
        <v>26 hours (D)
2 hours/level</v>
      </c>
      <c r="P45" s="21"/>
      <c r="Q45" s="32" t="s">
        <v>53</v>
      </c>
      <c r="R45" s="21"/>
      <c r="S45" s="31" t="s">
        <v>54</v>
      </c>
      <c r="T45" s="21"/>
      <c r="U45" s="53" t="str">
        <f>"Summons riding horse for "&amp;2*Level&amp;" hour(s), 2 hours/level"</f>
        <v>Summons riding horse for 26 hour(s), 2 hours/level</v>
      </c>
      <c r="V45" s="9"/>
      <c r="W45" s="9"/>
      <c r="X45" s="21"/>
      <c r="Y45" s="38"/>
    </row>
    <row r="46">
      <c r="B46" s="23">
        <v>1.0</v>
      </c>
      <c r="C46" s="24" t="s">
        <v>165</v>
      </c>
      <c r="D46" s="16"/>
      <c r="E46" s="26" t="s">
        <v>156</v>
      </c>
      <c r="F46" s="16"/>
      <c r="G46" s="25" t="s">
        <v>50</v>
      </c>
      <c r="H46" s="16"/>
      <c r="I46" s="25" t="s">
        <v>41</v>
      </c>
      <c r="J46" s="16"/>
      <c r="K46" s="25" t="s">
        <v>166</v>
      </c>
      <c r="L46" s="16"/>
      <c r="M46" s="25" t="s">
        <v>167</v>
      </c>
      <c r="N46" s="16"/>
      <c r="O46" s="25" t="str">
        <f>CONCAT(Level, " minutes
1 minute/level")</f>
        <v>13 minutes
1 minute/level</v>
      </c>
      <c r="P46" s="16"/>
      <c r="Q46" s="25" t="s">
        <v>53</v>
      </c>
      <c r="R46" s="16"/>
      <c r="S46" s="25" t="s">
        <v>54</v>
      </c>
      <c r="T46" s="16"/>
      <c r="U46" s="27" t="s">
        <v>168</v>
      </c>
      <c r="V46" s="3"/>
      <c r="W46" s="3"/>
      <c r="X46" s="16"/>
      <c r="Y46" s="38"/>
    </row>
    <row r="47">
      <c r="B47" s="57">
        <v>1.0</v>
      </c>
      <c r="C47" s="30" t="s">
        <v>169</v>
      </c>
      <c r="D47" s="21"/>
      <c r="E47" s="32" t="s">
        <v>170</v>
      </c>
      <c r="F47" s="21"/>
      <c r="G47" s="31" t="s">
        <v>65</v>
      </c>
      <c r="H47" s="21"/>
      <c r="I47" s="31" t="s">
        <v>73</v>
      </c>
      <c r="J47" s="21"/>
      <c r="K47" s="31" t="str">
        <f>close</f>
        <v>Close: 55 ft</v>
      </c>
      <c r="L47" s="21"/>
      <c r="M47" s="31" t="s">
        <v>171</v>
      </c>
      <c r="N47" s="21"/>
      <c r="O47" s="31" t="str">
        <f>Level&amp;" round(s) (D)
1 round/level"</f>
        <v>13 round(s) (D)
1 round/level</v>
      </c>
      <c r="P47" s="21"/>
      <c r="Q47" s="31" t="s">
        <v>53</v>
      </c>
      <c r="R47" s="21"/>
      <c r="S47" s="31" t="s">
        <v>54</v>
      </c>
      <c r="T47" s="21"/>
      <c r="U47" s="33" t="s">
        <v>172</v>
      </c>
      <c r="V47" s="9"/>
      <c r="W47" s="9"/>
      <c r="X47" s="21"/>
    </row>
    <row r="48">
      <c r="B48" s="23">
        <v>1.0</v>
      </c>
      <c r="C48" s="24" t="s">
        <v>173</v>
      </c>
      <c r="D48" s="16"/>
      <c r="E48" s="26" t="s">
        <v>156</v>
      </c>
      <c r="F48" s="16"/>
      <c r="G48" s="25" t="s">
        <v>40</v>
      </c>
      <c r="H48" s="16"/>
      <c r="I48" s="25" t="s">
        <v>41</v>
      </c>
      <c r="J48" s="16"/>
      <c r="K48" s="25" t="str">
        <f>close</f>
        <v>Close: 55 ft</v>
      </c>
      <c r="L48" s="16"/>
      <c r="M48" s="25" t="s">
        <v>174</v>
      </c>
      <c r="N48" s="16"/>
      <c r="O48" s="25" t="str">
        <f>Level&amp;" hour(s)
1 hour/level"</f>
        <v>13 hour(s)
1 hour/level</v>
      </c>
      <c r="P48" s="16"/>
      <c r="Q48" s="25" t="s">
        <v>53</v>
      </c>
      <c r="R48" s="16"/>
      <c r="S48" s="25" t="s">
        <v>54</v>
      </c>
      <c r="T48" s="16"/>
      <c r="U48" s="27" t="s">
        <v>175</v>
      </c>
      <c r="V48" s="3"/>
      <c r="W48" s="3"/>
      <c r="X48" s="16"/>
    </row>
    <row r="49">
      <c r="B49" s="57">
        <v>1.0</v>
      </c>
      <c r="C49" s="30" t="s">
        <v>176</v>
      </c>
      <c r="D49" s="21"/>
      <c r="E49" s="31" t="s">
        <v>57</v>
      </c>
      <c r="F49" s="21"/>
      <c r="G49" s="31" t="s">
        <v>40</v>
      </c>
      <c r="H49" s="21"/>
      <c r="I49" s="31" t="s">
        <v>41</v>
      </c>
      <c r="J49" s="21"/>
      <c r="K49" s="31" t="s">
        <v>66</v>
      </c>
      <c r="L49" s="21"/>
      <c r="M49" s="31" t="s">
        <v>67</v>
      </c>
      <c r="N49" s="21"/>
      <c r="O49" s="31" t="str">
        <f>Level*10&amp;" minutes
10 minutes/level"</f>
        <v>130 minutes
10 minutes/level</v>
      </c>
      <c r="P49" s="21"/>
      <c r="Q49" s="31" t="s">
        <v>68</v>
      </c>
      <c r="R49" s="21"/>
      <c r="S49" s="31" t="s">
        <v>68</v>
      </c>
      <c r="T49" s="21"/>
      <c r="U49" s="33" t="s">
        <v>177</v>
      </c>
      <c r="V49" s="9"/>
      <c r="W49" s="9"/>
      <c r="X49" s="21"/>
    </row>
    <row r="50">
      <c r="B50" s="23">
        <v>1.0</v>
      </c>
      <c r="C50" s="24" t="s">
        <v>178</v>
      </c>
      <c r="D50" s="16"/>
      <c r="E50" s="25" t="s">
        <v>57</v>
      </c>
      <c r="F50" s="16"/>
      <c r="G50" s="25" t="s">
        <v>50</v>
      </c>
      <c r="H50" s="16"/>
      <c r="I50" s="25" t="s">
        <v>41</v>
      </c>
      <c r="J50" s="16"/>
      <c r="K50" s="25" t="s">
        <v>58</v>
      </c>
      <c r="L50" s="16"/>
      <c r="M50" s="25" t="s">
        <v>179</v>
      </c>
      <c r="N50" s="16"/>
      <c r="O50" s="25" t="str">
        <f>"Concentration, up to "&amp;Level&amp;" minute(s) (D)
1 minute/level"</f>
        <v>Concentration, up to 13 minute(s) (D)
1 minute/level</v>
      </c>
      <c r="P50" s="16"/>
      <c r="Q50" s="25" t="s">
        <v>53</v>
      </c>
      <c r="R50" s="16"/>
      <c r="S50" s="25" t="s">
        <v>54</v>
      </c>
      <c r="T50" s="16"/>
      <c r="U50" s="27" t="s">
        <v>180</v>
      </c>
      <c r="V50" s="3"/>
      <c r="W50" s="3"/>
      <c r="X50" s="16"/>
    </row>
    <row r="51">
      <c r="B51" s="57">
        <v>1.0</v>
      </c>
      <c r="C51" s="58" t="s">
        <v>181</v>
      </c>
      <c r="D51" s="21"/>
      <c r="E51" s="31" t="s">
        <v>57</v>
      </c>
      <c r="F51" s="21"/>
      <c r="G51" s="32" t="s">
        <v>40</v>
      </c>
      <c r="H51" s="21"/>
      <c r="I51" s="31" t="s">
        <v>41</v>
      </c>
      <c r="J51" s="21"/>
      <c r="K51" s="31" t="s">
        <v>58</v>
      </c>
      <c r="L51" s="21"/>
      <c r="M51" s="31" t="s">
        <v>179</v>
      </c>
      <c r="N51" s="21"/>
      <c r="O51" s="31" t="str">
        <f>"Concentration, up to "&amp;Level&amp;" minute(s) (D)
1 minute/level"</f>
        <v>Concentration, up to 13 minute(s) (D)
1 minute/level</v>
      </c>
      <c r="P51" s="21"/>
      <c r="Q51" s="31" t="s">
        <v>53</v>
      </c>
      <c r="R51" s="21"/>
      <c r="S51" s="31" t="s">
        <v>54</v>
      </c>
      <c r="T51" s="21"/>
      <c r="U51" s="53" t="s">
        <v>182</v>
      </c>
      <c r="V51" s="9"/>
      <c r="W51" s="9"/>
      <c r="X51" s="21"/>
    </row>
    <row r="52">
      <c r="B52" s="23">
        <v>1.0</v>
      </c>
      <c r="C52" s="24" t="s">
        <v>183</v>
      </c>
      <c r="D52" s="16"/>
      <c r="E52" s="25" t="s">
        <v>57</v>
      </c>
      <c r="F52" s="16"/>
      <c r="G52" s="25" t="s">
        <v>184</v>
      </c>
      <c r="H52" s="16"/>
      <c r="I52" s="25" t="s">
        <v>133</v>
      </c>
      <c r="J52" s="16"/>
      <c r="K52" s="25" t="s">
        <v>42</v>
      </c>
      <c r="L52" s="16"/>
      <c r="M52" s="25" t="s">
        <v>185</v>
      </c>
      <c r="N52" s="16"/>
      <c r="O52" s="25" t="s">
        <v>52</v>
      </c>
      <c r="P52" s="16"/>
      <c r="Q52" s="25" t="s">
        <v>53</v>
      </c>
      <c r="R52" s="16"/>
      <c r="S52" s="25" t="s">
        <v>54</v>
      </c>
      <c r="T52" s="16"/>
      <c r="U52" s="27" t="s">
        <v>186</v>
      </c>
      <c r="V52" s="3"/>
      <c r="W52" s="3"/>
      <c r="X52" s="16"/>
    </row>
    <row r="53">
      <c r="B53" s="57">
        <v>1.0</v>
      </c>
      <c r="C53" s="58" t="s">
        <v>187</v>
      </c>
      <c r="D53" s="21"/>
      <c r="E53" s="31" t="s">
        <v>57</v>
      </c>
      <c r="F53" s="21"/>
      <c r="G53" s="32" t="s">
        <v>188</v>
      </c>
      <c r="H53" s="21"/>
      <c r="I53" s="32" t="s">
        <v>41</v>
      </c>
      <c r="J53" s="21"/>
      <c r="K53" s="32" t="s">
        <v>66</v>
      </c>
      <c r="L53" s="21"/>
      <c r="M53" s="32" t="s">
        <v>67</v>
      </c>
      <c r="N53" s="21"/>
      <c r="O53" s="32" t="s">
        <v>132</v>
      </c>
      <c r="P53" s="21"/>
      <c r="Q53" s="32" t="s">
        <v>68</v>
      </c>
      <c r="R53" s="21"/>
      <c r="S53" s="32" t="s">
        <v>68</v>
      </c>
      <c r="T53" s="21"/>
      <c r="U53" s="62" t="s">
        <v>189</v>
      </c>
      <c r="V53" s="9"/>
      <c r="W53" s="9"/>
      <c r="X53" s="21"/>
    </row>
    <row r="54">
      <c r="B54" s="23">
        <v>1.0</v>
      </c>
      <c r="C54" s="24" t="s">
        <v>190</v>
      </c>
      <c r="D54" s="16"/>
      <c r="E54" s="26" t="s">
        <v>191</v>
      </c>
      <c r="F54" s="16"/>
      <c r="G54" s="25" t="s">
        <v>50</v>
      </c>
      <c r="H54" s="16"/>
      <c r="I54" s="25" t="s">
        <v>41</v>
      </c>
      <c r="J54" s="16"/>
      <c r="K54" s="25" t="str">
        <f>close</f>
        <v>Close: 55 ft</v>
      </c>
      <c r="L54" s="16"/>
      <c r="M54" s="25" t="s">
        <v>192</v>
      </c>
      <c r="N54" s="16"/>
      <c r="O54" s="25" t="str">
        <f>Level&amp;" hour(s)
1 hour/level"</f>
        <v>13 hour(s)
1 hour/level</v>
      </c>
      <c r="P54" s="16"/>
      <c r="Q54" s="25" t="s">
        <v>74</v>
      </c>
      <c r="R54" s="16"/>
      <c r="S54" s="25" t="s">
        <v>75</v>
      </c>
      <c r="T54" s="16"/>
      <c r="U54" s="27" t="s">
        <v>193</v>
      </c>
      <c r="V54" s="3"/>
      <c r="W54" s="3"/>
      <c r="X54" s="16"/>
    </row>
    <row r="55">
      <c r="B55" s="57">
        <v>1.0</v>
      </c>
      <c r="C55" s="30" t="s">
        <v>194</v>
      </c>
      <c r="D55" s="21"/>
      <c r="E55" s="32" t="s">
        <v>71</v>
      </c>
      <c r="F55" s="21"/>
      <c r="G55" s="31" t="s">
        <v>50</v>
      </c>
      <c r="H55" s="21"/>
      <c r="I55" s="31" t="s">
        <v>73</v>
      </c>
      <c r="J55" s="21"/>
      <c r="K55" s="31" t="str">
        <f>close</f>
        <v>Close: 55 ft</v>
      </c>
      <c r="L55" s="21"/>
      <c r="M55" s="31" t="s">
        <v>195</v>
      </c>
      <c r="N55" s="21"/>
      <c r="O55" s="31" t="s">
        <v>196</v>
      </c>
      <c r="P55" s="21"/>
      <c r="Q55" s="31" t="s">
        <v>74</v>
      </c>
      <c r="R55" s="21"/>
      <c r="S55" s="31" t="s">
        <v>75</v>
      </c>
      <c r="T55" s="21"/>
      <c r="U55" s="33" t="s">
        <v>197</v>
      </c>
      <c r="V55" s="9"/>
      <c r="W55" s="9"/>
      <c r="X55" s="21"/>
    </row>
    <row r="56">
      <c r="B56" s="23">
        <v>1.0</v>
      </c>
      <c r="C56" s="24" t="s">
        <v>198</v>
      </c>
      <c r="D56" s="16"/>
      <c r="E56" s="26" t="s">
        <v>71</v>
      </c>
      <c r="F56" s="16"/>
      <c r="G56" s="25" t="s">
        <v>40</v>
      </c>
      <c r="H56" s="16"/>
      <c r="I56" s="25" t="s">
        <v>73</v>
      </c>
      <c r="J56" s="16"/>
      <c r="K56" s="25" t="str">
        <f>medium</f>
        <v>Medium: 230 ft</v>
      </c>
      <c r="L56" s="16"/>
      <c r="M56" s="25" t="s">
        <v>199</v>
      </c>
      <c r="N56" s="16"/>
      <c r="O56" s="25" t="str">
        <f>Level&amp;" minute(s)
1 minute/level"</f>
        <v>13 minute(s)
1 minute/level</v>
      </c>
      <c r="P56" s="16"/>
      <c r="Q56" s="25" t="s">
        <v>74</v>
      </c>
      <c r="R56" s="16"/>
      <c r="S56" s="25" t="s">
        <v>75</v>
      </c>
      <c r="T56" s="16"/>
      <c r="U56" s="27" t="s">
        <v>200</v>
      </c>
      <c r="V56" s="3"/>
      <c r="W56" s="3"/>
      <c r="X56" s="16"/>
    </row>
    <row r="57">
      <c r="B57" s="57">
        <v>1.0</v>
      </c>
      <c r="C57" s="58" t="s">
        <v>201</v>
      </c>
      <c r="D57" s="21"/>
      <c r="E57" s="32" t="s">
        <v>202</v>
      </c>
      <c r="F57" s="21"/>
      <c r="G57" s="32" t="s">
        <v>50</v>
      </c>
      <c r="H57" s="21"/>
      <c r="I57" s="32" t="s">
        <v>41</v>
      </c>
      <c r="J57" s="21"/>
      <c r="K57" s="32" t="s">
        <v>203</v>
      </c>
      <c r="L57" s="21"/>
      <c r="M57" s="32" t="s">
        <v>204</v>
      </c>
      <c r="N57" s="21"/>
      <c r="O57" s="32" t="s">
        <v>52</v>
      </c>
      <c r="P57" s="21"/>
      <c r="Q57" s="32" t="s">
        <v>205</v>
      </c>
      <c r="R57" s="21"/>
      <c r="S57" s="31" t="s">
        <v>75</v>
      </c>
      <c r="T57" s="21"/>
      <c r="U57" s="33" t="str">
        <f>MIN(Level, 5)&amp;"d4 fire damage, 1d4/level (max 5d4)"</f>
        <v>5d4 fire damage, 1d4/level (max 5d4)</v>
      </c>
      <c r="V57" s="9"/>
      <c r="W57" s="9"/>
      <c r="X57" s="21"/>
    </row>
    <row r="58">
      <c r="B58" s="23">
        <v>1.0</v>
      </c>
      <c r="C58" s="59" t="s">
        <v>206</v>
      </c>
      <c r="D58" s="16"/>
      <c r="E58" s="26" t="s">
        <v>207</v>
      </c>
      <c r="F58" s="16"/>
      <c r="G58" s="26" t="s">
        <v>40</v>
      </c>
      <c r="H58" s="16"/>
      <c r="I58" s="26" t="s">
        <v>41</v>
      </c>
      <c r="J58" s="16"/>
      <c r="K58" s="26" t="str">
        <f>close</f>
        <v>Close: 55 ft</v>
      </c>
      <c r="L58" s="16"/>
      <c r="M58" s="26" t="s">
        <v>208</v>
      </c>
      <c r="N58" s="16"/>
      <c r="O58" s="26" t="str">
        <f>Level&amp;" hour(s)
1 hour/level"</f>
        <v>13 hour(s)
1 hour/level</v>
      </c>
      <c r="P58" s="16"/>
      <c r="Q58" s="26" t="s">
        <v>53</v>
      </c>
      <c r="R58" s="16"/>
      <c r="S58" s="26" t="s">
        <v>54</v>
      </c>
      <c r="T58" s="16"/>
      <c r="U58" s="27" t="str">
        <f>"Creates 3-ft.-diameter horizontal disk that holds "&amp;Level*100&amp;" lbs, 100 lb./level"</f>
        <v>Creates 3-ft.-diameter horizontal disk that holds 1300 lbs, 100 lb./level</v>
      </c>
      <c r="V58" s="3"/>
      <c r="W58" s="3"/>
      <c r="X58" s="16"/>
    </row>
    <row r="59">
      <c r="B59" s="57">
        <v>1.0</v>
      </c>
      <c r="C59" s="58" t="s">
        <v>209</v>
      </c>
      <c r="D59" s="21"/>
      <c r="E59" s="32" t="s">
        <v>207</v>
      </c>
      <c r="F59" s="21"/>
      <c r="G59" s="32" t="s">
        <v>50</v>
      </c>
      <c r="H59" s="21"/>
      <c r="I59" s="32" t="s">
        <v>41</v>
      </c>
      <c r="J59" s="21"/>
      <c r="K59" s="32" t="str">
        <f>medium</f>
        <v>Medium: 230 ft</v>
      </c>
      <c r="L59" s="21"/>
      <c r="M59" s="32" t="str">
        <f>"Up to "&amp;MIN(1+FLOOR((Level-1)/2,1),5)&amp;" creature(s), no 2 of which can be more than 15 ft apart"</f>
        <v>Up to 5 creature(s), no 2 of which can be more than 15 ft apart</v>
      </c>
      <c r="N59" s="21"/>
      <c r="O59" s="32" t="s">
        <v>52</v>
      </c>
      <c r="P59" s="21"/>
      <c r="Q59" s="32" t="s">
        <v>53</v>
      </c>
      <c r="R59" s="21"/>
      <c r="S59" s="32" t="s">
        <v>75</v>
      </c>
      <c r="T59" s="21"/>
      <c r="U59" s="33" t="str">
        <f>MIN(1+FLOOR((Level-1)/2,1),5)&amp;"d4+"&amp;MIN(1+FLOOR((Level-1)/2,1),5)&amp;" damage; +1 missile per two levels above 1st (max 5)"</f>
        <v>5d4+5 damage; +1 missile per two levels above 1st (max 5)</v>
      </c>
      <c r="V59" s="9"/>
      <c r="W59" s="9"/>
      <c r="X59" s="21"/>
    </row>
    <row r="60">
      <c r="B60" s="23">
        <v>1.0</v>
      </c>
      <c r="C60" s="59" t="s">
        <v>210</v>
      </c>
      <c r="D60" s="16"/>
      <c r="E60" s="26" t="s">
        <v>211</v>
      </c>
      <c r="F60" s="16"/>
      <c r="G60" s="26" t="s">
        <v>50</v>
      </c>
      <c r="H60" s="16"/>
      <c r="I60" s="26" t="s">
        <v>41</v>
      </c>
      <c r="J60" s="16"/>
      <c r="K60" s="26" t="str">
        <f>medium</f>
        <v>Medium: 230 ft</v>
      </c>
      <c r="L60" s="16"/>
      <c r="M60" s="26" t="str">
        <f>"Up to "&amp;MIN(Level,5)&amp;" creature(s), no 2 of which can be more than 15 ft apart"</f>
        <v>Up to 5 creature(s), no 2 of which can be more than 15 ft apart</v>
      </c>
      <c r="N60" s="16"/>
      <c r="O60" s="26" t="s">
        <v>52</v>
      </c>
      <c r="P60" s="16"/>
      <c r="Q60" s="26" t="s">
        <v>53</v>
      </c>
      <c r="R60" s="16"/>
      <c r="S60" s="26" t="s">
        <v>75</v>
      </c>
      <c r="T60" s="16"/>
      <c r="U60" s="27" t="str">
        <f>"Touch deals "&amp;MIN(Level, 5)&amp;"d6 electrical damage, 1d6/level (max 5d6)"</f>
        <v>Touch deals 5d6 electrical damage, 1d6/level (max 5d6)</v>
      </c>
      <c r="V60" s="3"/>
      <c r="W60" s="3"/>
      <c r="X60" s="16"/>
    </row>
    <row r="61">
      <c r="B61" s="57">
        <v>1.0</v>
      </c>
      <c r="C61" s="58" t="s">
        <v>212</v>
      </c>
      <c r="D61" s="21"/>
      <c r="E61" s="32" t="s">
        <v>213</v>
      </c>
      <c r="F61" s="21"/>
      <c r="G61" s="32" t="s">
        <v>40</v>
      </c>
      <c r="H61" s="21"/>
      <c r="I61" s="32" t="s">
        <v>41</v>
      </c>
      <c r="J61" s="21"/>
      <c r="K61" s="32" t="s">
        <v>203</v>
      </c>
      <c r="L61" s="21"/>
      <c r="M61" s="32" t="s">
        <v>204</v>
      </c>
      <c r="N61" s="21"/>
      <c r="O61" s="32" t="s">
        <v>214</v>
      </c>
      <c r="P61" s="21"/>
      <c r="Q61" s="32" t="s">
        <v>74</v>
      </c>
      <c r="R61" s="21"/>
      <c r="S61" s="32" t="s">
        <v>75</v>
      </c>
      <c r="T61" s="21"/>
      <c r="U61" s="53" t="s">
        <v>215</v>
      </c>
      <c r="V61" s="9"/>
      <c r="W61" s="9"/>
      <c r="X61" s="21"/>
    </row>
    <row r="62">
      <c r="B62" s="23">
        <v>1.0</v>
      </c>
      <c r="C62" s="24" t="s">
        <v>216</v>
      </c>
      <c r="D62" s="16"/>
      <c r="E62" s="26" t="s">
        <v>217</v>
      </c>
      <c r="F62" s="16"/>
      <c r="G62" s="25" t="s">
        <v>50</v>
      </c>
      <c r="H62" s="16"/>
      <c r="I62" s="25" t="s">
        <v>41</v>
      </c>
      <c r="J62" s="16"/>
      <c r="K62" s="25" t="s">
        <v>66</v>
      </c>
      <c r="L62" s="16"/>
      <c r="M62" s="25" t="s">
        <v>67</v>
      </c>
      <c r="N62" s="16"/>
      <c r="O62" s="25" t="str">
        <f>Level*10&amp;" minutes (D)
10 minutes/level"</f>
        <v>130 minutes (D)
10 minutes/level</v>
      </c>
      <c r="P62" s="16"/>
      <c r="Q62" s="25" t="s">
        <v>68</v>
      </c>
      <c r="R62" s="16"/>
      <c r="S62" s="25" t="s">
        <v>68</v>
      </c>
      <c r="T62" s="16"/>
      <c r="U62" s="27" t="s">
        <v>218</v>
      </c>
      <c r="V62" s="3"/>
      <c r="W62" s="3"/>
      <c r="X62" s="16"/>
    </row>
    <row r="63">
      <c r="B63" s="57">
        <v>1.0</v>
      </c>
      <c r="C63" s="58" t="s">
        <v>219</v>
      </c>
      <c r="D63" s="21"/>
      <c r="E63" s="32" t="s">
        <v>217</v>
      </c>
      <c r="F63" s="21"/>
      <c r="G63" s="31" t="s">
        <v>65</v>
      </c>
      <c r="H63" s="21"/>
      <c r="I63" s="31" t="s">
        <v>41</v>
      </c>
      <c r="J63" s="21"/>
      <c r="K63" s="31" t="s">
        <v>42</v>
      </c>
      <c r="L63" s="21"/>
      <c r="M63" s="31" t="str">
        <f>"One touched object weighing up to "&amp;Level*5&amp;" lbs, 5 lbs/level"</f>
        <v>One touched object weighing up to 65 lbs, 5 lbs/level</v>
      </c>
      <c r="N63" s="21"/>
      <c r="O63" s="31" t="str">
        <f>Level&amp;" day(s) (D)
1 day/level"</f>
        <v>13 day(s) (D)
1 day/level</v>
      </c>
      <c r="P63" s="21"/>
      <c r="Q63" s="31" t="s">
        <v>220</v>
      </c>
      <c r="R63" s="21"/>
      <c r="S63" s="31" t="s">
        <v>54</v>
      </c>
      <c r="T63" s="21"/>
      <c r="U63" s="33" t="s">
        <v>221</v>
      </c>
      <c r="V63" s="9"/>
      <c r="W63" s="9"/>
      <c r="X63" s="21"/>
    </row>
    <row r="64">
      <c r="B64" s="23">
        <v>1.0</v>
      </c>
      <c r="C64" s="24" t="s">
        <v>222</v>
      </c>
      <c r="D64" s="16"/>
      <c r="E64" s="26" t="s">
        <v>96</v>
      </c>
      <c r="F64" s="16"/>
      <c r="G64" s="25" t="s">
        <v>65</v>
      </c>
      <c r="H64" s="16"/>
      <c r="I64" s="25" t="s">
        <v>41</v>
      </c>
      <c r="J64" s="16"/>
      <c r="K64" s="25" t="str">
        <f>long</f>
        <v>Long: 920 ft</v>
      </c>
      <c r="L64" s="16"/>
      <c r="M64" s="25" t="str">
        <f>"Visual figment that cannot extend beyond "&amp;4+Level&amp;" ten ft cubes, 4 ten ft cubes + 1 ten ft cube/level"</f>
        <v>Visual figment that cannot extend beyond 17 ten ft cubes, 4 ten ft cubes + 1 ten ft cube/level</v>
      </c>
      <c r="N64" s="16"/>
      <c r="O64" s="25" t="s">
        <v>109</v>
      </c>
      <c r="P64" s="16"/>
      <c r="Q64" s="25" t="s">
        <v>98</v>
      </c>
      <c r="R64" s="16"/>
      <c r="S64" s="25" t="s">
        <v>54</v>
      </c>
      <c r="T64" s="16"/>
      <c r="U64" s="27" t="s">
        <v>223</v>
      </c>
      <c r="V64" s="3"/>
      <c r="W64" s="3"/>
      <c r="X64" s="16"/>
    </row>
    <row r="65">
      <c r="B65" s="57">
        <v>1.0</v>
      </c>
      <c r="C65" s="30" t="s">
        <v>224</v>
      </c>
      <c r="D65" s="21"/>
      <c r="E65" s="32" t="s">
        <v>96</v>
      </c>
      <c r="F65" s="21"/>
      <c r="G65" s="31" t="s">
        <v>188</v>
      </c>
      <c r="H65" s="21"/>
      <c r="I65" s="31" t="s">
        <v>41</v>
      </c>
      <c r="J65" s="21"/>
      <c r="K65" s="31" t="str">
        <f>close</f>
        <v>Close: 55 ft</v>
      </c>
      <c r="L65" s="21"/>
      <c r="M65" s="31" t="s">
        <v>225</v>
      </c>
      <c r="N65" s="21"/>
      <c r="O65" s="31" t="str">
        <f>Level&amp;" minute(s) (D)
1 minute/level"</f>
        <v>13 minute(s) (D)
1 minute/level</v>
      </c>
      <c r="P65" s="21"/>
      <c r="Q65" s="31" t="s">
        <v>98</v>
      </c>
      <c r="R65" s="21"/>
      <c r="S65" s="31" t="s">
        <v>54</v>
      </c>
      <c r="T65" s="21"/>
      <c r="U65" s="33" t="str">
        <f>"Throws voice for "&amp;Level&amp;" minute(s), 1 minute/level"</f>
        <v>Throws voice for 13 minute(s), 1 minute/level</v>
      </c>
      <c r="V65" s="9"/>
      <c r="W65" s="9"/>
      <c r="X65" s="21"/>
    </row>
    <row r="66">
      <c r="B66" s="23">
        <v>1.0</v>
      </c>
      <c r="C66" s="24" t="s">
        <v>226</v>
      </c>
      <c r="D66" s="16"/>
      <c r="E66" s="26" t="s">
        <v>227</v>
      </c>
      <c r="F66" s="16"/>
      <c r="G66" s="25" t="s">
        <v>50</v>
      </c>
      <c r="H66" s="16"/>
      <c r="I66" s="25" t="s">
        <v>41</v>
      </c>
      <c r="J66" s="16"/>
      <c r="K66" s="25" t="str">
        <f>close</f>
        <v>Close: 55 ft</v>
      </c>
      <c r="L66" s="16"/>
      <c r="M66" s="25" t="s">
        <v>228</v>
      </c>
      <c r="N66" s="16"/>
      <c r="O66" s="25" t="s">
        <v>229</v>
      </c>
      <c r="P66" s="16"/>
      <c r="Q66" s="25" t="s">
        <v>230</v>
      </c>
      <c r="R66" s="16"/>
      <c r="S66" s="25" t="s">
        <v>75</v>
      </c>
      <c r="T66" s="16"/>
      <c r="U66" s="27" t="s">
        <v>231</v>
      </c>
      <c r="V66" s="3"/>
      <c r="W66" s="3"/>
      <c r="X66" s="16"/>
    </row>
    <row r="67">
      <c r="B67" s="57">
        <v>1.0</v>
      </c>
      <c r="C67" s="58" t="s">
        <v>232</v>
      </c>
      <c r="D67" s="21"/>
      <c r="E67" s="31" t="s">
        <v>101</v>
      </c>
      <c r="F67" s="21"/>
      <c r="G67" s="31" t="s">
        <v>50</v>
      </c>
      <c r="H67" s="21"/>
      <c r="I67" s="31" t="s">
        <v>41</v>
      </c>
      <c r="J67" s="21"/>
      <c r="K67" s="32" t="s">
        <v>42</v>
      </c>
      <c r="L67" s="21"/>
      <c r="M67" s="31" t="str">
        <f>"Creature or creatures touched (up to "&amp;Level&amp;", 1/level)"</f>
        <v>Creature or creatures touched (up to 13, 1/level)</v>
      </c>
      <c r="N67" s="21"/>
      <c r="O67" s="32" t="s">
        <v>52</v>
      </c>
      <c r="P67" s="21"/>
      <c r="Q67" s="32" t="s">
        <v>233</v>
      </c>
      <c r="R67" s="21"/>
      <c r="S67" s="31" t="s">
        <v>75</v>
      </c>
      <c r="T67" s="21"/>
      <c r="U67" s="33" t="str">
        <f>Level&amp;" touches deal 1d6 damage and possibly 1 STR damage, 1 touch/level"</f>
        <v>13 touches deal 1d6 damage and possibly 1 STR damage, 1 touch/level</v>
      </c>
      <c r="V67" s="9"/>
      <c r="W67" s="9"/>
      <c r="X67" s="21"/>
    </row>
    <row r="68">
      <c r="B68" s="23">
        <v>1.0</v>
      </c>
      <c r="C68" s="59" t="s">
        <v>234</v>
      </c>
      <c r="D68" s="16"/>
      <c r="E68" s="25" t="s">
        <v>101</v>
      </c>
      <c r="F68" s="16"/>
      <c r="G68" s="25" t="s">
        <v>50</v>
      </c>
      <c r="H68" s="16"/>
      <c r="I68" s="25" t="s">
        <v>41</v>
      </c>
      <c r="J68" s="16"/>
      <c r="K68" s="26" t="str">
        <f>close</f>
        <v>Close: 55 ft</v>
      </c>
      <c r="L68" s="16"/>
      <c r="M68" s="26" t="s">
        <v>93</v>
      </c>
      <c r="N68" s="16"/>
      <c r="O68" s="26" t="str">
        <f>Level&amp;" minute(s)
1 minute/level"</f>
        <v>13 minute(s)
1 minute/level</v>
      </c>
      <c r="P68" s="16"/>
      <c r="Q68" s="26" t="s">
        <v>53</v>
      </c>
      <c r="R68" s="16"/>
      <c r="S68" s="25" t="s">
        <v>75</v>
      </c>
      <c r="T68" s="16"/>
      <c r="U68" s="27" t="str">
        <f>"Ray deals 1d6+"&amp;MAX(FLOOR(Level/2,1),1)&amp;" Str damage, +1 per 2 levels"</f>
        <v>Ray deals 1d6+6 Str damage, +1 per 2 levels</v>
      </c>
      <c r="V68" s="3"/>
      <c r="W68" s="3"/>
      <c r="X68" s="16"/>
    </row>
    <row r="69">
      <c r="B69" s="57">
        <v>1.0</v>
      </c>
      <c r="C69" s="30" t="s">
        <v>235</v>
      </c>
      <c r="D69" s="21"/>
      <c r="E69" s="31" t="s">
        <v>107</v>
      </c>
      <c r="F69" s="21"/>
      <c r="G69" s="31" t="s">
        <v>50</v>
      </c>
      <c r="H69" s="21"/>
      <c r="I69" s="31" t="s">
        <v>41</v>
      </c>
      <c r="J69" s="21"/>
      <c r="K69" s="31" t="str">
        <f>medium</f>
        <v>Medium: 230 ft</v>
      </c>
      <c r="L69" s="21"/>
      <c r="M69" s="31" t="str">
        <f>"One ropelike object, length up to "&amp;50+Level*5&amp;" ft, 50+5 ft/level, see text"</f>
        <v>One ropelike object, length up to 115 ft, 50+5 ft/level, see text</v>
      </c>
      <c r="N69" s="21"/>
      <c r="O69" s="31" t="str">
        <f>Level&amp;" round(s)
1 round/level"</f>
        <v>13 round(s)
1 round/level</v>
      </c>
      <c r="P69" s="21"/>
      <c r="Q69" s="31" t="s">
        <v>53</v>
      </c>
      <c r="R69" s="21"/>
      <c r="S69" s="31" t="s">
        <v>54</v>
      </c>
      <c r="T69" s="21"/>
      <c r="U69" s="33" t="s">
        <v>236</v>
      </c>
      <c r="V69" s="9"/>
      <c r="W69" s="9"/>
      <c r="X69" s="21"/>
    </row>
    <row r="70">
      <c r="B70" s="23">
        <v>1.0</v>
      </c>
      <c r="C70" s="59" t="s">
        <v>237</v>
      </c>
      <c r="D70" s="16"/>
      <c r="E70" s="25" t="s">
        <v>107</v>
      </c>
      <c r="F70" s="16"/>
      <c r="G70" s="26" t="s">
        <v>40</v>
      </c>
      <c r="H70" s="16"/>
      <c r="I70" s="26" t="s">
        <v>73</v>
      </c>
      <c r="J70" s="16"/>
      <c r="K70" s="25" t="str">
        <f>close</f>
        <v>Close: 55 ft</v>
      </c>
      <c r="L70" s="16"/>
      <c r="M70" s="26" t="s">
        <v>192</v>
      </c>
      <c r="N70" s="16"/>
      <c r="O70" s="25" t="str">
        <f>Level&amp;" minute(s) (D)
1 minute/level"</f>
        <v>13 minute(s) (D)
1 minute/level</v>
      </c>
      <c r="P70" s="16"/>
      <c r="Q70" s="26" t="s">
        <v>85</v>
      </c>
      <c r="R70" s="16"/>
      <c r="S70" s="26" t="s">
        <v>75</v>
      </c>
      <c r="T70" s="16"/>
      <c r="U70" s="60" t="s">
        <v>238</v>
      </c>
      <c r="V70" s="3"/>
      <c r="W70" s="3"/>
      <c r="X70" s="16"/>
    </row>
    <row r="71">
      <c r="B71" s="57">
        <v>1.0</v>
      </c>
      <c r="C71" s="30" t="s">
        <v>239</v>
      </c>
      <c r="D71" s="21"/>
      <c r="E71" s="31" t="s">
        <v>107</v>
      </c>
      <c r="F71" s="21"/>
      <c r="G71" s="31" t="s">
        <v>50</v>
      </c>
      <c r="H71" s="21"/>
      <c r="I71" s="31" t="s">
        <v>41</v>
      </c>
      <c r="J71" s="21"/>
      <c r="K71" s="31" t="str">
        <f>close</f>
        <v>Close: 55 ft</v>
      </c>
      <c r="L71" s="21"/>
      <c r="M71" s="31" t="s">
        <v>240</v>
      </c>
      <c r="N71" s="21"/>
      <c r="O71" s="31" t="s">
        <v>52</v>
      </c>
      <c r="P71" s="21"/>
      <c r="Q71" s="31" t="s">
        <v>132</v>
      </c>
      <c r="R71" s="21"/>
      <c r="S71" s="31" t="s">
        <v>54</v>
      </c>
      <c r="T71" s="21"/>
      <c r="U71" s="33" t="s">
        <v>241</v>
      </c>
      <c r="V71" s="9"/>
      <c r="W71" s="9"/>
      <c r="X71" s="21"/>
    </row>
    <row r="72">
      <c r="B72" s="23">
        <v>1.0</v>
      </c>
      <c r="C72" s="24" t="s">
        <v>242</v>
      </c>
      <c r="D72" s="16"/>
      <c r="E72" s="25" t="s">
        <v>107</v>
      </c>
      <c r="F72" s="16"/>
      <c r="G72" s="25" t="s">
        <v>50</v>
      </c>
      <c r="H72" s="16"/>
      <c r="I72" s="25" t="s">
        <v>41</v>
      </c>
      <c r="J72" s="16"/>
      <c r="K72" s="25" t="s">
        <v>66</v>
      </c>
      <c r="L72" s="16"/>
      <c r="M72" s="25" t="s">
        <v>67</v>
      </c>
      <c r="N72" s="16"/>
      <c r="O72" s="25" t="str">
        <f>Level&amp;" minute(s) (D)
1 minute/level"</f>
        <v>13 minute(s) (D)
1 minute/level</v>
      </c>
      <c r="P72" s="16"/>
      <c r="Q72" s="25" t="s">
        <v>68</v>
      </c>
      <c r="R72" s="16"/>
      <c r="S72" s="25" t="s">
        <v>68</v>
      </c>
      <c r="T72" s="16"/>
      <c r="U72" s="27" t="s">
        <v>243</v>
      </c>
      <c r="V72" s="3"/>
      <c r="W72" s="3"/>
      <c r="X72" s="16"/>
    </row>
    <row r="73">
      <c r="B73" s="57">
        <v>1.0</v>
      </c>
      <c r="C73" s="58" t="s">
        <v>244</v>
      </c>
      <c r="D73" s="21"/>
      <c r="E73" s="31" t="s">
        <v>107</v>
      </c>
      <c r="F73" s="21"/>
      <c r="G73" s="31" t="s">
        <v>83</v>
      </c>
      <c r="H73" s="21"/>
      <c r="I73" s="31" t="s">
        <v>245</v>
      </c>
      <c r="J73" s="21"/>
      <c r="K73" s="31" t="str">
        <f>close</f>
        <v>Close: 55 ft</v>
      </c>
      <c r="L73" s="21"/>
      <c r="M73" s="31" t="str">
        <f>Level&amp;" medium or smaller free-falling objects or creatures, 1 object or creature/level, no 2 of which may be more than 20 ft apart"</f>
        <v>13 medium or smaller free-falling objects or creatures, 1 object or creature/level, no 2 of which may be more than 20 ft apart</v>
      </c>
      <c r="N73" s="21"/>
      <c r="O73" s="31" t="str">
        <f>"Until landing or "&amp;Level&amp;" round(s)
1 round/level"</f>
        <v>Until landing or 13 round(s)
1 round/level</v>
      </c>
      <c r="P73" s="21"/>
      <c r="Q73" s="31" t="s">
        <v>246</v>
      </c>
      <c r="R73" s="21"/>
      <c r="S73" s="31" t="s">
        <v>123</v>
      </c>
      <c r="T73" s="21"/>
      <c r="U73" s="33" t="s">
        <v>247</v>
      </c>
      <c r="V73" s="9"/>
      <c r="W73" s="9"/>
      <c r="X73" s="21"/>
    </row>
    <row r="74">
      <c r="B74" s="23">
        <v>1.0</v>
      </c>
      <c r="C74" s="24" t="s">
        <v>248</v>
      </c>
      <c r="D74" s="16"/>
      <c r="E74" s="25" t="s">
        <v>107</v>
      </c>
      <c r="F74" s="16"/>
      <c r="G74" s="25" t="s">
        <v>40</v>
      </c>
      <c r="H74" s="16"/>
      <c r="I74" s="25" t="s">
        <v>41</v>
      </c>
      <c r="J74" s="16"/>
      <c r="K74" s="25" t="s">
        <v>42</v>
      </c>
      <c r="L74" s="16"/>
      <c r="M74" s="25" t="s">
        <v>104</v>
      </c>
      <c r="N74" s="16"/>
      <c r="O74" s="25" t="str">
        <f>CONCAT(Level, " minutes (D)
1 minute/level")</f>
        <v>13 minutes (D)
1 minute/level</v>
      </c>
      <c r="P74" s="16"/>
      <c r="Q74" s="25" t="s">
        <v>45</v>
      </c>
      <c r="R74" s="16"/>
      <c r="S74" s="25" t="s">
        <v>75</v>
      </c>
      <c r="T74" s="16"/>
      <c r="U74" s="27" t="s">
        <v>249</v>
      </c>
      <c r="V74" s="3"/>
      <c r="W74" s="3"/>
      <c r="X74" s="16"/>
    </row>
    <row r="75">
      <c r="B75" s="57">
        <v>1.0</v>
      </c>
      <c r="C75" s="58" t="s">
        <v>250</v>
      </c>
      <c r="D75" s="21"/>
      <c r="E75" s="31" t="s">
        <v>107</v>
      </c>
      <c r="F75" s="21"/>
      <c r="G75" s="32" t="s">
        <v>50</v>
      </c>
      <c r="H75" s="21"/>
      <c r="I75" s="31" t="s">
        <v>41</v>
      </c>
      <c r="J75" s="21"/>
      <c r="K75" s="31" t="s">
        <v>42</v>
      </c>
      <c r="L75" s="21"/>
      <c r="M75" s="32" t="s">
        <v>251</v>
      </c>
      <c r="N75" s="21"/>
      <c r="O75" s="31" t="str">
        <f>CONCAT(Level, " minute(s)
1 minute/level")</f>
        <v>13 minute(s)
1 minute/level</v>
      </c>
      <c r="P75" s="21"/>
      <c r="Q75" s="32" t="s">
        <v>114</v>
      </c>
      <c r="R75" s="21"/>
      <c r="S75" s="32" t="s">
        <v>115</v>
      </c>
      <c r="T75" s="21"/>
      <c r="U75" s="53" t="s">
        <v>252</v>
      </c>
      <c r="V75" s="9"/>
      <c r="W75" s="9"/>
      <c r="X75" s="21"/>
    </row>
    <row r="76">
      <c r="B76" s="23">
        <v>1.0</v>
      </c>
      <c r="C76" s="59" t="s">
        <v>253</v>
      </c>
      <c r="D76" s="16"/>
      <c r="E76" s="25" t="s">
        <v>107</v>
      </c>
      <c r="F76" s="16"/>
      <c r="G76" s="26" t="s">
        <v>40</v>
      </c>
      <c r="H76" s="16"/>
      <c r="I76" s="26" t="s">
        <v>73</v>
      </c>
      <c r="J76" s="16"/>
      <c r="K76" s="25" t="str">
        <f>close</f>
        <v>Close: 55 ft</v>
      </c>
      <c r="L76" s="16"/>
      <c r="M76" s="26" t="s">
        <v>192</v>
      </c>
      <c r="N76" s="16"/>
      <c r="O76" s="25" t="str">
        <f>Level&amp;" minute(s) (D)
1 minute/level"</f>
        <v>13 minute(s) (D)
1 minute/level</v>
      </c>
      <c r="P76" s="16"/>
      <c r="Q76" s="26" t="s">
        <v>85</v>
      </c>
      <c r="R76" s="16"/>
      <c r="S76" s="26" t="s">
        <v>75</v>
      </c>
      <c r="T76" s="16"/>
      <c r="U76" s="60" t="s">
        <v>254</v>
      </c>
      <c r="V76" s="3"/>
      <c r="W76" s="3"/>
      <c r="X76" s="16"/>
    </row>
    <row r="77">
      <c r="B77" s="57">
        <v>2.0</v>
      </c>
      <c r="C77" s="58" t="s">
        <v>255</v>
      </c>
      <c r="D77" s="21"/>
      <c r="E77" s="31" t="s">
        <v>39</v>
      </c>
      <c r="F77" s="21"/>
      <c r="G77" s="32" t="s">
        <v>256</v>
      </c>
      <c r="H77" s="21"/>
      <c r="I77" s="31" t="s">
        <v>41</v>
      </c>
      <c r="J77" s="21"/>
      <c r="K77" s="31" t="s">
        <v>42</v>
      </c>
      <c r="L77" s="21"/>
      <c r="M77" s="31" t="str">
        <f>"The door, chest, or portal touched, up to "&amp;Level*30&amp;" sq ft, 30 sq ft/level"</f>
        <v>The door, chest, or portal touched, up to 390 sq ft, 30 sq ft/level</v>
      </c>
      <c r="N77" s="21"/>
      <c r="O77" s="32" t="s">
        <v>129</v>
      </c>
      <c r="P77" s="21"/>
      <c r="Q77" s="32" t="s">
        <v>53</v>
      </c>
      <c r="R77" s="21"/>
      <c r="S77" s="32" t="s">
        <v>54</v>
      </c>
      <c r="T77" s="21"/>
      <c r="U77" s="53" t="s">
        <v>257</v>
      </c>
      <c r="V77" s="9"/>
      <c r="W77" s="9"/>
      <c r="X77" s="21"/>
    </row>
    <row r="78">
      <c r="B78" s="23">
        <v>2.0</v>
      </c>
      <c r="C78" s="24" t="s">
        <v>258</v>
      </c>
      <c r="D78" s="16"/>
      <c r="E78" s="25" t="s">
        <v>39</v>
      </c>
      <c r="F78" s="16"/>
      <c r="G78" s="25" t="s">
        <v>40</v>
      </c>
      <c r="H78" s="16"/>
      <c r="I78" s="25" t="s">
        <v>41</v>
      </c>
      <c r="J78" s="16"/>
      <c r="K78" s="25" t="s">
        <v>42</v>
      </c>
      <c r="L78" s="16"/>
      <c r="M78" s="25" t="str">
        <f>"One object touched of up to "&amp;Level*100&amp;" lbs, 100 lbs/level"</f>
        <v>One object touched of up to 1300 lbs, 100 lbs/level</v>
      </c>
      <c r="N78" s="16"/>
      <c r="O78" s="25" t="s">
        <v>259</v>
      </c>
      <c r="P78" s="16"/>
      <c r="Q78" s="25" t="s">
        <v>122</v>
      </c>
      <c r="R78" s="16"/>
      <c r="S78" s="25" t="s">
        <v>123</v>
      </c>
      <c r="T78" s="16"/>
      <c r="U78" s="27" t="s">
        <v>260</v>
      </c>
      <c r="V78" s="3"/>
      <c r="W78" s="3"/>
      <c r="X78" s="16"/>
    </row>
    <row r="79">
      <c r="B79" s="57">
        <v>2.0</v>
      </c>
      <c r="C79" s="58" t="s">
        <v>261</v>
      </c>
      <c r="D79" s="21"/>
      <c r="E79" s="31" t="s">
        <v>39</v>
      </c>
      <c r="F79" s="21"/>
      <c r="G79" s="32" t="s">
        <v>65</v>
      </c>
      <c r="H79" s="21"/>
      <c r="I79" s="31" t="s">
        <v>41</v>
      </c>
      <c r="J79" s="21"/>
      <c r="K79" s="31" t="s">
        <v>42</v>
      </c>
      <c r="L79" s="21"/>
      <c r="M79" s="32" t="s">
        <v>104</v>
      </c>
      <c r="N79" s="21"/>
      <c r="O79" s="32" t="str">
        <f>Level&amp;" hours or until discharged
1 hour/level"</f>
        <v>13 hours or until discharged
1 hour/level</v>
      </c>
      <c r="P79" s="21"/>
      <c r="Q79" s="32" t="s">
        <v>45</v>
      </c>
      <c r="R79" s="21"/>
      <c r="S79" s="32" t="s">
        <v>46</v>
      </c>
      <c r="T79" s="21"/>
      <c r="U79" s="53" t="s">
        <v>262</v>
      </c>
      <c r="V79" s="9"/>
      <c r="W79" s="9"/>
      <c r="X79" s="21"/>
    </row>
    <row r="80">
      <c r="B80" s="23">
        <v>2.0</v>
      </c>
      <c r="C80" s="24" t="s">
        <v>263</v>
      </c>
      <c r="D80" s="16"/>
      <c r="E80" s="25" t="s">
        <v>39</v>
      </c>
      <c r="F80" s="16"/>
      <c r="G80" s="26" t="s">
        <v>50</v>
      </c>
      <c r="H80" s="16"/>
      <c r="I80" s="25" t="s">
        <v>41</v>
      </c>
      <c r="J80" s="16"/>
      <c r="K80" s="25" t="s">
        <v>42</v>
      </c>
      <c r="L80" s="16"/>
      <c r="M80" s="25" t="s">
        <v>104</v>
      </c>
      <c r="N80" s="16"/>
      <c r="O80" s="25" t="str">
        <f>CONCAT(Level*10, " minutes
1 minute/level")</f>
        <v>130 minutes
1 minute/level</v>
      </c>
      <c r="P80" s="16"/>
      <c r="Q80" s="25" t="s">
        <v>264</v>
      </c>
      <c r="R80" s="16"/>
      <c r="S80" s="25" t="s">
        <v>46</v>
      </c>
      <c r="T80" s="16"/>
      <c r="U80" s="27" t="s">
        <v>265</v>
      </c>
      <c r="V80" s="3"/>
      <c r="W80" s="3"/>
      <c r="X80" s="16"/>
    </row>
    <row r="81">
      <c r="B81" s="57">
        <v>2.0</v>
      </c>
      <c r="C81" s="58" t="s">
        <v>266</v>
      </c>
      <c r="D81" s="21"/>
      <c r="E81" s="32" t="s">
        <v>49</v>
      </c>
      <c r="F81" s="21"/>
      <c r="G81" s="32" t="s">
        <v>267</v>
      </c>
      <c r="H81" s="21"/>
      <c r="I81" s="31" t="s">
        <v>41</v>
      </c>
      <c r="J81" s="21"/>
      <c r="K81" s="31" t="str">
        <f>long</f>
        <v>Long: 920 ft</v>
      </c>
      <c r="L81" s="21"/>
      <c r="M81" s="32" t="s">
        <v>268</v>
      </c>
      <c r="N81" s="21"/>
      <c r="O81" s="31" t="str">
        <f>MAX(FLOOR(Level/3,1),1)+1&amp;" rounds
1 round + 1 round per 3 levels"</f>
        <v>5 rounds
1 round + 1 round per 3 levels</v>
      </c>
      <c r="P81" s="21"/>
      <c r="Q81" s="31" t="s">
        <v>53</v>
      </c>
      <c r="R81" s="21"/>
      <c r="S81" s="31" t="s">
        <v>54</v>
      </c>
      <c r="T81" s="21"/>
      <c r="U81" s="33" t="str">
        <f>"Ranged touch attack; 2d4 damage for "&amp;MAX(FLOOR(Level/3,1),1)+1&amp;" rounds, 1 round + 1 round per three levels"</f>
        <v>Ranged touch attack; 2d4 damage for 5 rounds, 1 round + 1 round per three levels</v>
      </c>
      <c r="V81" s="9"/>
      <c r="W81" s="9"/>
      <c r="X81" s="21"/>
    </row>
    <row r="82">
      <c r="B82" s="23">
        <v>2.0</v>
      </c>
      <c r="C82" s="24" t="s">
        <v>269</v>
      </c>
      <c r="D82" s="16"/>
      <c r="E82" s="26" t="s">
        <v>156</v>
      </c>
      <c r="F82" s="16"/>
      <c r="G82" s="25" t="s">
        <v>50</v>
      </c>
      <c r="H82" s="16"/>
      <c r="I82" s="25" t="s">
        <v>41</v>
      </c>
      <c r="J82" s="16"/>
      <c r="K82" s="25" t="str">
        <f>CONCAT("Medium: ", CONCAT(100+(10*Level), " ft"))</f>
        <v>Medium: 230 ft</v>
      </c>
      <c r="L82" s="16"/>
      <c r="M82" s="25" t="s">
        <v>270</v>
      </c>
      <c r="N82" s="16"/>
      <c r="O82" s="25" t="str">
        <f>CONCAT(Level*10, " minutes
10 minutes/level")</f>
        <v>130 minutes
10 minutes/level</v>
      </c>
      <c r="P82" s="16"/>
      <c r="Q82" s="25" t="s">
        <v>53</v>
      </c>
      <c r="R82" s="16"/>
      <c r="S82" s="25" t="s">
        <v>54</v>
      </c>
      <c r="T82" s="16"/>
      <c r="U82" s="27" t="s">
        <v>271</v>
      </c>
      <c r="V82" s="3"/>
      <c r="W82" s="3"/>
      <c r="X82" s="16"/>
    </row>
    <row r="83">
      <c r="B83" s="57">
        <v>2.0</v>
      </c>
      <c r="C83" s="30" t="s">
        <v>272</v>
      </c>
      <c r="D83" s="21"/>
      <c r="E83" s="32" t="s">
        <v>156</v>
      </c>
      <c r="F83" s="21"/>
      <c r="G83" s="31" t="s">
        <v>40</v>
      </c>
      <c r="H83" s="21"/>
      <c r="I83" s="31" t="s">
        <v>41</v>
      </c>
      <c r="J83" s="21"/>
      <c r="K83" s="31" t="str">
        <f>medium</f>
        <v>Medium: 230 ft</v>
      </c>
      <c r="L83" s="21"/>
      <c r="M83" s="31" t="s">
        <v>273</v>
      </c>
      <c r="N83" s="21"/>
      <c r="O83" s="31" t="str">
        <f>Level&amp;" rounds
1 round/level"</f>
        <v>13 rounds
1 round/level</v>
      </c>
      <c r="P83" s="21"/>
      <c r="Q83" s="31" t="s">
        <v>274</v>
      </c>
      <c r="R83" s="21"/>
      <c r="S83" s="31" t="s">
        <v>54</v>
      </c>
      <c r="T83" s="21"/>
      <c r="U83" s="33" t="s">
        <v>275</v>
      </c>
      <c r="V83" s="9"/>
      <c r="W83" s="9"/>
      <c r="X83" s="21"/>
    </row>
    <row r="84">
      <c r="B84" s="23">
        <v>2.0</v>
      </c>
      <c r="C84" s="24" t="s">
        <v>276</v>
      </c>
      <c r="D84" s="16"/>
      <c r="E84" s="26" t="s">
        <v>170</v>
      </c>
      <c r="F84" s="16"/>
      <c r="G84" s="25" t="s">
        <v>65</v>
      </c>
      <c r="H84" s="16"/>
      <c r="I84" s="25" t="s">
        <v>73</v>
      </c>
      <c r="J84" s="16"/>
      <c r="K84" s="25" t="str">
        <f>close</f>
        <v>Close: 55 ft</v>
      </c>
      <c r="L84" s="16"/>
      <c r="M84" s="25" t="s">
        <v>171</v>
      </c>
      <c r="N84" s="16"/>
      <c r="O84" s="25" t="str">
        <f>Level&amp;" rounds (D)
1 round/level"</f>
        <v>13 rounds (D)
1 round/level</v>
      </c>
      <c r="P84" s="16"/>
      <c r="Q84" s="25" t="s">
        <v>53</v>
      </c>
      <c r="R84" s="16"/>
      <c r="S84" s="25" t="s">
        <v>54</v>
      </c>
      <c r="T84" s="16"/>
      <c r="U84" s="27" t="s">
        <v>172</v>
      </c>
      <c r="V84" s="3"/>
      <c r="W84" s="3"/>
      <c r="X84" s="16"/>
    </row>
    <row r="85">
      <c r="B85" s="57">
        <v>2.0</v>
      </c>
      <c r="C85" s="30" t="s">
        <v>277</v>
      </c>
      <c r="D85" s="21"/>
      <c r="E85" s="32" t="s">
        <v>163</v>
      </c>
      <c r="F85" s="21"/>
      <c r="G85" s="32" t="s">
        <v>40</v>
      </c>
      <c r="H85" s="21"/>
      <c r="I85" s="31" t="s">
        <v>73</v>
      </c>
      <c r="J85" s="21"/>
      <c r="K85" s="31" t="str">
        <f>CONCAT("Close: ", CONCAT(25+(5*FLOOR(Level/2,1)), " ft"))</f>
        <v>Close: 55 ft</v>
      </c>
      <c r="L85" s="21"/>
      <c r="M85" s="31" t="s">
        <v>278</v>
      </c>
      <c r="N85" s="21"/>
      <c r="O85" s="31" t="s">
        <v>279</v>
      </c>
      <c r="P85" s="21"/>
      <c r="Q85" s="31" t="s">
        <v>53</v>
      </c>
      <c r="R85" s="21"/>
      <c r="S85" s="31" t="s">
        <v>54</v>
      </c>
      <c r="T85" s="21"/>
      <c r="U85" s="33" t="s">
        <v>280</v>
      </c>
      <c r="V85" s="9"/>
      <c r="W85" s="9"/>
      <c r="X85" s="21"/>
    </row>
    <row r="86">
      <c r="B86" s="23">
        <v>2.0</v>
      </c>
      <c r="C86" s="59" t="s">
        <v>281</v>
      </c>
      <c r="D86" s="16"/>
      <c r="E86" s="26" t="s">
        <v>156</v>
      </c>
      <c r="F86" s="16"/>
      <c r="G86" s="26" t="s">
        <v>40</v>
      </c>
      <c r="H86" s="16"/>
      <c r="I86" s="26" t="s">
        <v>41</v>
      </c>
      <c r="J86" s="16"/>
      <c r="K86" s="25" t="str">
        <f>medium</f>
        <v>Medium: 230 ft</v>
      </c>
      <c r="L86" s="16"/>
      <c r="M86" s="26" t="s">
        <v>282</v>
      </c>
      <c r="N86" s="16"/>
      <c r="O86" s="25" t="str">
        <f>Level*10&amp;" minutes (D)
10 minutes/level"</f>
        <v>130 minutes (D)
10 minutes/level</v>
      </c>
      <c r="P86" s="16"/>
      <c r="Q86" s="26" t="s">
        <v>283</v>
      </c>
      <c r="R86" s="16"/>
      <c r="S86" s="25" t="s">
        <v>54</v>
      </c>
      <c r="T86" s="16"/>
      <c r="U86" s="60" t="s">
        <v>284</v>
      </c>
      <c r="V86" s="3"/>
      <c r="W86" s="3"/>
      <c r="X86" s="16"/>
    </row>
    <row r="87">
      <c r="B87" s="57">
        <v>2.0</v>
      </c>
      <c r="C87" s="30" t="s">
        <v>285</v>
      </c>
      <c r="D87" s="21"/>
      <c r="E87" s="32" t="s">
        <v>286</v>
      </c>
      <c r="F87" s="21"/>
      <c r="G87" s="31" t="s">
        <v>287</v>
      </c>
      <c r="H87" s="21"/>
      <c r="I87" s="31" t="s">
        <v>41</v>
      </c>
      <c r="J87" s="21"/>
      <c r="K87" s="31" t="s">
        <v>58</v>
      </c>
      <c r="L87" s="21"/>
      <c r="M87" s="31" t="s">
        <v>179</v>
      </c>
      <c r="N87" s="21"/>
      <c r="O87" s="31" t="str">
        <f>"Concentration, up to "&amp;Level&amp;" minutes (D)
1 minute/level"</f>
        <v>Concentration, up to 13 minutes (D)
1 minute/level</v>
      </c>
      <c r="P87" s="21"/>
      <c r="Q87" s="31" t="s">
        <v>288</v>
      </c>
      <c r="R87" s="21"/>
      <c r="S87" s="31" t="s">
        <v>54</v>
      </c>
      <c r="T87" s="21"/>
      <c r="U87" s="33" t="s">
        <v>289</v>
      </c>
      <c r="V87" s="9"/>
      <c r="W87" s="9"/>
      <c r="X87" s="21"/>
    </row>
    <row r="88">
      <c r="B88" s="23">
        <v>2.0</v>
      </c>
      <c r="C88" s="24" t="s">
        <v>290</v>
      </c>
      <c r="D88" s="16"/>
      <c r="E88" s="25" t="s">
        <v>57</v>
      </c>
      <c r="F88" s="16"/>
      <c r="G88" s="25" t="s">
        <v>65</v>
      </c>
      <c r="H88" s="16"/>
      <c r="I88" s="25" t="s">
        <v>41</v>
      </c>
      <c r="J88" s="16"/>
      <c r="K88" s="25" t="str">
        <f>long</f>
        <v>Long: 920 ft</v>
      </c>
      <c r="L88" s="16"/>
      <c r="M88" s="25" t="str">
        <f>"Circle, centered on you, with a radius of "&amp;400+Level*40&amp;" ft, 400+40 ft/level"</f>
        <v>Circle, centered on you, with a radius of 920 ft, 400+40 ft/level</v>
      </c>
      <c r="N88" s="16"/>
      <c r="O88" s="25" t="str">
        <f>Level&amp;" minutes
1 minute/level"</f>
        <v>13 minutes
1 minute/level</v>
      </c>
      <c r="P88" s="16"/>
      <c r="Q88" s="25" t="s">
        <v>53</v>
      </c>
      <c r="R88" s="16"/>
      <c r="S88" s="25" t="s">
        <v>54</v>
      </c>
      <c r="T88" s="16"/>
      <c r="U88" s="27" t="s">
        <v>291</v>
      </c>
      <c r="V88" s="3"/>
      <c r="W88" s="3"/>
      <c r="X88" s="16"/>
    </row>
    <row r="89">
      <c r="B89" s="57">
        <v>2.0</v>
      </c>
      <c r="C89" s="30" t="s">
        <v>292</v>
      </c>
      <c r="D89" s="21"/>
      <c r="E89" s="31" t="s">
        <v>57</v>
      </c>
      <c r="F89" s="21"/>
      <c r="G89" s="31" t="s">
        <v>40</v>
      </c>
      <c r="H89" s="21"/>
      <c r="I89" s="31" t="s">
        <v>41</v>
      </c>
      <c r="J89" s="21"/>
      <c r="K89" s="31" t="s">
        <v>66</v>
      </c>
      <c r="L89" s="21"/>
      <c r="M89" s="31" t="s">
        <v>67</v>
      </c>
      <c r="N89" s="21"/>
      <c r="O89" s="31" t="str">
        <f>Level*10&amp;" minutes (D)
10 minutes/level"</f>
        <v>130 minutes (D)
10 minutes/level</v>
      </c>
      <c r="P89" s="21"/>
      <c r="Q89" s="31" t="s">
        <v>68</v>
      </c>
      <c r="R89" s="21"/>
      <c r="S89" s="31" t="s">
        <v>68</v>
      </c>
      <c r="T89" s="21"/>
      <c r="U89" s="33" t="s">
        <v>293</v>
      </c>
      <c r="V89" s="9"/>
      <c r="W89" s="9"/>
      <c r="X89" s="21"/>
    </row>
    <row r="90">
      <c r="B90" s="23">
        <v>2.0</v>
      </c>
      <c r="C90" s="59" t="s">
        <v>294</v>
      </c>
      <c r="D90" s="16"/>
      <c r="E90" s="26" t="s">
        <v>71</v>
      </c>
      <c r="F90" s="16"/>
      <c r="G90" s="26" t="s">
        <v>40</v>
      </c>
      <c r="H90" s="16"/>
      <c r="I90" s="26" t="s">
        <v>41</v>
      </c>
      <c r="J90" s="16"/>
      <c r="K90" s="25" t="str">
        <f>medium</f>
        <v>Medium: 230 ft</v>
      </c>
      <c r="L90" s="16"/>
      <c r="M90" s="26" t="s">
        <v>295</v>
      </c>
      <c r="N90" s="16"/>
      <c r="O90" s="26" t="s">
        <v>73</v>
      </c>
      <c r="P90" s="16"/>
      <c r="Q90" s="26" t="s">
        <v>74</v>
      </c>
      <c r="R90" s="16"/>
      <c r="S90" s="26" t="s">
        <v>75</v>
      </c>
      <c r="T90" s="16"/>
      <c r="U90" s="60" t="s">
        <v>296</v>
      </c>
      <c r="V90" s="3"/>
      <c r="W90" s="3"/>
      <c r="X90" s="16"/>
    </row>
    <row r="91">
      <c r="B91" s="57">
        <v>2.0</v>
      </c>
      <c r="C91" s="30" t="s">
        <v>297</v>
      </c>
      <c r="D91" s="21"/>
      <c r="E91" s="32" t="s">
        <v>71</v>
      </c>
      <c r="F91" s="21"/>
      <c r="G91" s="31" t="s">
        <v>40</v>
      </c>
      <c r="H91" s="21"/>
      <c r="I91" s="31" t="s">
        <v>41</v>
      </c>
      <c r="J91" s="21"/>
      <c r="K91" s="31" t="str">
        <f>close</f>
        <v>Close: 55 ft</v>
      </c>
      <c r="L91" s="21"/>
      <c r="M91" s="31" t="s">
        <v>298</v>
      </c>
      <c r="N91" s="21"/>
      <c r="O91" s="31" t="str">
        <f>Level&amp;" rounds
1 round/level"</f>
        <v>13 rounds
1 round/level</v>
      </c>
      <c r="P91" s="21"/>
      <c r="Q91" s="31" t="s">
        <v>74</v>
      </c>
      <c r="R91" s="21"/>
      <c r="S91" s="31" t="s">
        <v>75</v>
      </c>
      <c r="T91" s="21"/>
      <c r="U91" s="33" t="str">
        <f>"Subject loses action for "&amp;Level&amp;" rounds, 1 round/level"</f>
        <v>Subject loses action for 13 rounds, 1 round/level</v>
      </c>
      <c r="V91" s="9"/>
      <c r="W91" s="9"/>
      <c r="X91" s="21"/>
    </row>
    <row r="92">
      <c r="B92" s="23">
        <v>2.0</v>
      </c>
      <c r="C92" s="59" t="s">
        <v>299</v>
      </c>
      <c r="D92" s="16"/>
      <c r="E92" s="26" t="s">
        <v>71</v>
      </c>
      <c r="F92" s="16"/>
      <c r="G92" s="26" t="s">
        <v>50</v>
      </c>
      <c r="H92" s="16"/>
      <c r="I92" s="25" t="s">
        <v>41</v>
      </c>
      <c r="J92" s="16"/>
      <c r="K92" s="26" t="s">
        <v>42</v>
      </c>
      <c r="L92" s="16"/>
      <c r="M92" s="26" t="s">
        <v>300</v>
      </c>
      <c r="N92" s="16"/>
      <c r="O92" s="25" t="str">
        <f>Level*10&amp;" minutes
10 minutes/level"</f>
        <v>130 minutes
10 minutes/level</v>
      </c>
      <c r="P92" s="16"/>
      <c r="Q92" s="26" t="s">
        <v>53</v>
      </c>
      <c r="R92" s="16"/>
      <c r="S92" s="25" t="s">
        <v>75</v>
      </c>
      <c r="T92" s="16"/>
      <c r="U92" s="60" t="s">
        <v>301</v>
      </c>
      <c r="V92" s="3"/>
      <c r="W92" s="3"/>
      <c r="X92" s="16"/>
    </row>
    <row r="93">
      <c r="B93" s="57">
        <v>2.0</v>
      </c>
      <c r="C93" s="58" t="s">
        <v>302</v>
      </c>
      <c r="D93" s="21"/>
      <c r="E93" s="32" t="s">
        <v>78</v>
      </c>
      <c r="F93" s="21"/>
      <c r="G93" s="32" t="s">
        <v>303</v>
      </c>
      <c r="H93" s="21"/>
      <c r="I93" s="31" t="s">
        <v>41</v>
      </c>
      <c r="J93" s="21"/>
      <c r="K93" s="31" t="s">
        <v>42</v>
      </c>
      <c r="L93" s="21"/>
      <c r="M93" s="32" t="s">
        <v>304</v>
      </c>
      <c r="N93" s="21"/>
      <c r="O93" s="32" t="s">
        <v>129</v>
      </c>
      <c r="P93" s="21"/>
      <c r="Q93" s="31" t="s">
        <v>53</v>
      </c>
      <c r="R93" s="21"/>
      <c r="S93" s="31" t="s">
        <v>54</v>
      </c>
      <c r="T93" s="21"/>
      <c r="U93" s="53" t="s">
        <v>305</v>
      </c>
      <c r="V93" s="9"/>
      <c r="W93" s="9"/>
      <c r="X93" s="21"/>
    </row>
    <row r="94">
      <c r="B94" s="23">
        <v>2.0</v>
      </c>
      <c r="C94" s="24" t="s">
        <v>306</v>
      </c>
      <c r="D94" s="16"/>
      <c r="E94" s="26" t="s">
        <v>307</v>
      </c>
      <c r="F94" s="16"/>
      <c r="G94" s="25" t="s">
        <v>88</v>
      </c>
      <c r="H94" s="16"/>
      <c r="I94" s="25" t="s">
        <v>41</v>
      </c>
      <c r="J94" s="16"/>
      <c r="K94" s="25" t="s">
        <v>42</v>
      </c>
      <c r="L94" s="16"/>
      <c r="M94" s="25" t="s">
        <v>308</v>
      </c>
      <c r="N94" s="16"/>
      <c r="O94" s="25" t="str">
        <f>Level*10&amp;" minutes (D)
10 minutes/level"</f>
        <v>130 minutes (D)
10 minutes/level</v>
      </c>
      <c r="P94" s="16"/>
      <c r="Q94" s="25" t="s">
        <v>53</v>
      </c>
      <c r="R94" s="16"/>
      <c r="S94" s="25" t="s">
        <v>54</v>
      </c>
      <c r="T94" s="16"/>
      <c r="U94" s="27" t="s">
        <v>309</v>
      </c>
      <c r="V94" s="3"/>
      <c r="W94" s="3"/>
      <c r="X94" s="16"/>
    </row>
    <row r="95">
      <c r="B95" s="57">
        <v>2.0</v>
      </c>
      <c r="C95" s="30" t="s">
        <v>310</v>
      </c>
      <c r="D95" s="21"/>
      <c r="E95" s="32" t="s">
        <v>202</v>
      </c>
      <c r="F95" s="21"/>
      <c r="G95" s="32" t="s">
        <v>40</v>
      </c>
      <c r="H95" s="21"/>
      <c r="I95" s="31" t="s">
        <v>41</v>
      </c>
      <c r="J95" s="21"/>
      <c r="K95" s="31" t="str">
        <f>CONCAT("Medium: ", CONCAT(100+(10*Level), " ft"))</f>
        <v>Medium: 230 ft</v>
      </c>
      <c r="L95" s="21"/>
      <c r="M95" s="31" t="s">
        <v>311</v>
      </c>
      <c r="N95" s="21"/>
      <c r="O95" s="31" t="str">
        <f>CONCAT(Level, " rounds (D)
1 round/level")</f>
        <v>13 rounds (D)
1 round/level</v>
      </c>
      <c r="P95" s="21"/>
      <c r="Q95" s="31" t="s">
        <v>312</v>
      </c>
      <c r="R95" s="21"/>
      <c r="S95" s="31" t="s">
        <v>75</v>
      </c>
      <c r="T95" s="21"/>
      <c r="U95" s="33" t="str">
        <f>CONCAT("Creates rolling ball of fire, 2d6 damage, lasts ",CONCAT(Level," rounds, 1 round/level"))</f>
        <v>Creates rolling ball of fire, 2d6 damage, lasts 13 rounds, 1 round/level</v>
      </c>
      <c r="V95" s="9"/>
      <c r="W95" s="9"/>
      <c r="X95" s="21"/>
    </row>
    <row r="96">
      <c r="B96" s="23">
        <v>2.0</v>
      </c>
      <c r="C96" s="24" t="s">
        <v>313</v>
      </c>
      <c r="D96" s="16"/>
      <c r="E96" s="26" t="s">
        <v>314</v>
      </c>
      <c r="F96" s="16"/>
      <c r="G96" s="25" t="s">
        <v>50</v>
      </c>
      <c r="H96" s="16"/>
      <c r="I96" s="25" t="s">
        <v>41</v>
      </c>
      <c r="J96" s="16"/>
      <c r="K96" s="25" t="s">
        <v>58</v>
      </c>
      <c r="L96" s="16"/>
      <c r="M96" s="25" t="s">
        <v>315</v>
      </c>
      <c r="N96" s="16"/>
      <c r="O96" s="25" t="s">
        <v>73</v>
      </c>
      <c r="P96" s="16"/>
      <c r="Q96" s="25" t="s">
        <v>85</v>
      </c>
      <c r="R96" s="16"/>
      <c r="S96" s="25" t="s">
        <v>75</v>
      </c>
      <c r="T96" s="16"/>
      <c r="U96" s="27" t="s">
        <v>316</v>
      </c>
      <c r="V96" s="3"/>
      <c r="W96" s="3"/>
      <c r="X96" s="16"/>
    </row>
    <row r="97">
      <c r="B97" s="57">
        <v>2.0</v>
      </c>
      <c r="C97" s="58" t="s">
        <v>317</v>
      </c>
      <c r="D97" s="21"/>
      <c r="E97" s="32" t="s">
        <v>202</v>
      </c>
      <c r="F97" s="21"/>
      <c r="G97" s="31" t="s">
        <v>50</v>
      </c>
      <c r="H97" s="21"/>
      <c r="I97" s="31" t="s">
        <v>41</v>
      </c>
      <c r="J97" s="21"/>
      <c r="K97" s="31" t="str">
        <f>close</f>
        <v>Close: 55 ft</v>
      </c>
      <c r="L97" s="21"/>
      <c r="M97" s="32" t="s">
        <v>318</v>
      </c>
      <c r="N97" s="21"/>
      <c r="O97" s="32" t="s">
        <v>52</v>
      </c>
      <c r="P97" s="21"/>
      <c r="Q97" s="32" t="s">
        <v>53</v>
      </c>
      <c r="R97" s="21"/>
      <c r="S97" s="31" t="s">
        <v>75</v>
      </c>
      <c r="T97" s="21"/>
      <c r="U97" s="33" t="str">
        <f>"Ranged touch attack deals 4d6 fire damage, "&amp;MIN(MAX(FLOOR((Level-3)/4,1)+1,1),3)&amp;" rays, 1 ray/four levels (max 3)"</f>
        <v>Ranged touch attack deals 4d6 fire damage, 3 rays, 1 ray/four levels (max 3)</v>
      </c>
      <c r="V97" s="9"/>
      <c r="W97" s="9"/>
      <c r="X97" s="21"/>
    </row>
    <row r="98">
      <c r="B98" s="23">
        <v>2.0</v>
      </c>
      <c r="C98" s="24" t="s">
        <v>319</v>
      </c>
      <c r="D98" s="16"/>
      <c r="E98" s="26" t="s">
        <v>320</v>
      </c>
      <c r="F98" s="16"/>
      <c r="G98" s="25" t="s">
        <v>40</v>
      </c>
      <c r="H98" s="16"/>
      <c r="I98" s="25" t="s">
        <v>41</v>
      </c>
      <c r="J98" s="16"/>
      <c r="K98" s="25" t="str">
        <f>close</f>
        <v>Close: 55 ft</v>
      </c>
      <c r="L98" s="16"/>
      <c r="M98" s="25" t="s">
        <v>321</v>
      </c>
      <c r="N98" s="16"/>
      <c r="O98" s="25" t="s">
        <v>52</v>
      </c>
      <c r="P98" s="16"/>
      <c r="Q98" s="25" t="s">
        <v>322</v>
      </c>
      <c r="R98" s="16"/>
      <c r="S98" s="25" t="s">
        <v>123</v>
      </c>
      <c r="T98" s="16"/>
      <c r="U98" s="27" t="s">
        <v>323</v>
      </c>
      <c r="V98" s="3"/>
      <c r="W98" s="3"/>
      <c r="X98" s="16"/>
    </row>
    <row r="99">
      <c r="B99" s="57">
        <v>2.0</v>
      </c>
      <c r="C99" s="30" t="s">
        <v>324</v>
      </c>
      <c r="D99" s="21"/>
      <c r="E99" s="32" t="s">
        <v>217</v>
      </c>
      <c r="F99" s="21"/>
      <c r="G99" s="31" t="s">
        <v>83</v>
      </c>
      <c r="H99" s="21"/>
      <c r="I99" s="31" t="s">
        <v>41</v>
      </c>
      <c r="J99" s="21"/>
      <c r="K99" s="31" t="s">
        <v>42</v>
      </c>
      <c r="L99" s="21"/>
      <c r="M99" s="31" t="s">
        <v>104</v>
      </c>
      <c r="N99" s="21"/>
      <c r="O99" s="31" t="str">
        <f>Level&amp;" minutes (D)
1 minute/level"</f>
        <v>13 minutes (D)
1 minute/level</v>
      </c>
      <c r="P99" s="21"/>
      <c r="Q99" s="31" t="s">
        <v>45</v>
      </c>
      <c r="R99" s="21"/>
      <c r="S99" s="31" t="s">
        <v>46</v>
      </c>
      <c r="T99" s="21"/>
      <c r="U99" s="33" t="s">
        <v>325</v>
      </c>
      <c r="V99" s="9"/>
      <c r="W99" s="9"/>
      <c r="X99" s="21"/>
    </row>
    <row r="100">
      <c r="B100" s="23">
        <v>2.0</v>
      </c>
      <c r="C100" s="24" t="s">
        <v>326</v>
      </c>
      <c r="D100" s="16"/>
      <c r="E100" s="26" t="s">
        <v>213</v>
      </c>
      <c r="F100" s="16"/>
      <c r="G100" s="26" t="s">
        <v>327</v>
      </c>
      <c r="H100" s="16"/>
      <c r="I100" s="25" t="s">
        <v>41</v>
      </c>
      <c r="J100" s="16"/>
      <c r="K100" s="25" t="str">
        <f>medium</f>
        <v>Medium: 230 ft</v>
      </c>
      <c r="L100" s="16"/>
      <c r="M100" s="25" t="s">
        <v>328</v>
      </c>
      <c r="N100" s="16"/>
      <c r="O100" s="25" t="s">
        <v>329</v>
      </c>
      <c r="P100" s="16"/>
      <c r="Q100" s="25" t="s">
        <v>74</v>
      </c>
      <c r="R100" s="16"/>
      <c r="S100" s="25" t="s">
        <v>75</v>
      </c>
      <c r="T100" s="16"/>
      <c r="U100" s="27" t="str">
        <f>"Fascinates (2d4+"&amp;Level&amp;") HD of creatures, +1 HD/level"</f>
        <v>Fascinates (2d4+13) HD of creatures, +1 HD/level</v>
      </c>
      <c r="V100" s="3"/>
      <c r="W100" s="3"/>
      <c r="X100" s="16"/>
    </row>
    <row r="101">
      <c r="B101" s="57">
        <v>2.0</v>
      </c>
      <c r="C101" s="30" t="s">
        <v>330</v>
      </c>
      <c r="D101" s="21"/>
      <c r="E101" s="32" t="s">
        <v>217</v>
      </c>
      <c r="F101" s="21"/>
      <c r="G101" s="31" t="s">
        <v>40</v>
      </c>
      <c r="H101" s="21"/>
      <c r="I101" s="31" t="s">
        <v>41</v>
      </c>
      <c r="J101" s="21"/>
      <c r="K101" s="31" t="s">
        <v>331</v>
      </c>
      <c r="L101" s="21"/>
      <c r="M101" s="31" t="str">
        <f>"You or a creature or object weighing no more than "&amp;Level*100&amp;" lbs, 100 lbs/level"</f>
        <v>You or a creature or object weighing no more than 1300 lbs, 100 lbs/level</v>
      </c>
      <c r="N101" s="21"/>
      <c r="O101" s="31" t="str">
        <f>Level&amp;" minutes (D)
1 minute/level"</f>
        <v>13 minutes (D)
1 minute/level</v>
      </c>
      <c r="P101" s="21"/>
      <c r="Q101" s="31" t="s">
        <v>332</v>
      </c>
      <c r="R101" s="21"/>
      <c r="S101" s="31" t="s">
        <v>333</v>
      </c>
      <c r="T101" s="21"/>
      <c r="U101" s="33" t="str">
        <f>"Subject is invisible for "&amp;Level&amp;" minutes, 1 minute/level, or until it attacks"</f>
        <v>Subject is invisible for 13 minutes, 1 minute/level, or until it attacks</v>
      </c>
      <c r="V101" s="9"/>
      <c r="W101" s="9"/>
      <c r="X101" s="21"/>
    </row>
    <row r="102">
      <c r="B102" s="23">
        <v>2.0</v>
      </c>
      <c r="C102" s="24" t="s">
        <v>334</v>
      </c>
      <c r="D102" s="16"/>
      <c r="E102" s="26" t="s">
        <v>217</v>
      </c>
      <c r="F102" s="16"/>
      <c r="G102" s="25" t="s">
        <v>335</v>
      </c>
      <c r="H102" s="16"/>
      <c r="I102" s="25" t="s">
        <v>41</v>
      </c>
      <c r="J102" s="16"/>
      <c r="K102" s="25" t="str">
        <f>close</f>
        <v>Close: 55 ft</v>
      </c>
      <c r="L102" s="16"/>
      <c r="M102" s="25" t="s">
        <v>336</v>
      </c>
      <c r="N102" s="16"/>
      <c r="O102" s="25" t="s">
        <v>337</v>
      </c>
      <c r="P102" s="16"/>
      <c r="Q102" s="25" t="s">
        <v>122</v>
      </c>
      <c r="R102" s="16"/>
      <c r="S102" s="25" t="s">
        <v>123</v>
      </c>
      <c r="T102" s="16"/>
      <c r="U102" s="27" t="s">
        <v>338</v>
      </c>
      <c r="V102" s="3"/>
      <c r="W102" s="3"/>
      <c r="X102" s="16"/>
    </row>
    <row r="103">
      <c r="B103" s="57">
        <v>2.0</v>
      </c>
      <c r="C103" s="30" t="s">
        <v>339</v>
      </c>
      <c r="D103" s="21"/>
      <c r="E103" s="32" t="s">
        <v>96</v>
      </c>
      <c r="F103" s="21"/>
      <c r="G103" s="31" t="s">
        <v>65</v>
      </c>
      <c r="H103" s="21"/>
      <c r="I103" s="31" t="s">
        <v>41</v>
      </c>
      <c r="J103" s="21"/>
      <c r="K103" s="31" t="str">
        <f>long</f>
        <v>Long: 920 ft</v>
      </c>
      <c r="L103" s="21"/>
      <c r="M103" s="31" t="str">
        <f>"Visual figment that cannot extend beyond "&amp;4+Level&amp;" ten ft cubes, 4 ten ft. cubes + 1 ten ft. cube/level"</f>
        <v>Visual figment that cannot extend beyond 17 ten ft cubes, 4 ten ft. cubes + 1 ten ft. cube/level</v>
      </c>
      <c r="N103" s="21"/>
      <c r="O103" s="31" t="s">
        <v>329</v>
      </c>
      <c r="P103" s="21"/>
      <c r="Q103" s="31" t="s">
        <v>98</v>
      </c>
      <c r="R103" s="21"/>
      <c r="S103" s="31" t="s">
        <v>54</v>
      </c>
      <c r="T103" s="21"/>
      <c r="U103" s="33" t="s">
        <v>340</v>
      </c>
      <c r="V103" s="9"/>
      <c r="W103" s="9"/>
      <c r="X103" s="21"/>
    </row>
    <row r="104">
      <c r="B104" s="23">
        <v>2.0</v>
      </c>
      <c r="C104" s="24" t="s">
        <v>341</v>
      </c>
      <c r="D104" s="16"/>
      <c r="E104" s="26" t="s">
        <v>96</v>
      </c>
      <c r="F104" s="16"/>
      <c r="G104" s="25" t="s">
        <v>50</v>
      </c>
      <c r="H104" s="16"/>
      <c r="I104" s="25" t="s">
        <v>41</v>
      </c>
      <c r="J104" s="16"/>
      <c r="K104" s="25" t="s">
        <v>342</v>
      </c>
      <c r="L104" s="16"/>
      <c r="M104" s="25" t="s">
        <v>67</v>
      </c>
      <c r="N104" s="16"/>
      <c r="O104" s="25" t="str">
        <f>Level&amp;" minutes (D)
1 minute/level"</f>
        <v>13 minutes (D)
1 minute/level</v>
      </c>
      <c r="P104" s="16"/>
      <c r="Q104" s="25" t="s">
        <v>68</v>
      </c>
      <c r="R104" s="16"/>
      <c r="S104" s="25" t="s">
        <v>68</v>
      </c>
      <c r="T104" s="16"/>
      <c r="U104" s="27" t="str">
        <f>"Creates decoy duplicates of you (1d4+"&amp;MAX(FLOOR(Level/3,1),1)&amp;",+1 per three levels, max 8)"</f>
        <v>Creates decoy duplicates of you (1d4+4,+1 per three levels, max 8)</v>
      </c>
      <c r="V104" s="3"/>
      <c r="W104" s="3"/>
      <c r="X104" s="16"/>
    </row>
    <row r="105">
      <c r="B105" s="57">
        <v>2.0</v>
      </c>
      <c r="C105" s="30" t="s">
        <v>343</v>
      </c>
      <c r="D105" s="21"/>
      <c r="E105" s="32" t="s">
        <v>217</v>
      </c>
      <c r="F105" s="21"/>
      <c r="G105" s="31" t="s">
        <v>50</v>
      </c>
      <c r="H105" s="21"/>
      <c r="I105" s="31" t="s">
        <v>41</v>
      </c>
      <c r="J105" s="21"/>
      <c r="K105" s="31" t="str">
        <f>close</f>
        <v>Close: 55 ft</v>
      </c>
      <c r="L105" s="21"/>
      <c r="M105" s="31" t="s">
        <v>344</v>
      </c>
      <c r="N105" s="21"/>
      <c r="O105" s="31" t="str">
        <f>Level&amp;" hours
1 hour/level"</f>
        <v>13 hours
1 hour/level</v>
      </c>
      <c r="P105" s="21"/>
      <c r="Q105" s="31" t="s">
        <v>345</v>
      </c>
      <c r="R105" s="21"/>
      <c r="S105" s="31" t="s">
        <v>54</v>
      </c>
      <c r="T105" s="21"/>
      <c r="U105" s="33" t="s">
        <v>346</v>
      </c>
      <c r="V105" s="9"/>
      <c r="W105" s="9"/>
      <c r="X105" s="21"/>
    </row>
    <row r="106">
      <c r="B106" s="23">
        <v>2.0</v>
      </c>
      <c r="C106" s="59" t="s">
        <v>347</v>
      </c>
      <c r="D106" s="16"/>
      <c r="E106" s="26" t="s">
        <v>217</v>
      </c>
      <c r="F106" s="16"/>
      <c r="G106" s="26" t="s">
        <v>303</v>
      </c>
      <c r="H106" s="16"/>
      <c r="I106" s="25" t="s">
        <v>41</v>
      </c>
      <c r="J106" s="16"/>
      <c r="K106" s="26" t="s">
        <v>42</v>
      </c>
      <c r="L106" s="16"/>
      <c r="M106" s="26" t="s">
        <v>308</v>
      </c>
      <c r="N106" s="16"/>
      <c r="O106" s="26" t="s">
        <v>129</v>
      </c>
      <c r="P106" s="16"/>
      <c r="Q106" s="26" t="s">
        <v>53</v>
      </c>
      <c r="R106" s="16"/>
      <c r="S106" s="25" t="s">
        <v>54</v>
      </c>
      <c r="T106" s="16"/>
      <c r="U106" s="60" t="s">
        <v>348</v>
      </c>
      <c r="V106" s="3"/>
      <c r="W106" s="3"/>
      <c r="X106" s="16"/>
    </row>
    <row r="107">
      <c r="B107" s="57">
        <v>2.0</v>
      </c>
      <c r="C107" s="30" t="s">
        <v>349</v>
      </c>
      <c r="D107" s="21"/>
      <c r="E107" s="31" t="s">
        <v>101</v>
      </c>
      <c r="F107" s="21"/>
      <c r="G107" s="31" t="s">
        <v>83</v>
      </c>
      <c r="H107" s="21"/>
      <c r="I107" s="31" t="s">
        <v>41</v>
      </c>
      <c r="J107" s="21"/>
      <c r="K107" s="31" t="str">
        <f>medium</f>
        <v>Medium: 230 ft</v>
      </c>
      <c r="L107" s="21"/>
      <c r="M107" s="31" t="s">
        <v>350</v>
      </c>
      <c r="N107" s="21"/>
      <c r="O107" s="31" t="s">
        <v>351</v>
      </c>
      <c r="P107" s="21"/>
      <c r="Q107" s="31" t="s">
        <v>85</v>
      </c>
      <c r="R107" s="21"/>
      <c r="S107" s="31" t="s">
        <v>75</v>
      </c>
      <c r="T107" s="21"/>
      <c r="U107" s="33" t="s">
        <v>352</v>
      </c>
      <c r="V107" s="9"/>
      <c r="W107" s="9"/>
      <c r="X107" s="21"/>
    </row>
    <row r="108">
      <c r="B108" s="23">
        <v>2.0</v>
      </c>
      <c r="C108" s="59" t="s">
        <v>353</v>
      </c>
      <c r="D108" s="16"/>
      <c r="E108" s="25" t="s">
        <v>101</v>
      </c>
      <c r="F108" s="16"/>
      <c r="G108" s="26" t="s">
        <v>40</v>
      </c>
      <c r="H108" s="16"/>
      <c r="I108" s="25" t="s">
        <v>41</v>
      </c>
      <c r="J108" s="16"/>
      <c r="K108" s="25" t="str">
        <f>close</f>
        <v>Close: 55 ft</v>
      </c>
      <c r="L108" s="16"/>
      <c r="M108" s="26" t="s">
        <v>354</v>
      </c>
      <c r="N108" s="16"/>
      <c r="O108" s="25" t="str">
        <f>Level&amp;" days
1 day/level"</f>
        <v>13 days
1 day/level</v>
      </c>
      <c r="P108" s="16"/>
      <c r="Q108" s="26" t="s">
        <v>288</v>
      </c>
      <c r="R108" s="16"/>
      <c r="S108" s="25" t="s">
        <v>75</v>
      </c>
      <c r="T108" s="16"/>
      <c r="U108" s="60" t="s">
        <v>355</v>
      </c>
      <c r="V108" s="3"/>
      <c r="W108" s="3"/>
      <c r="X108" s="16"/>
    </row>
    <row r="109">
      <c r="B109" s="57">
        <v>2.0</v>
      </c>
      <c r="C109" s="58" t="s">
        <v>356</v>
      </c>
      <c r="D109" s="21"/>
      <c r="E109" s="31" t="s">
        <v>101</v>
      </c>
      <c r="F109" s="21"/>
      <c r="G109" s="32" t="s">
        <v>40</v>
      </c>
      <c r="H109" s="21"/>
      <c r="I109" s="31" t="s">
        <v>41</v>
      </c>
      <c r="J109" s="21"/>
      <c r="K109" s="32" t="s">
        <v>66</v>
      </c>
      <c r="L109" s="21"/>
      <c r="M109" s="32" t="s">
        <v>67</v>
      </c>
      <c r="N109" s="21"/>
      <c r="O109" s="31" t="str">
        <f>Level&amp;" hours or until discharged, see text
1 hour/level"</f>
        <v>13 hours or until discharged, see text
1 hour/level</v>
      </c>
      <c r="P109" s="21"/>
      <c r="Q109" s="32" t="s">
        <v>68</v>
      </c>
      <c r="R109" s="21"/>
      <c r="S109" s="32" t="s">
        <v>68</v>
      </c>
      <c r="T109" s="21"/>
      <c r="U109" s="53" t="str">
        <f>"Gain 1d10 +"&amp;MIN(Level, 10)&amp;" temporary hp, +1/level, (max +10)"</f>
        <v>Gain 1d10 +10 temporary hp, +1/level, (max +10)</v>
      </c>
      <c r="V109" s="9"/>
      <c r="W109" s="9"/>
      <c r="X109" s="21"/>
    </row>
    <row r="110">
      <c r="B110" s="23">
        <v>2.0</v>
      </c>
      <c r="C110" s="59" t="s">
        <v>357</v>
      </c>
      <c r="D110" s="16"/>
      <c r="E110" s="25" t="s">
        <v>101</v>
      </c>
      <c r="F110" s="16"/>
      <c r="G110" s="26" t="s">
        <v>40</v>
      </c>
      <c r="H110" s="16"/>
      <c r="I110" s="25" t="s">
        <v>41</v>
      </c>
      <c r="J110" s="16"/>
      <c r="K110" s="26" t="s">
        <v>42</v>
      </c>
      <c r="L110" s="16"/>
      <c r="M110" s="26" t="s">
        <v>358</v>
      </c>
      <c r="N110" s="16"/>
      <c r="O110" s="26" t="s">
        <v>359</v>
      </c>
      <c r="P110" s="16"/>
      <c r="Q110" s="26" t="s">
        <v>85</v>
      </c>
      <c r="R110" s="16"/>
      <c r="S110" s="26" t="s">
        <v>75</v>
      </c>
      <c r="T110" s="16"/>
      <c r="U110" s="60" t="s">
        <v>360</v>
      </c>
      <c r="V110" s="3"/>
      <c r="W110" s="3"/>
      <c r="X110" s="16"/>
    </row>
    <row r="111">
      <c r="B111" s="57">
        <v>2.0</v>
      </c>
      <c r="C111" s="30" t="s">
        <v>361</v>
      </c>
      <c r="D111" s="21"/>
      <c r="E111" s="32" t="s">
        <v>227</v>
      </c>
      <c r="F111" s="21"/>
      <c r="G111" s="31" t="s">
        <v>40</v>
      </c>
      <c r="H111" s="21"/>
      <c r="I111" s="31" t="s">
        <v>41</v>
      </c>
      <c r="J111" s="21"/>
      <c r="K111" s="31" t="str">
        <f>medium</f>
        <v>Medium: 230 ft</v>
      </c>
      <c r="L111" s="21"/>
      <c r="M111" s="31" t="str">
        <f>FLOOR(Level/3,1)&amp;" creatures, 1 creature per 3 levels, no two of which may be more than 30 ft apart"</f>
        <v>4 creatures, 1 creature per 3 levels, no two of which may be more than 30 ft apart</v>
      </c>
      <c r="N111" s="21"/>
      <c r="O111" s="31" t="str">
        <f>Level&amp;" rounds (D)
1 round/level or 1 round, see text for Cause Fear"</f>
        <v>13 rounds (D)
1 round/level or 1 round, see text for Cause Fear</v>
      </c>
      <c r="P111" s="21"/>
      <c r="Q111" s="31" t="s">
        <v>230</v>
      </c>
      <c r="R111" s="21"/>
      <c r="S111" s="31" t="s">
        <v>75</v>
      </c>
      <c r="T111" s="21"/>
      <c r="U111" s="33" t="s">
        <v>362</v>
      </c>
      <c r="V111" s="9"/>
      <c r="W111" s="9"/>
      <c r="X111" s="21"/>
    </row>
    <row r="112">
      <c r="B112" s="23">
        <v>2.0</v>
      </c>
      <c r="C112" s="59" t="s">
        <v>363</v>
      </c>
      <c r="D112" s="16"/>
      <c r="E112" s="25" t="s">
        <v>101</v>
      </c>
      <c r="F112" s="16"/>
      <c r="G112" s="26" t="s">
        <v>50</v>
      </c>
      <c r="H112" s="16"/>
      <c r="I112" s="25" t="s">
        <v>41</v>
      </c>
      <c r="J112" s="16"/>
      <c r="K112" s="26" t="str">
        <f>medium</f>
        <v>Medium: 230 ft</v>
      </c>
      <c r="L112" s="16"/>
      <c r="M112" s="26" t="s">
        <v>364</v>
      </c>
      <c r="N112" s="16"/>
      <c r="O112" s="26" t="str">
        <f>Level&amp;" minutes (D)
1 minute/level"</f>
        <v>13 minutes (D)
1 minute/level</v>
      </c>
      <c r="P112" s="16"/>
      <c r="Q112" s="26" t="s">
        <v>53</v>
      </c>
      <c r="R112" s="16"/>
      <c r="S112" s="26" t="s">
        <v>54</v>
      </c>
      <c r="T112" s="16"/>
      <c r="U112" s="60" t="s">
        <v>365</v>
      </c>
      <c r="V112" s="3"/>
      <c r="W112" s="3"/>
      <c r="X112" s="16"/>
    </row>
    <row r="113">
      <c r="B113" s="57">
        <v>2.0</v>
      </c>
      <c r="C113" s="30" t="s">
        <v>366</v>
      </c>
      <c r="D113" s="21"/>
      <c r="E113" s="31" t="s">
        <v>107</v>
      </c>
      <c r="F113" s="21"/>
      <c r="G113" s="31" t="s">
        <v>50</v>
      </c>
      <c r="H113" s="21"/>
      <c r="I113" s="31" t="s">
        <v>41</v>
      </c>
      <c r="J113" s="21"/>
      <c r="K113" s="31" t="s">
        <v>66</v>
      </c>
      <c r="L113" s="21"/>
      <c r="M113" s="31" t="s">
        <v>67</v>
      </c>
      <c r="N113" s="21"/>
      <c r="O113" s="31" t="str">
        <f>Level*10&amp;" minutes (D)
10 minutes/level"</f>
        <v>130 minutes (D)
10 minutes/level</v>
      </c>
      <c r="P113" s="21"/>
      <c r="Q113" s="31" t="s">
        <v>68</v>
      </c>
      <c r="R113" s="21"/>
      <c r="S113" s="31" t="s">
        <v>68</v>
      </c>
      <c r="T113" s="21"/>
      <c r="U113" s="33" t="s">
        <v>367</v>
      </c>
      <c r="V113" s="9"/>
      <c r="W113" s="9"/>
      <c r="X113" s="21"/>
    </row>
    <row r="114">
      <c r="B114" s="23">
        <v>2.0</v>
      </c>
      <c r="C114" s="24" t="s">
        <v>368</v>
      </c>
      <c r="D114" s="16"/>
      <c r="E114" s="25" t="s">
        <v>107</v>
      </c>
      <c r="F114" s="16"/>
      <c r="G114" s="26" t="s">
        <v>50</v>
      </c>
      <c r="H114" s="16"/>
      <c r="I114" s="25" t="s">
        <v>41</v>
      </c>
      <c r="J114" s="16"/>
      <c r="K114" s="25" t="s">
        <v>42</v>
      </c>
      <c r="L114" s="16"/>
      <c r="M114" s="25" t="s">
        <v>104</v>
      </c>
      <c r="N114" s="16"/>
      <c r="O114" s="25" t="str">
        <f>CONCAT(Level, " minutes
1 minute/level")</f>
        <v>13 minutes
1 minute/level</v>
      </c>
      <c r="P114" s="16"/>
      <c r="Q114" s="25" t="s">
        <v>45</v>
      </c>
      <c r="R114" s="16"/>
      <c r="S114" s="25" t="s">
        <v>75</v>
      </c>
      <c r="T114" s="16"/>
      <c r="U114" s="27" t="str">
        <f>CONCAT("Subject gains +4 to Con for ",CONCAT(Level," minutes, 1 minute/level"))</f>
        <v>Subject gains +4 to Con for 13 minutes, 1 minute/level</v>
      </c>
      <c r="V114" s="3"/>
      <c r="W114" s="3"/>
      <c r="X114" s="16"/>
    </row>
    <row r="115">
      <c r="B115" s="57">
        <v>2.0</v>
      </c>
      <c r="C115" s="30" t="s">
        <v>369</v>
      </c>
      <c r="D115" s="21"/>
      <c r="E115" s="31" t="s">
        <v>107</v>
      </c>
      <c r="F115" s="21"/>
      <c r="G115" s="32" t="s">
        <v>40</v>
      </c>
      <c r="H115" s="21"/>
      <c r="I115" s="31" t="s">
        <v>41</v>
      </c>
      <c r="J115" s="21"/>
      <c r="K115" s="31" t="s">
        <v>42</v>
      </c>
      <c r="L115" s="21"/>
      <c r="M115" s="31" t="s">
        <v>104</v>
      </c>
      <c r="N115" s="21"/>
      <c r="O115" s="31" t="str">
        <f>CONCAT(Level, " minutes
1 minute/level")</f>
        <v>13 minutes
1 minute/level</v>
      </c>
      <c r="P115" s="21"/>
      <c r="Q115" s="31" t="s">
        <v>45</v>
      </c>
      <c r="R115" s="21"/>
      <c r="S115" s="31" t="s">
        <v>46</v>
      </c>
      <c r="T115" s="21"/>
      <c r="U115" s="33" t="str">
        <f>CONCAT("Subject gains +4 to Str for ",CONCAT(Level," minutes, 1 minute/level"))</f>
        <v>Subject gains +4 to Str for 13 minutes, 1 minute/level</v>
      </c>
      <c r="V115" s="9"/>
      <c r="W115" s="9"/>
      <c r="X115" s="21"/>
    </row>
    <row r="116">
      <c r="B116" s="23">
        <v>2.0</v>
      </c>
      <c r="C116" s="24" t="s">
        <v>370</v>
      </c>
      <c r="D116" s="16"/>
      <c r="E116" s="25" t="s">
        <v>107</v>
      </c>
      <c r="F116" s="16"/>
      <c r="G116" s="25" t="s">
        <v>40</v>
      </c>
      <c r="H116" s="16"/>
      <c r="I116" s="25" t="s">
        <v>41</v>
      </c>
      <c r="J116" s="16"/>
      <c r="K116" s="25" t="s">
        <v>42</v>
      </c>
      <c r="L116" s="16"/>
      <c r="M116" s="25" t="s">
        <v>104</v>
      </c>
      <c r="N116" s="16"/>
      <c r="O116" s="25" t="str">
        <f>CONCAT(Level, " minutes
1 minute/level")</f>
        <v>13 minutes
1 minute/level</v>
      </c>
      <c r="P116" s="16"/>
      <c r="Q116" s="25" t="s">
        <v>45</v>
      </c>
      <c r="R116" s="16"/>
      <c r="S116" s="25" t="s">
        <v>371</v>
      </c>
      <c r="T116" s="16"/>
      <c r="U116" s="27" t="str">
        <f>CONCAT("Subject gains +4 to Dex for ",CONCAT(Level," minutes, 1 minute/level"))</f>
        <v>Subject gains +4 to Dex for 13 minutes, 1 minute/level</v>
      </c>
      <c r="V116" s="3"/>
      <c r="W116" s="3"/>
      <c r="X116" s="16"/>
    </row>
    <row r="117">
      <c r="B117" s="57">
        <v>2.0</v>
      </c>
      <c r="C117" s="58" t="s">
        <v>372</v>
      </c>
      <c r="D117" s="21"/>
      <c r="E117" s="31" t="s">
        <v>107</v>
      </c>
      <c r="F117" s="21"/>
      <c r="G117" s="32" t="s">
        <v>40</v>
      </c>
      <c r="H117" s="21"/>
      <c r="I117" s="31" t="s">
        <v>41</v>
      </c>
      <c r="J117" s="21"/>
      <c r="K117" s="31" t="s">
        <v>42</v>
      </c>
      <c r="L117" s="21"/>
      <c r="M117" s="31" t="s">
        <v>104</v>
      </c>
      <c r="N117" s="21"/>
      <c r="O117" s="31" t="str">
        <f>Level&amp;" hours
1 hour/level"</f>
        <v>13 hours
1 hour/level</v>
      </c>
      <c r="P117" s="21"/>
      <c r="Q117" s="31" t="s">
        <v>45</v>
      </c>
      <c r="R117" s="21"/>
      <c r="S117" s="31" t="s">
        <v>46</v>
      </c>
      <c r="T117" s="21"/>
      <c r="U117" s="53" t="s">
        <v>373</v>
      </c>
      <c r="V117" s="9"/>
      <c r="W117" s="9"/>
      <c r="X117" s="21"/>
    </row>
    <row r="118">
      <c r="B118" s="23">
        <v>2.0</v>
      </c>
      <c r="C118" s="24" t="s">
        <v>374</v>
      </c>
      <c r="D118" s="16"/>
      <c r="E118" s="25" t="s">
        <v>107</v>
      </c>
      <c r="F118" s="16"/>
      <c r="G118" s="25" t="s">
        <v>40</v>
      </c>
      <c r="H118" s="16"/>
      <c r="I118" s="25" t="s">
        <v>41</v>
      </c>
      <c r="J118" s="16"/>
      <c r="K118" s="25" t="s">
        <v>42</v>
      </c>
      <c r="L118" s="16"/>
      <c r="M118" s="25" t="s">
        <v>104</v>
      </c>
      <c r="N118" s="16"/>
      <c r="O118" s="25" t="str">
        <f>Level&amp;" minutes
1 minute/level"</f>
        <v>13 minutes
1 minute/level</v>
      </c>
      <c r="P118" s="16"/>
      <c r="Q118" s="25" t="s">
        <v>45</v>
      </c>
      <c r="R118" s="16"/>
      <c r="S118" s="25" t="s">
        <v>371</v>
      </c>
      <c r="T118" s="16"/>
      <c r="U118" s="27" t="str">
        <f>"Subject gains +4 to Cha for "&amp;Level&amp;" minutes, 1 minute/level"</f>
        <v>Subject gains +4 to Cha for 13 minutes, 1 minute/level</v>
      </c>
      <c r="V118" s="3"/>
      <c r="W118" s="3"/>
      <c r="X118" s="16"/>
    </row>
    <row r="119">
      <c r="B119" s="57">
        <v>2.0</v>
      </c>
      <c r="C119" s="30" t="s">
        <v>375</v>
      </c>
      <c r="D119" s="21"/>
      <c r="E119" s="31" t="s">
        <v>107</v>
      </c>
      <c r="F119" s="21"/>
      <c r="G119" s="31" t="s">
        <v>40</v>
      </c>
      <c r="H119" s="21"/>
      <c r="I119" s="31" t="s">
        <v>41</v>
      </c>
      <c r="J119" s="21"/>
      <c r="K119" s="31" t="s">
        <v>42</v>
      </c>
      <c r="L119" s="21"/>
      <c r="M119" s="31" t="s">
        <v>104</v>
      </c>
      <c r="N119" s="21"/>
      <c r="O119" s="31" t="str">
        <f>Level&amp;" minutes
1 minute/level"</f>
        <v>13 minutes
1 minute/level</v>
      </c>
      <c r="P119" s="21"/>
      <c r="Q119" s="31" t="s">
        <v>45</v>
      </c>
      <c r="R119" s="21"/>
      <c r="S119" s="31" t="s">
        <v>371</v>
      </c>
      <c r="T119" s="21"/>
      <c r="U119" s="33" t="str">
        <f>"Subject gains +4 to Int for "&amp;Level&amp;" minutes, 1 minute/level"</f>
        <v>Subject gains +4 to Int for 13 minutes, 1 minute/level</v>
      </c>
      <c r="V119" s="9"/>
      <c r="W119" s="9"/>
      <c r="X119" s="21"/>
    </row>
    <row r="120">
      <c r="B120" s="23">
        <v>2.0</v>
      </c>
      <c r="C120" s="59" t="s">
        <v>376</v>
      </c>
      <c r="D120" s="16"/>
      <c r="E120" s="25" t="s">
        <v>107</v>
      </c>
      <c r="F120" s="16"/>
      <c r="G120" s="26" t="s">
        <v>83</v>
      </c>
      <c r="H120" s="16"/>
      <c r="I120" s="25" t="s">
        <v>41</v>
      </c>
      <c r="J120" s="16"/>
      <c r="K120" s="25" t="str">
        <f>medium</f>
        <v>Medium: 230 ft</v>
      </c>
      <c r="L120" s="16"/>
      <c r="M120" s="25" t="str">
        <f>"One door, box, or chest with an area of up to "&amp;Level*10&amp;" sq ft, 10 sq ft/level"</f>
        <v>One door, box, or chest with an area of up to 130 sq ft, 10 sq ft/level</v>
      </c>
      <c r="N120" s="16"/>
      <c r="O120" s="26" t="s">
        <v>214</v>
      </c>
      <c r="P120" s="16"/>
      <c r="Q120" s="26" t="s">
        <v>53</v>
      </c>
      <c r="R120" s="16"/>
      <c r="S120" s="26" t="s">
        <v>54</v>
      </c>
      <c r="T120" s="16"/>
      <c r="U120" s="60" t="s">
        <v>377</v>
      </c>
      <c r="V120" s="3"/>
      <c r="W120" s="3"/>
      <c r="X120" s="16"/>
    </row>
    <row r="121">
      <c r="B121" s="57">
        <v>2.0</v>
      </c>
      <c r="C121" s="58" t="s">
        <v>378</v>
      </c>
      <c r="D121" s="21"/>
      <c r="E121" s="31" t="s">
        <v>107</v>
      </c>
      <c r="F121" s="21"/>
      <c r="G121" s="32" t="s">
        <v>65</v>
      </c>
      <c r="H121" s="21"/>
      <c r="I121" s="31" t="s">
        <v>41</v>
      </c>
      <c r="J121" s="21"/>
      <c r="K121" s="31" t="str">
        <f>"Personal or "&amp;close</f>
        <v>Personal or Close: 55 ft</v>
      </c>
      <c r="L121" s="21"/>
      <c r="M121" s="31" t="str">
        <f>"You or one willing creature or one object (total weight up to "&amp;Level*100&amp;" lbs, 100 lbs/level)"</f>
        <v>You or one willing creature or one object (total weight up to 1300 lbs, 100 lbs/level)</v>
      </c>
      <c r="N121" s="21"/>
      <c r="O121" s="32" t="str">
        <f>Level&amp;" minutes (D)
1 minute/level"</f>
        <v>13 minutes (D)
1 minute/level</v>
      </c>
      <c r="P121" s="21"/>
      <c r="Q121" s="32" t="s">
        <v>53</v>
      </c>
      <c r="R121" s="21"/>
      <c r="S121" s="32" t="s">
        <v>54</v>
      </c>
      <c r="T121" s="21"/>
      <c r="U121" s="53" t="s">
        <v>379</v>
      </c>
      <c r="V121" s="9"/>
      <c r="W121" s="9"/>
      <c r="X121" s="21"/>
    </row>
    <row r="122">
      <c r="B122" s="23">
        <v>2.0</v>
      </c>
      <c r="C122" s="24" t="s">
        <v>380</v>
      </c>
      <c r="D122" s="16"/>
      <c r="E122" s="25" t="s">
        <v>107</v>
      </c>
      <c r="F122" s="16"/>
      <c r="G122" s="26" t="s">
        <v>40</v>
      </c>
      <c r="H122" s="16"/>
      <c r="I122" s="25" t="s">
        <v>41</v>
      </c>
      <c r="J122" s="16"/>
      <c r="K122" s="25" t="s">
        <v>42</v>
      </c>
      <c r="L122" s="16"/>
      <c r="M122" s="25" t="s">
        <v>104</v>
      </c>
      <c r="N122" s="16"/>
      <c r="O122" s="25" t="str">
        <f>CONCAT(Level, " minutes
1 minute/level")</f>
        <v>13 minutes
1 minute/level</v>
      </c>
      <c r="P122" s="16"/>
      <c r="Q122" s="25" t="s">
        <v>45</v>
      </c>
      <c r="R122" s="16"/>
      <c r="S122" s="25" t="s">
        <v>371</v>
      </c>
      <c r="T122" s="16"/>
      <c r="U122" s="27" t="str">
        <f>CONCAT("Subject gains +4 to Wis for ",CONCAT(Level," minutes, 1 minute/level"))</f>
        <v>Subject gains +4 to Wis for 13 minutes, 1 minute/level</v>
      </c>
      <c r="V122" s="3"/>
      <c r="W122" s="3"/>
      <c r="X122" s="16"/>
    </row>
    <row r="123">
      <c r="B123" s="57">
        <v>2.0</v>
      </c>
      <c r="C123" s="30" t="s">
        <v>381</v>
      </c>
      <c r="D123" s="21"/>
      <c r="E123" s="31" t="s">
        <v>107</v>
      </c>
      <c r="F123" s="21"/>
      <c r="G123" s="31" t="s">
        <v>40</v>
      </c>
      <c r="H123" s="21"/>
      <c r="I123" s="31" t="s">
        <v>41</v>
      </c>
      <c r="J123" s="21"/>
      <c r="K123" s="31" t="str">
        <f>long</f>
        <v>Long: 920 ft</v>
      </c>
      <c r="L123" s="21"/>
      <c r="M123" s="31" t="s">
        <v>382</v>
      </c>
      <c r="N123" s="21"/>
      <c r="O123" s="31" t="s">
        <v>383</v>
      </c>
      <c r="P123" s="21"/>
      <c r="Q123" s="31" t="s">
        <v>384</v>
      </c>
      <c r="R123" s="21"/>
      <c r="S123" s="31" t="s">
        <v>385</v>
      </c>
      <c r="T123" s="21"/>
      <c r="U123" s="33" t="s">
        <v>386</v>
      </c>
      <c r="V123" s="9"/>
      <c r="W123" s="9"/>
      <c r="X123" s="21"/>
    </row>
    <row r="124">
      <c r="B124" s="23">
        <v>2.0</v>
      </c>
      <c r="C124" s="59" t="s">
        <v>387</v>
      </c>
      <c r="D124" s="16"/>
      <c r="E124" s="25" t="s">
        <v>107</v>
      </c>
      <c r="F124" s="16"/>
      <c r="G124" s="26" t="s">
        <v>40</v>
      </c>
      <c r="H124" s="16"/>
      <c r="I124" s="25" t="s">
        <v>41</v>
      </c>
      <c r="J124" s="16"/>
      <c r="K124" s="25" t="s">
        <v>42</v>
      </c>
      <c r="L124" s="16"/>
      <c r="M124" s="26" t="s">
        <v>388</v>
      </c>
      <c r="N124" s="16"/>
      <c r="O124" s="25" t="str">
        <f>Level&amp;" hours (D)
1 hour/level"</f>
        <v>13 hours (D)
1 hour/level</v>
      </c>
      <c r="P124" s="16"/>
      <c r="Q124" s="26" t="s">
        <v>53</v>
      </c>
      <c r="R124" s="16"/>
      <c r="S124" s="26" t="s">
        <v>54</v>
      </c>
      <c r="T124" s="16"/>
      <c r="U124" s="60" t="s">
        <v>389</v>
      </c>
      <c r="V124" s="3"/>
      <c r="W124" s="3"/>
      <c r="X124" s="16"/>
    </row>
    <row r="125">
      <c r="B125" s="57">
        <v>2.0</v>
      </c>
      <c r="C125" s="30" t="s">
        <v>390</v>
      </c>
      <c r="D125" s="21"/>
      <c r="E125" s="31" t="s">
        <v>107</v>
      </c>
      <c r="F125" s="21"/>
      <c r="G125" s="31" t="s">
        <v>40</v>
      </c>
      <c r="H125" s="21"/>
      <c r="I125" s="31" t="s">
        <v>41</v>
      </c>
      <c r="J125" s="21"/>
      <c r="K125" s="31" t="s">
        <v>42</v>
      </c>
      <c r="L125" s="21"/>
      <c r="M125" s="31" t="s">
        <v>104</v>
      </c>
      <c r="N125" s="21"/>
      <c r="O125" s="31" t="str">
        <f>CONCAT(Level*10, " minutes
10 minutes/level")</f>
        <v>130 minutes
10 minutes/level</v>
      </c>
      <c r="P125" s="21"/>
      <c r="Q125" s="31" t="s">
        <v>45</v>
      </c>
      <c r="R125" s="21"/>
      <c r="S125" s="31" t="s">
        <v>46</v>
      </c>
      <c r="T125" s="21"/>
      <c r="U125" s="33" t="s">
        <v>391</v>
      </c>
      <c r="V125" s="9"/>
      <c r="W125" s="9"/>
      <c r="X125" s="21"/>
    </row>
    <row r="126">
      <c r="B126" s="23">
        <v>2.0</v>
      </c>
      <c r="C126" s="24" t="s">
        <v>392</v>
      </c>
      <c r="D126" s="16"/>
      <c r="E126" s="26" t="s">
        <v>393</v>
      </c>
      <c r="F126" s="16"/>
      <c r="G126" s="25" t="s">
        <v>50</v>
      </c>
      <c r="H126" s="16"/>
      <c r="I126" s="25" t="s">
        <v>41</v>
      </c>
      <c r="J126" s="16"/>
      <c r="K126" s="25" t="str">
        <f>Level&amp;" miles
1 mile/level"</f>
        <v>13 miles
1 mile/level</v>
      </c>
      <c r="L126" s="16"/>
      <c r="M126" s="25" t="s">
        <v>394</v>
      </c>
      <c r="N126" s="16"/>
      <c r="O126" s="25" t="str">
        <f>"No more than "&amp;Level&amp;" hours, 1 hour/level, or until discharged (destination is reached) "</f>
        <v>No more than 13 hours, 1 hour/level, or until discharged (destination is reached) </v>
      </c>
      <c r="P126" s="16"/>
      <c r="Q126" s="25" t="s">
        <v>53</v>
      </c>
      <c r="R126" s="16"/>
      <c r="S126" s="25" t="s">
        <v>54</v>
      </c>
      <c r="T126" s="16"/>
      <c r="U126" s="27" t="str">
        <f>"Sends a short message "&amp;Level&amp;" miles, 1 mile/level"</f>
        <v>Sends a short message 13 miles, 1 mile/level</v>
      </c>
      <c r="V126" s="3"/>
      <c r="W126" s="3"/>
      <c r="X126" s="16"/>
    </row>
    <row r="127">
      <c r="B127" s="57">
        <v>3.0</v>
      </c>
      <c r="C127" s="30" t="s">
        <v>395</v>
      </c>
      <c r="D127" s="21"/>
      <c r="E127" s="31" t="s">
        <v>39</v>
      </c>
      <c r="F127" s="21"/>
      <c r="G127" s="31" t="s">
        <v>50</v>
      </c>
      <c r="H127" s="21"/>
      <c r="I127" s="31" t="s">
        <v>41</v>
      </c>
      <c r="J127" s="21"/>
      <c r="K127" s="31" t="str">
        <f>CONCAT("Medium: ", CONCAT(100+(10*Level), " ft"))</f>
        <v>Medium: 230 ft</v>
      </c>
      <c r="L127" s="21"/>
      <c r="M127" s="31" t="s">
        <v>396</v>
      </c>
      <c r="N127" s="21"/>
      <c r="O127" s="31" t="s">
        <v>52</v>
      </c>
      <c r="P127" s="21"/>
      <c r="Q127" s="31" t="s">
        <v>53</v>
      </c>
      <c r="R127" s="21"/>
      <c r="S127" s="31" t="s">
        <v>54</v>
      </c>
      <c r="T127" s="21"/>
      <c r="U127" s="33" t="s">
        <v>397</v>
      </c>
      <c r="V127" s="9"/>
      <c r="W127" s="9"/>
      <c r="X127" s="21"/>
    </row>
    <row r="128">
      <c r="B128" s="23">
        <v>3.0</v>
      </c>
      <c r="C128" s="59" t="s">
        <v>398</v>
      </c>
      <c r="D128" s="16"/>
      <c r="E128" s="26" t="s">
        <v>153</v>
      </c>
      <c r="F128" s="16"/>
      <c r="G128" s="25" t="s">
        <v>50</v>
      </c>
      <c r="H128" s="16"/>
      <c r="I128" s="25" t="s">
        <v>41</v>
      </c>
      <c r="J128" s="16"/>
      <c r="K128" s="26" t="s">
        <v>42</v>
      </c>
      <c r="L128" s="16"/>
      <c r="M128" s="26" t="s">
        <v>399</v>
      </c>
      <c r="N128" s="16"/>
      <c r="O128" s="26" t="s">
        <v>400</v>
      </c>
      <c r="P128" s="16"/>
      <c r="Q128" s="26" t="s">
        <v>132</v>
      </c>
      <c r="R128" s="16"/>
      <c r="S128" s="26" t="s">
        <v>75</v>
      </c>
      <c r="T128" s="16"/>
      <c r="U128" s="60" t="s">
        <v>401</v>
      </c>
      <c r="V128" s="3"/>
      <c r="W128" s="3"/>
      <c r="X128" s="16"/>
    </row>
    <row r="129">
      <c r="B129" s="57">
        <v>3.0</v>
      </c>
      <c r="C129" s="58" t="s">
        <v>402</v>
      </c>
      <c r="D129" s="21"/>
      <c r="E129" s="32" t="s">
        <v>143</v>
      </c>
      <c r="F129" s="21"/>
      <c r="G129" s="32" t="s">
        <v>40</v>
      </c>
      <c r="H129" s="21"/>
      <c r="I129" s="31" t="s">
        <v>41</v>
      </c>
      <c r="J129" s="21"/>
      <c r="K129" s="32" t="s">
        <v>42</v>
      </c>
      <c r="L129" s="21"/>
      <c r="M129" s="32" t="s">
        <v>403</v>
      </c>
      <c r="N129" s="21"/>
      <c r="O129" s="32" t="str">
        <f>CONCAT(Level*10, " minutes
10 minutes/level")</f>
        <v>130 minutes
10 minutes/level</v>
      </c>
      <c r="P129" s="21"/>
      <c r="Q129" s="32" t="s">
        <v>45</v>
      </c>
      <c r="R129" s="21"/>
      <c r="S129" s="32" t="s">
        <v>144</v>
      </c>
      <c r="T129" s="21"/>
      <c r="U129" s="53" t="str">
        <f>"As protection spells, but 10 ft radius and "&amp;10*Level&amp;" minutes, 10 minutes/level"</f>
        <v>As protection spells, but 10 ft radius and 130 minutes, 10 minutes/level</v>
      </c>
      <c r="V129" s="9"/>
      <c r="W129" s="9"/>
      <c r="X129" s="21"/>
    </row>
    <row r="130">
      <c r="B130" s="23">
        <v>3.0</v>
      </c>
      <c r="C130" s="59" t="s">
        <v>404</v>
      </c>
      <c r="D130" s="16"/>
      <c r="E130" s="26" t="s">
        <v>147</v>
      </c>
      <c r="F130" s="16"/>
      <c r="G130" s="26" t="s">
        <v>40</v>
      </c>
      <c r="H130" s="16"/>
      <c r="I130" s="25" t="s">
        <v>41</v>
      </c>
      <c r="J130" s="16"/>
      <c r="K130" s="26" t="s">
        <v>42</v>
      </c>
      <c r="L130" s="16"/>
      <c r="M130" s="26" t="s">
        <v>403</v>
      </c>
      <c r="N130" s="16"/>
      <c r="O130" s="26" t="str">
        <f>CONCAT(Level*10, " minutes
10 minutes/level")</f>
        <v>130 minutes
10 minutes/level</v>
      </c>
      <c r="P130" s="16"/>
      <c r="Q130" s="26" t="s">
        <v>45</v>
      </c>
      <c r="R130" s="16"/>
      <c r="S130" s="26" t="s">
        <v>144</v>
      </c>
      <c r="T130" s="16"/>
      <c r="U130" s="60" t="str">
        <f>"As protection spells, but 10 ft radius and "&amp;10*Level&amp;" minutes, 10 minutes/level"</f>
        <v>As protection spells, but 10 ft radius and 130 minutes, 10 minutes/level</v>
      </c>
      <c r="V130" s="3"/>
      <c r="W130" s="3"/>
      <c r="X130" s="16"/>
    </row>
    <row r="131">
      <c r="B131" s="57">
        <v>3.0</v>
      </c>
      <c r="C131" s="58" t="s">
        <v>405</v>
      </c>
      <c r="D131" s="21"/>
      <c r="E131" s="32" t="s">
        <v>149</v>
      </c>
      <c r="F131" s="21"/>
      <c r="G131" s="32" t="s">
        <v>40</v>
      </c>
      <c r="H131" s="21"/>
      <c r="I131" s="31" t="s">
        <v>41</v>
      </c>
      <c r="J131" s="21"/>
      <c r="K131" s="31" t="s">
        <v>42</v>
      </c>
      <c r="L131" s="21"/>
      <c r="M131" s="31" t="s">
        <v>403</v>
      </c>
      <c r="N131" s="21"/>
      <c r="O131" s="31" t="str">
        <f>CONCAT(Level*10, " minutes
10 minutes/level")</f>
        <v>130 minutes
10 minutes/level</v>
      </c>
      <c r="P131" s="21"/>
      <c r="Q131" s="31" t="s">
        <v>45</v>
      </c>
      <c r="R131" s="21"/>
      <c r="S131" s="31" t="s">
        <v>144</v>
      </c>
      <c r="T131" s="21"/>
      <c r="U131" s="33" t="str">
        <f>"As protection spells, but 10 ft radius and "&amp;10*Level&amp;" minutes, 10 minutes/level"</f>
        <v>As protection spells, but 10 ft radius and 130 minutes, 10 minutes/level</v>
      </c>
      <c r="V131" s="9"/>
      <c r="W131" s="9"/>
      <c r="X131" s="21"/>
    </row>
    <row r="132">
      <c r="B132" s="23">
        <v>3.0</v>
      </c>
      <c r="C132" s="59" t="s">
        <v>406</v>
      </c>
      <c r="D132" s="16"/>
      <c r="E132" s="26" t="s">
        <v>151</v>
      </c>
      <c r="F132" s="16"/>
      <c r="G132" s="26" t="s">
        <v>40</v>
      </c>
      <c r="H132" s="16"/>
      <c r="I132" s="25" t="s">
        <v>41</v>
      </c>
      <c r="J132" s="16"/>
      <c r="K132" s="25" t="s">
        <v>42</v>
      </c>
      <c r="L132" s="16"/>
      <c r="M132" s="25" t="s">
        <v>403</v>
      </c>
      <c r="N132" s="16"/>
      <c r="O132" s="25" t="str">
        <f>CONCAT(Level*10, " minutes
10 minutes/level")</f>
        <v>130 minutes
10 minutes/level</v>
      </c>
      <c r="P132" s="16"/>
      <c r="Q132" s="25" t="s">
        <v>45</v>
      </c>
      <c r="R132" s="16"/>
      <c r="S132" s="25" t="s">
        <v>144</v>
      </c>
      <c r="T132" s="16"/>
      <c r="U132" s="27" t="str">
        <f>"As protection spells, but 10 ft radius and "&amp;10*Level&amp;" minutes, 10 minutes/level"</f>
        <v>As protection spells, but 10 ft radius and 130 minutes, 10 minutes/level</v>
      </c>
      <c r="V132" s="3"/>
      <c r="W132" s="3"/>
      <c r="X132" s="16"/>
    </row>
    <row r="133">
      <c r="B133" s="57">
        <v>3.0</v>
      </c>
      <c r="C133" s="58" t="s">
        <v>407</v>
      </c>
      <c r="D133" s="21"/>
      <c r="E133" s="31" t="s">
        <v>39</v>
      </c>
      <c r="F133" s="21"/>
      <c r="G133" s="32" t="s">
        <v>303</v>
      </c>
      <c r="H133" s="21"/>
      <c r="I133" s="31" t="s">
        <v>41</v>
      </c>
      <c r="J133" s="21"/>
      <c r="K133" s="31" t="s">
        <v>42</v>
      </c>
      <c r="L133" s="21"/>
      <c r="M133" s="32" t="s">
        <v>408</v>
      </c>
      <c r="N133" s="21"/>
      <c r="O133" s="31" t="str">
        <f>Level&amp;" hours
1 hour/level"</f>
        <v>13 hours
1 hour/level</v>
      </c>
      <c r="P133" s="21"/>
      <c r="Q133" s="32" t="s">
        <v>114</v>
      </c>
      <c r="R133" s="21"/>
      <c r="S133" s="32" t="s">
        <v>115</v>
      </c>
      <c r="T133" s="21"/>
      <c r="U133" s="53" t="s">
        <v>409</v>
      </c>
      <c r="V133" s="9"/>
      <c r="W133" s="9"/>
      <c r="X133" s="21"/>
    </row>
    <row r="134">
      <c r="B134" s="23">
        <v>3.0</v>
      </c>
      <c r="C134" s="24" t="s">
        <v>410</v>
      </c>
      <c r="D134" s="16"/>
      <c r="E134" s="25" t="s">
        <v>39</v>
      </c>
      <c r="F134" s="16"/>
      <c r="G134" s="26" t="s">
        <v>50</v>
      </c>
      <c r="H134" s="16"/>
      <c r="I134" s="25" t="s">
        <v>41</v>
      </c>
      <c r="J134" s="16"/>
      <c r="K134" s="25" t="s">
        <v>42</v>
      </c>
      <c r="L134" s="16"/>
      <c r="M134" s="25" t="s">
        <v>104</v>
      </c>
      <c r="N134" s="16"/>
      <c r="O134" s="25" t="str">
        <f>CONCAT(Level*10, " minutes or until discharged
10 minutes/level")</f>
        <v>130 minutes or until discharged
10 minutes/level</v>
      </c>
      <c r="P134" s="16"/>
      <c r="Q134" s="25" t="s">
        <v>264</v>
      </c>
      <c r="R134" s="16"/>
      <c r="S134" s="25" t="s">
        <v>46</v>
      </c>
      <c r="T134" s="16"/>
      <c r="U134" s="27" t="str">
        <f>CONCAT("Absorb ",CONCAT(MIN(Level*12, 120)," points of damage from one kind of energy, 12 points/level"))</f>
        <v>Absorb 120 points of damage from one kind of energy, 12 points/level</v>
      </c>
      <c r="V134" s="3"/>
      <c r="W134" s="3"/>
      <c r="X134" s="16"/>
    </row>
    <row r="135">
      <c r="B135" s="57">
        <v>3.0</v>
      </c>
      <c r="C135" s="30" t="s">
        <v>411</v>
      </c>
      <c r="D135" s="21"/>
      <c r="E135" s="32" t="s">
        <v>156</v>
      </c>
      <c r="F135" s="21"/>
      <c r="G135" s="31" t="s">
        <v>50</v>
      </c>
      <c r="H135" s="21"/>
      <c r="I135" s="31" t="s">
        <v>412</v>
      </c>
      <c r="J135" s="21"/>
      <c r="K135" s="31" t="s">
        <v>127</v>
      </c>
      <c r="L135" s="21"/>
      <c r="M135" s="31" t="s">
        <v>413</v>
      </c>
      <c r="N135" s="21"/>
      <c r="O135" s="31" t="str">
        <f>Level&amp;" hours (D)
1 hour/level"</f>
        <v>13 hours (D)
1 hour/level</v>
      </c>
      <c r="P135" s="21"/>
      <c r="Q135" s="31" t="s">
        <v>53</v>
      </c>
      <c r="R135" s="21"/>
      <c r="S135" s="31" t="s">
        <v>54</v>
      </c>
      <c r="T135" s="21"/>
      <c r="U135" s="33" t="str">
        <f>"Magic horse appears for "&amp;Level&amp;" hours, 1 hour/level"</f>
        <v>Magic horse appears for 13 hours, 1 hour/level</v>
      </c>
      <c r="V135" s="9"/>
      <c r="W135" s="9"/>
      <c r="X135" s="21"/>
    </row>
    <row r="136">
      <c r="B136" s="23">
        <v>3.0</v>
      </c>
      <c r="C136" s="24" t="s">
        <v>414</v>
      </c>
      <c r="D136" s="16"/>
      <c r="E136" s="26" t="s">
        <v>160</v>
      </c>
      <c r="F136" s="16"/>
      <c r="G136" s="25" t="s">
        <v>415</v>
      </c>
      <c r="H136" s="16"/>
      <c r="I136" s="25" t="s">
        <v>412</v>
      </c>
      <c r="J136" s="16"/>
      <c r="K136" s="25" t="s">
        <v>42</v>
      </c>
      <c r="L136" s="16"/>
      <c r="M136" s="25" t="s">
        <v>416</v>
      </c>
      <c r="N136" s="16"/>
      <c r="O136" s="25" t="str">
        <f>"Permanent or until discharged
Until released or 1d4+"&amp;Level&amp;" days, +1 day/level
see text"</f>
        <v>Permanent or until discharged
Until released or 1d4+13 days, +1 day/level
see text</v>
      </c>
      <c r="P136" s="16"/>
      <c r="Q136" s="25" t="s">
        <v>312</v>
      </c>
      <c r="R136" s="16"/>
      <c r="S136" s="25" t="s">
        <v>54</v>
      </c>
      <c r="T136" s="16"/>
      <c r="U136" s="27" t="s">
        <v>417</v>
      </c>
      <c r="V136" s="3"/>
      <c r="W136" s="3"/>
      <c r="X136" s="16"/>
    </row>
    <row r="137">
      <c r="B137" s="57">
        <v>3.0</v>
      </c>
      <c r="C137" s="30" t="s">
        <v>418</v>
      </c>
      <c r="D137" s="21"/>
      <c r="E137" s="32" t="s">
        <v>419</v>
      </c>
      <c r="F137" s="21"/>
      <c r="G137" s="32" t="s">
        <v>40</v>
      </c>
      <c r="H137" s="21"/>
      <c r="I137" s="31" t="s">
        <v>41</v>
      </c>
      <c r="J137" s="21"/>
      <c r="K137" s="31" t="str">
        <f>CONCAT("Long: ", CONCAT(400+(40*Level), " ft"))</f>
        <v>Long: 920 ft</v>
      </c>
      <c r="L137" s="21"/>
      <c r="M137" s="31" t="s">
        <v>420</v>
      </c>
      <c r="N137" s="21"/>
      <c r="O137" s="31" t="str">
        <f>CONCAT(Level, " rounds
1 round/level")</f>
        <v>13 rounds
1 round/level</v>
      </c>
      <c r="P137" s="21"/>
      <c r="Q137" s="31" t="s">
        <v>53</v>
      </c>
      <c r="R137" s="21"/>
      <c r="S137" s="31" t="s">
        <v>54</v>
      </c>
      <c r="T137" s="21"/>
      <c r="U137" s="33" t="s">
        <v>421</v>
      </c>
      <c r="V137" s="9"/>
      <c r="W137" s="9"/>
      <c r="X137" s="21"/>
    </row>
    <row r="138">
      <c r="B138" s="23">
        <v>3.0</v>
      </c>
      <c r="C138" s="59" t="s">
        <v>422</v>
      </c>
      <c r="D138" s="16"/>
      <c r="E138" s="26" t="s">
        <v>156</v>
      </c>
      <c r="F138" s="16"/>
      <c r="G138" s="26" t="s">
        <v>40</v>
      </c>
      <c r="H138" s="16"/>
      <c r="I138" s="25" t="s">
        <v>41</v>
      </c>
      <c r="J138" s="16"/>
      <c r="K138" s="25" t="str">
        <f>medium</f>
        <v>Medium: 230 ft</v>
      </c>
      <c r="L138" s="16"/>
      <c r="M138" s="26" t="s">
        <v>423</v>
      </c>
      <c r="N138" s="16"/>
      <c r="O138" s="25" t="str">
        <f>CONCAT(Level, " rounds
1 round/level")</f>
        <v>13 rounds
1 round/level</v>
      </c>
      <c r="P138" s="16"/>
      <c r="Q138" s="26" t="s">
        <v>424</v>
      </c>
      <c r="R138" s="16"/>
      <c r="S138" s="25" t="s">
        <v>54</v>
      </c>
      <c r="T138" s="16"/>
      <c r="U138" s="27" t="str">
        <f>"Naseating vapors, "&amp;Level&amp;" rounds, 1 round/level"</f>
        <v>Naseating vapors, 13 rounds, 1 round/level</v>
      </c>
      <c r="V138" s="3"/>
      <c r="W138" s="3"/>
      <c r="X138" s="16"/>
    </row>
    <row r="139">
      <c r="B139" s="57">
        <v>3.0</v>
      </c>
      <c r="C139" s="30" t="s">
        <v>425</v>
      </c>
      <c r="D139" s="21"/>
      <c r="E139" s="32" t="s">
        <v>170</v>
      </c>
      <c r="F139" s="21"/>
      <c r="G139" s="31" t="s">
        <v>65</v>
      </c>
      <c r="H139" s="21"/>
      <c r="I139" s="31" t="s">
        <v>73</v>
      </c>
      <c r="J139" s="21"/>
      <c r="K139" s="31" t="str">
        <f>close</f>
        <v>Close: 55 ft</v>
      </c>
      <c r="L139" s="21"/>
      <c r="M139" s="31" t="s">
        <v>171</v>
      </c>
      <c r="N139" s="21"/>
      <c r="O139" s="31" t="str">
        <f>Level&amp;" rounds (D)
1 round/level"</f>
        <v>13 rounds (D)
1 round/level</v>
      </c>
      <c r="P139" s="21"/>
      <c r="Q139" s="31" t="s">
        <v>53</v>
      </c>
      <c r="R139" s="21"/>
      <c r="S139" s="31" t="s">
        <v>54</v>
      </c>
      <c r="T139" s="21"/>
      <c r="U139" s="33" t="s">
        <v>172</v>
      </c>
      <c r="V139" s="9"/>
      <c r="W139" s="9"/>
      <c r="X139" s="21"/>
    </row>
    <row r="140">
      <c r="B140" s="23">
        <v>3.0</v>
      </c>
      <c r="C140" s="59" t="s">
        <v>426</v>
      </c>
      <c r="D140" s="16"/>
      <c r="E140" s="25" t="s">
        <v>57</v>
      </c>
      <c r="F140" s="16"/>
      <c r="G140" s="26" t="s">
        <v>50</v>
      </c>
      <c r="H140" s="16"/>
      <c r="I140" s="26" t="s">
        <v>41</v>
      </c>
      <c r="J140" s="16"/>
      <c r="K140" s="26" t="s">
        <v>66</v>
      </c>
      <c r="L140" s="16"/>
      <c r="M140" s="26" t="s">
        <v>67</v>
      </c>
      <c r="N140" s="16"/>
      <c r="O140" s="25" t="str">
        <f>Level&amp;" minutes (D)
1 minute/level"</f>
        <v>13 minutes (D)
1 minute/level</v>
      </c>
      <c r="P140" s="16"/>
      <c r="Q140" s="26" t="s">
        <v>68</v>
      </c>
      <c r="R140" s="16"/>
      <c r="S140" s="26" t="s">
        <v>68</v>
      </c>
      <c r="T140" s="16"/>
      <c r="U140" s="60" t="s">
        <v>427</v>
      </c>
      <c r="V140" s="3"/>
      <c r="W140" s="3"/>
      <c r="X140" s="16"/>
    </row>
    <row r="141">
      <c r="B141" s="57">
        <v>3.0</v>
      </c>
      <c r="C141" s="30" t="s">
        <v>428</v>
      </c>
      <c r="D141" s="21"/>
      <c r="E141" s="32" t="s">
        <v>429</v>
      </c>
      <c r="F141" s="21"/>
      <c r="G141" s="31" t="s">
        <v>65</v>
      </c>
      <c r="H141" s="21"/>
      <c r="I141" s="31" t="s">
        <v>412</v>
      </c>
      <c r="J141" s="21"/>
      <c r="K141" s="31" t="str">
        <f>long</f>
        <v>Long: 920 ft</v>
      </c>
      <c r="L141" s="21"/>
      <c r="M141" s="31" t="s">
        <v>430</v>
      </c>
      <c r="N141" s="21"/>
      <c r="O141" s="31" t="str">
        <f>Level&amp;" minutes (D)
1 minute/level"</f>
        <v>13 minutes (D)
1 minute/level</v>
      </c>
      <c r="P141" s="21"/>
      <c r="Q141" s="31" t="s">
        <v>53</v>
      </c>
      <c r="R141" s="21"/>
      <c r="S141" s="31" t="s">
        <v>54</v>
      </c>
      <c r="T141" s="21"/>
      <c r="U141" s="33" t="str">
        <f>"Hear or see at a distance for "&amp;Level&amp;" minutes, 1 minute/level"</f>
        <v>Hear or see at a distance for 13 minutes, 1 minute/level</v>
      </c>
      <c r="V141" s="9"/>
      <c r="W141" s="9"/>
      <c r="X141" s="21"/>
    </row>
    <row r="142">
      <c r="B142" s="23">
        <v>3.0</v>
      </c>
      <c r="C142" s="24" t="s">
        <v>431</v>
      </c>
      <c r="D142" s="16"/>
      <c r="E142" s="25" t="s">
        <v>57</v>
      </c>
      <c r="F142" s="16"/>
      <c r="G142" s="25" t="s">
        <v>88</v>
      </c>
      <c r="H142" s="16"/>
      <c r="I142" s="25" t="s">
        <v>41</v>
      </c>
      <c r="J142" s="16"/>
      <c r="K142" s="25" t="s">
        <v>42</v>
      </c>
      <c r="L142" s="16"/>
      <c r="M142" s="25" t="s">
        <v>104</v>
      </c>
      <c r="N142" s="16"/>
      <c r="O142" s="25" t="str">
        <f>Level*10&amp;" minutes
10 minutes/level"</f>
        <v>130 minutes
10 minutes/level</v>
      </c>
      <c r="P142" s="16"/>
      <c r="Q142" s="25" t="s">
        <v>45</v>
      </c>
      <c r="R142" s="16"/>
      <c r="S142" s="25" t="s">
        <v>54</v>
      </c>
      <c r="T142" s="16"/>
      <c r="U142" s="27" t="s">
        <v>432</v>
      </c>
      <c r="V142" s="3"/>
      <c r="W142" s="3"/>
      <c r="X142" s="16"/>
    </row>
    <row r="143">
      <c r="B143" s="57">
        <v>3.0</v>
      </c>
      <c r="C143" s="30" t="s">
        <v>433</v>
      </c>
      <c r="D143" s="21"/>
      <c r="E143" s="32" t="s">
        <v>71</v>
      </c>
      <c r="F143" s="21"/>
      <c r="G143" s="31" t="s">
        <v>40</v>
      </c>
      <c r="H143" s="21"/>
      <c r="I143" s="31" t="s">
        <v>73</v>
      </c>
      <c r="J143" s="21"/>
      <c r="K143" s="31" t="str">
        <f>close</f>
        <v>Close: 55 ft</v>
      </c>
      <c r="L143" s="21"/>
      <c r="M143" s="31" t="s">
        <v>434</v>
      </c>
      <c r="N143" s="21"/>
      <c r="O143" s="31" t="str">
        <f>CONCAT(Level, " minutes
10 minutes/level")</f>
        <v>13 minutes
10 minutes/level</v>
      </c>
      <c r="P143" s="21"/>
      <c r="Q143" s="31" t="s">
        <v>74</v>
      </c>
      <c r="R143" s="21"/>
      <c r="S143" s="31" t="s">
        <v>75</v>
      </c>
      <c r="T143" s="21"/>
      <c r="U143" s="33" t="s">
        <v>435</v>
      </c>
      <c r="V143" s="9"/>
      <c r="W143" s="9"/>
      <c r="X143" s="21"/>
    </row>
    <row r="144">
      <c r="B144" s="23">
        <v>3.0</v>
      </c>
      <c r="C144" s="24" t="s">
        <v>436</v>
      </c>
      <c r="D144" s="16"/>
      <c r="E144" s="26" t="s">
        <v>71</v>
      </c>
      <c r="F144" s="16"/>
      <c r="G144" s="25" t="s">
        <v>50</v>
      </c>
      <c r="H144" s="16"/>
      <c r="I144" s="25" t="s">
        <v>41</v>
      </c>
      <c r="J144" s="16"/>
      <c r="K144" s="25" t="s">
        <v>42</v>
      </c>
      <c r="L144" s="16"/>
      <c r="M144" s="25" t="s">
        <v>104</v>
      </c>
      <c r="N144" s="16"/>
      <c r="O144" s="25" t="str">
        <f>Level*10&amp;" minutes
10 minutes/level"</f>
        <v>130 minutes
10 minutes/level</v>
      </c>
      <c r="P144" s="16"/>
      <c r="Q144" s="25" t="s">
        <v>45</v>
      </c>
      <c r="R144" s="16"/>
      <c r="S144" s="25" t="s">
        <v>46</v>
      </c>
      <c r="T144" s="16"/>
      <c r="U144" s="27" t="s">
        <v>437</v>
      </c>
      <c r="V144" s="3"/>
      <c r="W144" s="3"/>
      <c r="X144" s="16"/>
    </row>
    <row r="145">
      <c r="B145" s="57">
        <v>3.0</v>
      </c>
      <c r="C145" s="30" t="s">
        <v>438</v>
      </c>
      <c r="D145" s="21"/>
      <c r="E145" s="32" t="s">
        <v>71</v>
      </c>
      <c r="F145" s="21"/>
      <c r="G145" s="31" t="s">
        <v>65</v>
      </c>
      <c r="H145" s="21"/>
      <c r="I145" s="31" t="s">
        <v>41</v>
      </c>
      <c r="J145" s="21"/>
      <c r="K145" s="31" t="str">
        <f>medium</f>
        <v>Medium: 230 ft</v>
      </c>
      <c r="L145" s="21"/>
      <c r="M145" s="31" t="s">
        <v>192</v>
      </c>
      <c r="N145" s="21"/>
      <c r="O145" s="31" t="str">
        <f>Level&amp;" rounds (D)
1 round/level, see text"</f>
        <v>13 rounds (D)
1 round/level, see text</v>
      </c>
      <c r="P145" s="21"/>
      <c r="Q145" s="31" t="s">
        <v>288</v>
      </c>
      <c r="R145" s="21"/>
      <c r="S145" s="31" t="s">
        <v>75</v>
      </c>
      <c r="T145" s="21"/>
      <c r="U145" s="33" t="str">
        <f>"Paralyzes one humanoid for "&amp;Level&amp;" rounds, 1 round/level"</f>
        <v>Paralyzes one humanoid for 13 rounds, 1 round/level</v>
      </c>
      <c r="V145" s="9"/>
      <c r="W145" s="9"/>
      <c r="X145" s="21"/>
    </row>
    <row r="146">
      <c r="B146" s="23">
        <v>3.0</v>
      </c>
      <c r="C146" s="24" t="s">
        <v>439</v>
      </c>
      <c r="D146" s="16"/>
      <c r="E146" s="26" t="s">
        <v>71</v>
      </c>
      <c r="F146" s="16"/>
      <c r="G146" s="25" t="s">
        <v>50</v>
      </c>
      <c r="H146" s="16"/>
      <c r="I146" s="25" t="s">
        <v>41</v>
      </c>
      <c r="J146" s="16"/>
      <c r="K146" s="25" t="str">
        <f>medium</f>
        <v>Medium: 230 ft</v>
      </c>
      <c r="L146" s="16"/>
      <c r="M146" s="25" t="str">
        <f>FLOOR(Level/3,1)&amp;" willing creatures, 1 willing creature per 3 levels, no two of which may be more than 30 ft apart"</f>
        <v>4 willing creatures, 1 willing creature per 3 levels, no two of which may be more than 30 ft apart</v>
      </c>
      <c r="N146" s="16"/>
      <c r="O146" s="25" t="str">
        <f>"Concentration + "&amp;Level&amp;" rounds (D)
1 round/level"</f>
        <v>Concentration + 13 rounds (D)
1 round/level</v>
      </c>
      <c r="P146" s="16"/>
      <c r="Q146" s="25" t="s">
        <v>53</v>
      </c>
      <c r="R146" s="16"/>
      <c r="S146" s="25" t="s">
        <v>75</v>
      </c>
      <c r="T146" s="16"/>
      <c r="U146" s="27" t="s">
        <v>440</v>
      </c>
      <c r="V146" s="3"/>
      <c r="W146" s="3"/>
      <c r="X146" s="16"/>
    </row>
    <row r="147">
      <c r="B147" s="57">
        <v>3.0</v>
      </c>
      <c r="C147" s="30" t="s">
        <v>441</v>
      </c>
      <c r="D147" s="21"/>
      <c r="E147" s="32" t="s">
        <v>442</v>
      </c>
      <c r="F147" s="21"/>
      <c r="G147" s="31" t="s">
        <v>88</v>
      </c>
      <c r="H147" s="21"/>
      <c r="I147" s="31" t="s">
        <v>41</v>
      </c>
      <c r="J147" s="21"/>
      <c r="K147" s="31" t="str">
        <f>close</f>
        <v>Close: 55 ft</v>
      </c>
      <c r="L147" s="21"/>
      <c r="M147" s="31" t="s">
        <v>350</v>
      </c>
      <c r="N147" s="21"/>
      <c r="O147" s="31" t="str">
        <f>Level&amp;" hours or until completed
1 hour/level"</f>
        <v>13 hours or until completed
1 hour/level</v>
      </c>
      <c r="P147" s="21"/>
      <c r="Q147" s="31" t="s">
        <v>74</v>
      </c>
      <c r="R147" s="21"/>
      <c r="S147" s="31" t="s">
        <v>75</v>
      </c>
      <c r="T147" s="21"/>
      <c r="U147" s="33" t="s">
        <v>443</v>
      </c>
      <c r="V147" s="9"/>
      <c r="W147" s="9"/>
      <c r="X147" s="21"/>
    </row>
    <row r="148">
      <c r="B148" s="23">
        <v>3.0</v>
      </c>
      <c r="C148" s="24" t="s">
        <v>444</v>
      </c>
      <c r="D148" s="16"/>
      <c r="E148" s="26" t="s">
        <v>78</v>
      </c>
      <c r="F148" s="16"/>
      <c r="G148" s="25" t="s">
        <v>50</v>
      </c>
      <c r="H148" s="16"/>
      <c r="I148" s="25" t="s">
        <v>41</v>
      </c>
      <c r="J148" s="16"/>
      <c r="K148" s="25" t="s">
        <v>42</v>
      </c>
      <c r="L148" s="16"/>
      <c r="M148" s="25" t="s">
        <v>308</v>
      </c>
      <c r="N148" s="16"/>
      <c r="O148" s="25" t="str">
        <f>CONCAT(Level*10, " minutes (D)
10 minutes/level")</f>
        <v>130 minutes (D)
10 minutes/level</v>
      </c>
      <c r="P148" s="16"/>
      <c r="Q148" s="25" t="s">
        <v>53</v>
      </c>
      <c r="R148" s="16"/>
      <c r="S148" s="25" t="s">
        <v>54</v>
      </c>
      <c r="T148" s="16"/>
      <c r="U148" s="27" t="s">
        <v>445</v>
      </c>
      <c r="V148" s="3"/>
      <c r="W148" s="3"/>
      <c r="X148" s="16"/>
    </row>
    <row r="149">
      <c r="B149" s="57">
        <v>3.0</v>
      </c>
      <c r="C149" s="58" t="s">
        <v>446</v>
      </c>
      <c r="D149" s="21"/>
      <c r="E149" s="32" t="s">
        <v>202</v>
      </c>
      <c r="F149" s="21"/>
      <c r="G149" s="32" t="s">
        <v>40</v>
      </c>
      <c r="H149" s="21"/>
      <c r="I149" s="31" t="s">
        <v>41</v>
      </c>
      <c r="J149" s="21"/>
      <c r="K149" s="31" t="str">
        <f>long</f>
        <v>Long: 920 ft</v>
      </c>
      <c r="L149" s="21"/>
      <c r="M149" s="32" t="s">
        <v>447</v>
      </c>
      <c r="N149" s="21"/>
      <c r="O149" s="32" t="s">
        <v>52</v>
      </c>
      <c r="P149" s="21"/>
      <c r="Q149" s="32" t="s">
        <v>205</v>
      </c>
      <c r="R149" s="21"/>
      <c r="S149" s="32" t="s">
        <v>75</v>
      </c>
      <c r="T149" s="21"/>
      <c r="U149" s="33" t="str">
        <f>MIN(Level, 10)&amp;"d6 damage, 1d6 damage/level, 20 ft radius"</f>
        <v>10d6 damage, 1d6 damage/level, 20 ft radius</v>
      </c>
      <c r="V149" s="9"/>
      <c r="W149" s="9"/>
      <c r="X149" s="21"/>
    </row>
    <row r="150">
      <c r="B150" s="23">
        <v>3.0</v>
      </c>
      <c r="C150" s="59" t="s">
        <v>448</v>
      </c>
      <c r="D150" s="16"/>
      <c r="E150" s="26" t="s">
        <v>211</v>
      </c>
      <c r="F150" s="16"/>
      <c r="G150" s="26" t="s">
        <v>40</v>
      </c>
      <c r="H150" s="16"/>
      <c r="I150" s="25" t="s">
        <v>41</v>
      </c>
      <c r="J150" s="16"/>
      <c r="K150" s="26" t="s">
        <v>449</v>
      </c>
      <c r="L150" s="16"/>
      <c r="M150" s="26" t="s">
        <v>450</v>
      </c>
      <c r="N150" s="16"/>
      <c r="O150" s="26" t="s">
        <v>52</v>
      </c>
      <c r="P150" s="16"/>
      <c r="Q150" s="26" t="s">
        <v>205</v>
      </c>
      <c r="R150" s="16"/>
      <c r="S150" s="26" t="s">
        <v>75</v>
      </c>
      <c r="T150" s="16"/>
      <c r="U150" s="27" t="str">
        <f>"Electricity deals "&amp;MIN(Level,10)&amp;"d6 damage, 1d6 damage/level"</f>
        <v>Electricity deals 10d6 damage, 1d6 damage/level</v>
      </c>
      <c r="V150" s="3"/>
      <c r="W150" s="3"/>
      <c r="X150" s="16"/>
    </row>
    <row r="151">
      <c r="B151" s="57">
        <v>3.0</v>
      </c>
      <c r="C151" s="30" t="s">
        <v>451</v>
      </c>
      <c r="D151" s="21"/>
      <c r="E151" s="32" t="s">
        <v>207</v>
      </c>
      <c r="F151" s="21"/>
      <c r="G151" s="31" t="s">
        <v>40</v>
      </c>
      <c r="H151" s="21"/>
      <c r="I151" s="31" t="s">
        <v>41</v>
      </c>
      <c r="J151" s="21"/>
      <c r="K151" s="31" t="s">
        <v>166</v>
      </c>
      <c r="L151" s="21"/>
      <c r="M151" s="31" t="s">
        <v>452</v>
      </c>
      <c r="N151" s="21"/>
      <c r="O151" s="31" t="str">
        <f>Level*2&amp;" hours (D)
2 hours/level"</f>
        <v>26 hours (D)
2 hours/level</v>
      </c>
      <c r="P151" s="21"/>
      <c r="Q151" s="31" t="s">
        <v>53</v>
      </c>
      <c r="R151" s="21"/>
      <c r="S151" s="31" t="s">
        <v>54</v>
      </c>
      <c r="T151" s="21"/>
      <c r="U151" s="33" t="s">
        <v>453</v>
      </c>
      <c r="V151" s="9"/>
      <c r="W151" s="9"/>
      <c r="X151" s="21"/>
    </row>
    <row r="152">
      <c r="B152" s="23">
        <v>3.0</v>
      </c>
      <c r="C152" s="24" t="s">
        <v>454</v>
      </c>
      <c r="D152" s="16"/>
      <c r="E152" s="26" t="s">
        <v>314</v>
      </c>
      <c r="F152" s="16"/>
      <c r="G152" s="26" t="s">
        <v>40</v>
      </c>
      <c r="H152" s="16"/>
      <c r="I152" s="25" t="s">
        <v>41</v>
      </c>
      <c r="J152" s="16"/>
      <c r="K152" s="25" t="str">
        <f>CONCAT("Medium: ", CONCAT(100+(10*Level), " ft"))</f>
        <v>Medium: 230 ft</v>
      </c>
      <c r="L152" s="16"/>
      <c r="M152" s="25" t="str">
        <f>CONCAT("Wall up to ",CONCAT(Level*10,CONCAT(" ft long, 10 ft/level, and ",CONCAT(Level*5, " ft high, 5 ft/level"))))</f>
        <v>Wall up to 130 ft long, 10 ft/level, and 65 ft high, 5 ft/level</v>
      </c>
      <c r="N152" s="16"/>
      <c r="O152" s="25" t="str">
        <f>CONCAT(Level, " rounds
1 round/level")</f>
        <v>13 rounds
1 round/level</v>
      </c>
      <c r="P152" s="16"/>
      <c r="Q152" s="25" t="s">
        <v>220</v>
      </c>
      <c r="R152" s="16"/>
      <c r="S152" s="25" t="s">
        <v>75</v>
      </c>
      <c r="T152" s="16"/>
      <c r="U152" s="27" t="s">
        <v>455</v>
      </c>
      <c r="V152" s="3"/>
      <c r="W152" s="3"/>
      <c r="X152" s="16"/>
    </row>
    <row r="153">
      <c r="B153" s="57">
        <v>3.0</v>
      </c>
      <c r="C153" s="30" t="s">
        <v>456</v>
      </c>
      <c r="D153" s="21"/>
      <c r="E153" s="32" t="s">
        <v>217</v>
      </c>
      <c r="F153" s="21"/>
      <c r="G153" s="31" t="s">
        <v>88</v>
      </c>
      <c r="H153" s="21"/>
      <c r="I153" s="31" t="s">
        <v>41</v>
      </c>
      <c r="J153" s="21"/>
      <c r="K153" s="31" t="s">
        <v>42</v>
      </c>
      <c r="L153" s="21"/>
      <c r="M153" s="31" t="s">
        <v>104</v>
      </c>
      <c r="N153" s="21"/>
      <c r="O153" s="31" t="str">
        <f>Level&amp;" rounds (D)
1 round/level"</f>
        <v>13 rounds (D)
1 round/level</v>
      </c>
      <c r="P153" s="21"/>
      <c r="Q153" s="31" t="s">
        <v>45</v>
      </c>
      <c r="R153" s="21"/>
      <c r="S153" s="31" t="s">
        <v>46</v>
      </c>
      <c r="T153" s="21"/>
      <c r="U153" s="33" t="s">
        <v>457</v>
      </c>
      <c r="V153" s="9"/>
      <c r="W153" s="9"/>
      <c r="X153" s="21"/>
    </row>
    <row r="154">
      <c r="B154" s="23">
        <v>3.0</v>
      </c>
      <c r="C154" s="24" t="s">
        <v>458</v>
      </c>
      <c r="D154" s="16"/>
      <c r="E154" s="26" t="s">
        <v>459</v>
      </c>
      <c r="F154" s="16"/>
      <c r="G154" s="25" t="s">
        <v>303</v>
      </c>
      <c r="H154" s="16"/>
      <c r="I154" s="25" t="s">
        <v>460</v>
      </c>
      <c r="J154" s="16"/>
      <c r="K154" s="25" t="s">
        <v>42</v>
      </c>
      <c r="L154" s="16"/>
      <c r="M154" s="25" t="s">
        <v>399</v>
      </c>
      <c r="N154" s="16"/>
      <c r="O154" s="25" t="str">
        <f>Level&amp;" days (D)
1 day/level"</f>
        <v>13 days (D)
1 day/level</v>
      </c>
      <c r="P154" s="16"/>
      <c r="Q154" s="25" t="s">
        <v>288</v>
      </c>
      <c r="R154" s="16"/>
      <c r="S154" s="25" t="s">
        <v>75</v>
      </c>
      <c r="T154" s="16"/>
      <c r="U154" s="27" t="s">
        <v>461</v>
      </c>
      <c r="V154" s="3"/>
      <c r="W154" s="3"/>
      <c r="X154" s="16"/>
    </row>
    <row r="155">
      <c r="B155" s="57">
        <v>3.0</v>
      </c>
      <c r="C155" s="30" t="s">
        <v>462</v>
      </c>
      <c r="D155" s="21"/>
      <c r="E155" s="32" t="s">
        <v>217</v>
      </c>
      <c r="F155" s="21"/>
      <c r="G155" s="31" t="s">
        <v>40</v>
      </c>
      <c r="H155" s="21"/>
      <c r="I155" s="31" t="s">
        <v>41</v>
      </c>
      <c r="J155" s="21"/>
      <c r="K155" s="31" t="s">
        <v>331</v>
      </c>
      <c r="L155" s="21"/>
      <c r="M155" s="31" t="s">
        <v>463</v>
      </c>
      <c r="N155" s="21"/>
      <c r="O155" s="31" t="str">
        <f>Level&amp;" minutes (D)
1 minute/level"</f>
        <v>13 minutes (D)
1 minute/level</v>
      </c>
      <c r="P155" s="21"/>
      <c r="Q155" s="31" t="s">
        <v>332</v>
      </c>
      <c r="R155" s="21"/>
      <c r="S155" s="31" t="s">
        <v>333</v>
      </c>
      <c r="T155" s="21"/>
      <c r="U155" s="33" t="s">
        <v>464</v>
      </c>
      <c r="V155" s="9"/>
      <c r="W155" s="9"/>
      <c r="X155" s="21"/>
    </row>
    <row r="156">
      <c r="B156" s="23">
        <v>3.0</v>
      </c>
      <c r="C156" s="24" t="s">
        <v>465</v>
      </c>
      <c r="D156" s="16"/>
      <c r="E156" s="26" t="s">
        <v>96</v>
      </c>
      <c r="F156" s="16"/>
      <c r="G156" s="25" t="s">
        <v>65</v>
      </c>
      <c r="H156" s="16"/>
      <c r="I156" s="25" t="s">
        <v>41</v>
      </c>
      <c r="J156" s="16"/>
      <c r="K156" s="25" t="str">
        <f>long</f>
        <v>Long: 920 ft</v>
      </c>
      <c r="L156" s="16"/>
      <c r="M156" s="25" t="str">
        <f>"Visual figment that cannot extend beyond "&amp;4+Level&amp;" ten ft cubes, 4 ten ft. cubes + 1 ten ft. cube/level"</f>
        <v>Visual figment that cannot extend beyond 17 ten ft cubes, 4 ten ft. cubes + 1 ten ft. cube/level</v>
      </c>
      <c r="N156" s="16"/>
      <c r="O156" s="25" t="s">
        <v>466</v>
      </c>
      <c r="P156" s="16"/>
      <c r="Q156" s="25" t="s">
        <v>98</v>
      </c>
      <c r="R156" s="16"/>
      <c r="S156" s="25" t="s">
        <v>54</v>
      </c>
      <c r="T156" s="16"/>
      <c r="U156" s="27" t="s">
        <v>467</v>
      </c>
      <c r="V156" s="3"/>
      <c r="W156" s="3"/>
      <c r="X156" s="16"/>
    </row>
    <row r="157">
      <c r="B157" s="57">
        <v>3.0</v>
      </c>
      <c r="C157" s="58" t="s">
        <v>468</v>
      </c>
      <c r="D157" s="21"/>
      <c r="E157" s="32" t="s">
        <v>101</v>
      </c>
      <c r="F157" s="21"/>
      <c r="G157" s="32" t="s">
        <v>469</v>
      </c>
      <c r="H157" s="21"/>
      <c r="I157" s="31" t="s">
        <v>41</v>
      </c>
      <c r="J157" s="21"/>
      <c r="K157" s="32" t="s">
        <v>42</v>
      </c>
      <c r="L157" s="21"/>
      <c r="M157" s="32" t="s">
        <v>470</v>
      </c>
      <c r="N157" s="21"/>
      <c r="O157" s="31" t="str">
        <f>Level&amp;" days
1 day/level"</f>
        <v>13 days
1 day/level</v>
      </c>
      <c r="P157" s="21"/>
      <c r="Q157" s="32" t="s">
        <v>122</v>
      </c>
      <c r="R157" s="21"/>
      <c r="S157" s="32" t="s">
        <v>123</v>
      </c>
      <c r="T157" s="21"/>
      <c r="U157" s="53" t="s">
        <v>471</v>
      </c>
      <c r="V157" s="9"/>
      <c r="W157" s="9"/>
      <c r="X157" s="21"/>
    </row>
    <row r="158">
      <c r="B158" s="23">
        <v>3.0</v>
      </c>
      <c r="C158" s="59" t="s">
        <v>472</v>
      </c>
      <c r="D158" s="16"/>
      <c r="E158" s="26" t="s">
        <v>101</v>
      </c>
      <c r="F158" s="16"/>
      <c r="G158" s="26" t="s">
        <v>40</v>
      </c>
      <c r="H158" s="16"/>
      <c r="I158" s="25" t="s">
        <v>41</v>
      </c>
      <c r="J158" s="16"/>
      <c r="K158" s="26" t="str">
        <f>medium</f>
        <v>Medium: 230 ft</v>
      </c>
      <c r="L158" s="16"/>
      <c r="M158" s="26" t="s">
        <v>473</v>
      </c>
      <c r="N158" s="16"/>
      <c r="O158" s="25" t="str">
        <f>Level&amp;" rounds
1 round/level"</f>
        <v>13 rounds
1 round/level</v>
      </c>
      <c r="P158" s="16"/>
      <c r="Q158" s="26" t="s">
        <v>288</v>
      </c>
      <c r="R158" s="16"/>
      <c r="S158" s="26" t="s">
        <v>75</v>
      </c>
      <c r="T158" s="16"/>
      <c r="U158" s="60" t="str">
        <f>"Immobilizes undead for "&amp;Level&amp;" rounds,1 round/level"</f>
        <v>Immobilizes undead for 13 rounds,1 round/level</v>
      </c>
      <c r="V158" s="3"/>
      <c r="W158" s="3"/>
      <c r="X158" s="16"/>
    </row>
    <row r="159">
      <c r="B159" s="57">
        <v>3.0</v>
      </c>
      <c r="C159" s="58" t="s">
        <v>474</v>
      </c>
      <c r="D159" s="21"/>
      <c r="E159" s="32" t="s">
        <v>101</v>
      </c>
      <c r="F159" s="21"/>
      <c r="G159" s="32" t="s">
        <v>40</v>
      </c>
      <c r="H159" s="21"/>
      <c r="I159" s="31" t="s">
        <v>41</v>
      </c>
      <c r="J159" s="21"/>
      <c r="K159" s="32" t="str">
        <f>close</f>
        <v>Close: 55 ft</v>
      </c>
      <c r="L159" s="21"/>
      <c r="M159" s="32" t="s">
        <v>93</v>
      </c>
      <c r="N159" s="21"/>
      <c r="O159" s="31" t="str">
        <f>Level&amp;" minutes
1 minute/level"</f>
        <v>13 minutes
1 minute/level</v>
      </c>
      <c r="P159" s="21"/>
      <c r="Q159" s="32" t="s">
        <v>475</v>
      </c>
      <c r="R159" s="21"/>
      <c r="S159" s="32" t="s">
        <v>75</v>
      </c>
      <c r="T159" s="21"/>
      <c r="U159" s="53" t="s">
        <v>476</v>
      </c>
      <c r="V159" s="9"/>
      <c r="W159" s="9"/>
      <c r="X159" s="21"/>
    </row>
    <row r="160">
      <c r="B160" s="23">
        <v>3.0</v>
      </c>
      <c r="C160" s="59" t="s">
        <v>477</v>
      </c>
      <c r="D160" s="16"/>
      <c r="E160" s="26" t="s">
        <v>101</v>
      </c>
      <c r="F160" s="16"/>
      <c r="G160" s="26" t="s">
        <v>50</v>
      </c>
      <c r="H160" s="16"/>
      <c r="I160" s="25" t="s">
        <v>41</v>
      </c>
      <c r="J160" s="16"/>
      <c r="K160" s="26" t="s">
        <v>42</v>
      </c>
      <c r="L160" s="16"/>
      <c r="M160" s="26" t="s">
        <v>300</v>
      </c>
      <c r="N160" s="16"/>
      <c r="O160" s="26" t="s">
        <v>478</v>
      </c>
      <c r="P160" s="16"/>
      <c r="Q160" s="26" t="s">
        <v>53</v>
      </c>
      <c r="R160" s="16"/>
      <c r="S160" s="26" t="s">
        <v>75</v>
      </c>
      <c r="T160" s="16"/>
      <c r="U160" s="60" t="str">
        <f>"Touch deals "&amp;MAX(FLOOR(Level/2,1),1)&amp;" damage, 1d6 per two levels, caster gains damage as hp"</f>
        <v>Touch deals 6 damage, 1d6 per two levels, caster gains damage as hp</v>
      </c>
      <c r="V160" s="3"/>
      <c r="W160" s="3"/>
      <c r="X160" s="16"/>
    </row>
    <row r="161">
      <c r="B161" s="57">
        <v>3.0</v>
      </c>
      <c r="C161" s="30" t="s">
        <v>479</v>
      </c>
      <c r="D161" s="21"/>
      <c r="E161" s="31" t="s">
        <v>107</v>
      </c>
      <c r="F161" s="21"/>
      <c r="G161" s="31" t="s">
        <v>50</v>
      </c>
      <c r="H161" s="21"/>
      <c r="I161" s="31" t="s">
        <v>41</v>
      </c>
      <c r="J161" s="21"/>
      <c r="K161" s="31" t="s">
        <v>66</v>
      </c>
      <c r="L161" s="21"/>
      <c r="M161" s="31" t="s">
        <v>67</v>
      </c>
      <c r="N161" s="21"/>
      <c r="O161" s="31" t="str">
        <f>Level&amp;" rounds (D)
1 round/level"</f>
        <v>13 rounds (D)
1 round/level</v>
      </c>
      <c r="P161" s="21"/>
      <c r="Q161" s="31" t="s">
        <v>68</v>
      </c>
      <c r="R161" s="21"/>
      <c r="S161" s="31" t="s">
        <v>68</v>
      </c>
      <c r="T161" s="21"/>
      <c r="U161" s="33" t="str">
        <f>"You randomly vanish and reappear for "&amp;Level&amp;" rounds, 1 round/level"</f>
        <v>You randomly vanish and reappear for 13 rounds, 1 round/level</v>
      </c>
      <c r="V161" s="9"/>
      <c r="W161" s="9"/>
      <c r="X161" s="21"/>
    </row>
    <row r="162">
      <c r="B162" s="23">
        <v>3.0</v>
      </c>
      <c r="C162" s="59" t="s">
        <v>480</v>
      </c>
      <c r="D162" s="16"/>
      <c r="E162" s="26" t="s">
        <v>481</v>
      </c>
      <c r="F162" s="16"/>
      <c r="G162" s="26" t="s">
        <v>40</v>
      </c>
      <c r="H162" s="16"/>
      <c r="I162" s="25" t="s">
        <v>41</v>
      </c>
      <c r="J162" s="16"/>
      <c r="K162" s="25" t="str">
        <f>close</f>
        <v>Close: 55 ft</v>
      </c>
      <c r="L162" s="16"/>
      <c r="M162" s="26" t="s">
        <v>482</v>
      </c>
      <c r="N162" s="16"/>
      <c r="O162" s="25" t="str">
        <f>Level*10&amp;" minutes
10 minutes/level"</f>
        <v>130 minutes
10 minutes/level</v>
      </c>
      <c r="P162" s="16"/>
      <c r="Q162" s="26" t="s">
        <v>53</v>
      </c>
      <c r="R162" s="16"/>
      <c r="S162" s="26" t="s">
        <v>54</v>
      </c>
      <c r="T162" s="16"/>
      <c r="U162" s="60" t="s">
        <v>483</v>
      </c>
      <c r="V162" s="3"/>
      <c r="W162" s="3"/>
      <c r="X162" s="16"/>
    </row>
    <row r="163">
      <c r="B163" s="57">
        <v>3.0</v>
      </c>
      <c r="C163" s="58" t="s">
        <v>484</v>
      </c>
      <c r="D163" s="21"/>
      <c r="E163" s="31" t="s">
        <v>107</v>
      </c>
      <c r="F163" s="21"/>
      <c r="G163" s="32" t="s">
        <v>65</v>
      </c>
      <c r="H163" s="21"/>
      <c r="I163" s="31" t="s">
        <v>41</v>
      </c>
      <c r="J163" s="21"/>
      <c r="K163" s="32" t="s">
        <v>42</v>
      </c>
      <c r="L163" s="21"/>
      <c r="M163" s="32" t="s">
        <v>104</v>
      </c>
      <c r="N163" s="21"/>
      <c r="O163" s="31" t="str">
        <f>Level&amp;" minutes
1 minute/level"</f>
        <v>13 minutes
1 minute/level</v>
      </c>
      <c r="P163" s="21"/>
      <c r="Q163" s="32" t="s">
        <v>45</v>
      </c>
      <c r="R163" s="21"/>
      <c r="S163" s="32" t="s">
        <v>46</v>
      </c>
      <c r="T163" s="21"/>
      <c r="U163" s="53" t="s">
        <v>485</v>
      </c>
      <c r="V163" s="9"/>
      <c r="W163" s="9"/>
      <c r="X163" s="21"/>
    </row>
    <row r="164">
      <c r="B164" s="23">
        <v>3.0</v>
      </c>
      <c r="C164" s="24" t="s">
        <v>486</v>
      </c>
      <c r="D164" s="16"/>
      <c r="E164" s="25" t="s">
        <v>107</v>
      </c>
      <c r="F164" s="16"/>
      <c r="G164" s="25" t="s">
        <v>487</v>
      </c>
      <c r="H164" s="16"/>
      <c r="I164" s="25" t="s">
        <v>41</v>
      </c>
      <c r="J164" s="16"/>
      <c r="K164" s="25" t="s">
        <v>42</v>
      </c>
      <c r="L164" s="16"/>
      <c r="M164" s="25" t="s">
        <v>488</v>
      </c>
      <c r="N164" s="16"/>
      <c r="O164" s="25" t="str">
        <f>Level*2&amp;" minutes (D)
2 minutes/level"</f>
        <v>26 minutes (D)
2 minutes/level</v>
      </c>
      <c r="P164" s="16"/>
      <c r="Q164" s="25" t="s">
        <v>53</v>
      </c>
      <c r="R164" s="16"/>
      <c r="S164" s="25" t="s">
        <v>54</v>
      </c>
      <c r="T164" s="16"/>
      <c r="U164" s="27" t="s">
        <v>489</v>
      </c>
      <c r="V164" s="3"/>
      <c r="W164" s="3"/>
      <c r="X164" s="16"/>
    </row>
    <row r="165">
      <c r="B165" s="57">
        <v>3.0</v>
      </c>
      <c r="C165" s="30" t="s">
        <v>490</v>
      </c>
      <c r="D165" s="21"/>
      <c r="E165" s="31" t="s">
        <v>107</v>
      </c>
      <c r="F165" s="21"/>
      <c r="G165" s="31" t="s">
        <v>40</v>
      </c>
      <c r="H165" s="21"/>
      <c r="I165" s="31" t="s">
        <v>41</v>
      </c>
      <c r="J165" s="21"/>
      <c r="K165" s="31" t="str">
        <f>close</f>
        <v>Close: 55 ft</v>
      </c>
      <c r="L165" s="21"/>
      <c r="M165" s="31" t="str">
        <f>Level&amp;" living creatures, 1 creature/level, no 2 of which may be more than 30 ft apart"</f>
        <v>13 living creatures, 1 creature/level, no 2 of which may be more than 30 ft apart</v>
      </c>
      <c r="N165" s="21"/>
      <c r="O165" s="31" t="str">
        <f>Level&amp;" rounds
1 round/level"</f>
        <v>13 rounds
1 round/level</v>
      </c>
      <c r="P165" s="21"/>
      <c r="Q165" s="31" t="s">
        <v>264</v>
      </c>
      <c r="R165" s="21"/>
      <c r="S165" s="31" t="s">
        <v>46</v>
      </c>
      <c r="T165" s="21"/>
      <c r="U165" s="33" t="str">
        <f>Level&amp;" creatures move faster, +1 on attack rolls, AC, and Reflex saves. 1 creature/level"</f>
        <v>13 creatures move faster, +1 on attack rolls, AC, and Reflex saves. 1 creature/level</v>
      </c>
      <c r="V165" s="9"/>
      <c r="W165" s="9"/>
      <c r="X165" s="21"/>
    </row>
    <row r="166">
      <c r="B166" s="23">
        <v>3.0</v>
      </c>
      <c r="C166" s="59" t="s">
        <v>491</v>
      </c>
      <c r="D166" s="16"/>
      <c r="E166" s="25" t="s">
        <v>107</v>
      </c>
      <c r="F166" s="16"/>
      <c r="G166" s="26" t="s">
        <v>50</v>
      </c>
      <c r="H166" s="16"/>
      <c r="I166" s="25" t="s">
        <v>41</v>
      </c>
      <c r="J166" s="16"/>
      <c r="K166" s="25" t="str">
        <f>close</f>
        <v>Close: 55 ft</v>
      </c>
      <c r="L166" s="16"/>
      <c r="M166" s="26" t="s">
        <v>492</v>
      </c>
      <c r="N166" s="16"/>
      <c r="O166" s="25" t="str">
        <f>Level*10&amp;" minutes
10 minutes/level"</f>
        <v>130 minutes
10 minutes/level</v>
      </c>
      <c r="P166" s="16"/>
      <c r="Q166" s="26" t="s">
        <v>493</v>
      </c>
      <c r="R166" s="16"/>
      <c r="S166" s="26" t="s">
        <v>115</v>
      </c>
      <c r="T166" s="16"/>
      <c r="U166" s="60" t="s">
        <v>494</v>
      </c>
      <c r="V166" s="3"/>
      <c r="W166" s="3"/>
      <c r="X166" s="16"/>
    </row>
    <row r="167">
      <c r="B167" s="57">
        <v>3.0</v>
      </c>
      <c r="C167" s="58" t="s">
        <v>495</v>
      </c>
      <c r="D167" s="21"/>
      <c r="E167" s="31" t="s">
        <v>107</v>
      </c>
      <c r="F167" s="21"/>
      <c r="G167" s="32" t="s">
        <v>40</v>
      </c>
      <c r="H167" s="21"/>
      <c r="I167" s="31" t="s">
        <v>41</v>
      </c>
      <c r="J167" s="21"/>
      <c r="K167" s="31" t="str">
        <f>close</f>
        <v>Close: 55 ft</v>
      </c>
      <c r="L167" s="21"/>
      <c r="M167" s="31" t="s">
        <v>496</v>
      </c>
      <c r="N167" s="21"/>
      <c r="O167" s="31" t="str">
        <f>CONCAT(Level, " hours 
1 hour/level")</f>
        <v>13 hours 
1 hour/level</v>
      </c>
      <c r="P167" s="21"/>
      <c r="Q167" s="31" t="s">
        <v>114</v>
      </c>
      <c r="R167" s="21"/>
      <c r="S167" s="31" t="s">
        <v>115</v>
      </c>
      <c r="T167" s="21"/>
      <c r="U167" s="33" t="str">
        <f>CONCAT("Weapon recieves +",CONCAT(MAX(FLOOR((Level)/4,1),1)," bonus, +1/four levels (max +5)."))</f>
        <v>Weapon recieves +3 bonus, +1/four levels (max +5).</v>
      </c>
      <c r="V167" s="9"/>
      <c r="W167" s="9"/>
      <c r="X167" s="21"/>
    </row>
    <row r="168">
      <c r="B168" s="23">
        <v>3.0</v>
      </c>
      <c r="C168" s="24" t="s">
        <v>497</v>
      </c>
      <c r="D168" s="16"/>
      <c r="E168" s="25" t="s">
        <v>107</v>
      </c>
      <c r="F168" s="16"/>
      <c r="G168" s="25" t="s">
        <v>40</v>
      </c>
      <c r="H168" s="16"/>
      <c r="I168" s="25" t="s">
        <v>412</v>
      </c>
      <c r="J168" s="16"/>
      <c r="K168" s="25" t="s">
        <v>42</v>
      </c>
      <c r="L168" s="16"/>
      <c r="M168" s="25" t="s">
        <v>498</v>
      </c>
      <c r="N168" s="16"/>
      <c r="O168" s="25" t="s">
        <v>129</v>
      </c>
      <c r="P168" s="16"/>
      <c r="Q168" s="25" t="s">
        <v>53</v>
      </c>
      <c r="R168" s="16"/>
      <c r="S168" s="25" t="s">
        <v>54</v>
      </c>
      <c r="T168" s="16"/>
      <c r="U168" s="27" t="s">
        <v>499</v>
      </c>
      <c r="V168" s="3"/>
      <c r="W168" s="3"/>
      <c r="X168" s="16"/>
    </row>
    <row r="169">
      <c r="B169" s="57">
        <v>3.0</v>
      </c>
      <c r="C169" s="58" t="s">
        <v>500</v>
      </c>
      <c r="D169" s="21"/>
      <c r="E169" s="31" t="s">
        <v>107</v>
      </c>
      <c r="F169" s="21"/>
      <c r="G169" s="32" t="s">
        <v>50</v>
      </c>
      <c r="H169" s="21"/>
      <c r="I169" s="32" t="s">
        <v>41</v>
      </c>
      <c r="J169" s="21"/>
      <c r="K169" s="31" t="s">
        <v>42</v>
      </c>
      <c r="L169" s="21"/>
      <c r="M169" s="31" t="str">
        <f>"One touched object of up to "&amp;2*Level&amp;" cu ft, 2 cu ft/level"</f>
        <v>One touched object of up to 26 cu ft, 2 cu ft/level</v>
      </c>
      <c r="N169" s="21"/>
      <c r="O169" s="31" t="str">
        <f>Level&amp;" days, see text
1 day/level"</f>
        <v>13 days, see text
1 day/level</v>
      </c>
      <c r="P169" s="21"/>
      <c r="Q169" s="32" t="s">
        <v>122</v>
      </c>
      <c r="R169" s="21"/>
      <c r="S169" s="32" t="s">
        <v>123</v>
      </c>
      <c r="T169" s="21"/>
      <c r="U169" s="53" t="s">
        <v>501</v>
      </c>
      <c r="V169" s="9"/>
      <c r="W169" s="9"/>
      <c r="X169" s="21"/>
    </row>
    <row r="170">
      <c r="B170" s="23">
        <v>3.0</v>
      </c>
      <c r="C170" s="24" t="s">
        <v>502</v>
      </c>
      <c r="D170" s="16"/>
      <c r="E170" s="25" t="s">
        <v>107</v>
      </c>
      <c r="F170" s="16"/>
      <c r="G170" s="25" t="s">
        <v>40</v>
      </c>
      <c r="H170" s="16"/>
      <c r="I170" s="25" t="s">
        <v>41</v>
      </c>
      <c r="J170" s="16"/>
      <c r="K170" s="25" t="str">
        <f>close</f>
        <v>Close: 55 ft</v>
      </c>
      <c r="L170" s="16"/>
      <c r="M170" s="25" t="str">
        <f>Level&amp;" living creatures, 1 creature/level, no 2 of which may be more than 30 ft apart"</f>
        <v>13 living creatures, 1 creature/level, no 2 of which may be more than 30 ft apart</v>
      </c>
      <c r="N170" s="16"/>
      <c r="O170" s="25" t="str">
        <f>Level&amp;" rounds
1 round/level"</f>
        <v>13 rounds
1 round/level</v>
      </c>
      <c r="P170" s="16"/>
      <c r="Q170" s="25" t="s">
        <v>74</v>
      </c>
      <c r="R170" s="16"/>
      <c r="S170" s="25" t="s">
        <v>75</v>
      </c>
      <c r="T170" s="16"/>
      <c r="U170" s="27" t="str">
        <f>Level&amp;" subjects take only 1 action/round, -1 on attack rolls, AC, and Reflex saves. 1 subject/level"</f>
        <v>13 subjects take only 1 action/round, -1 on attack rolls, AC, and Reflex saves. 1 subject/level</v>
      </c>
      <c r="V170" s="3"/>
      <c r="W170" s="3"/>
      <c r="X170" s="16"/>
    </row>
    <row r="171">
      <c r="B171" s="57">
        <v>3.0</v>
      </c>
      <c r="C171" s="30" t="s">
        <v>503</v>
      </c>
      <c r="D171" s="21"/>
      <c r="E171" s="31" t="s">
        <v>107</v>
      </c>
      <c r="F171" s="21"/>
      <c r="G171" s="32" t="s">
        <v>504</v>
      </c>
      <c r="H171" s="21"/>
      <c r="I171" s="31" t="s">
        <v>41</v>
      </c>
      <c r="J171" s="21"/>
      <c r="K171" s="31" t="s">
        <v>42</v>
      </c>
      <c r="L171" s="21"/>
      <c r="M171" s="31" t="s">
        <v>505</v>
      </c>
      <c r="N171" s="21"/>
      <c r="O171" s="31" t="str">
        <f>CONCAT((Level)*2, " hours
2 hours/level
see text")</f>
        <v>26 hours
2 hours/level
see text</v>
      </c>
      <c r="P171" s="21"/>
      <c r="Q171" s="31" t="s">
        <v>45</v>
      </c>
      <c r="R171" s="21"/>
      <c r="S171" s="31" t="s">
        <v>46</v>
      </c>
      <c r="T171" s="21"/>
      <c r="U171" s="33" t="s">
        <v>506</v>
      </c>
      <c r="V171" s="9"/>
      <c r="W171" s="9"/>
      <c r="X171" s="21"/>
    </row>
    <row r="172">
      <c r="B172" s="23">
        <v>4.0</v>
      </c>
      <c r="C172" s="59" t="s">
        <v>507</v>
      </c>
      <c r="D172" s="16"/>
      <c r="E172" s="25" t="s">
        <v>39</v>
      </c>
      <c r="F172" s="16"/>
      <c r="G172" s="26" t="s">
        <v>50</v>
      </c>
      <c r="H172" s="16"/>
      <c r="I172" s="26" t="s">
        <v>41</v>
      </c>
      <c r="J172" s="16"/>
      <c r="K172" s="26" t="str">
        <f>medium</f>
        <v>Medium: 230 ft</v>
      </c>
      <c r="L172" s="16"/>
      <c r="M172" s="26" t="s">
        <v>93</v>
      </c>
      <c r="N172" s="16"/>
      <c r="O172" s="25" t="str">
        <f>Level&amp;" minutes
1 minute/level"</f>
        <v>13 minutes
1 minute/level</v>
      </c>
      <c r="P172" s="16"/>
      <c r="Q172" s="26" t="s">
        <v>53</v>
      </c>
      <c r="R172" s="16"/>
      <c r="S172" s="26" t="s">
        <v>123</v>
      </c>
      <c r="T172" s="16"/>
      <c r="U172" s="60" t="s">
        <v>508</v>
      </c>
      <c r="V172" s="3"/>
      <c r="W172" s="3"/>
      <c r="X172" s="16"/>
    </row>
    <row r="173">
      <c r="B173" s="57">
        <v>4.0</v>
      </c>
      <c r="C173" s="30" t="s">
        <v>509</v>
      </c>
      <c r="D173" s="21"/>
      <c r="E173" s="32" t="s">
        <v>510</v>
      </c>
      <c r="F173" s="21"/>
      <c r="G173" s="31" t="s">
        <v>256</v>
      </c>
      <c r="H173" s="21"/>
      <c r="I173" s="31" t="s">
        <v>412</v>
      </c>
      <c r="J173" s="21"/>
      <c r="K173" s="31" t="s">
        <v>42</v>
      </c>
      <c r="L173" s="21"/>
      <c r="M173" s="31" t="s">
        <v>308</v>
      </c>
      <c r="N173" s="21"/>
      <c r="O173" s="31" t="s">
        <v>400</v>
      </c>
      <c r="P173" s="21"/>
      <c r="Q173" s="31" t="s">
        <v>511</v>
      </c>
      <c r="R173" s="21"/>
      <c r="S173" s="31" t="s">
        <v>75</v>
      </c>
      <c r="T173" s="21"/>
      <c r="U173" s="33" t="str">
        <f>CONCAT("Opened object deals 1d4+",CONCAT(Level," damage, +1/level"))</f>
        <v>Opened object deals 1d4+13 damage, +1/level</v>
      </c>
      <c r="V173" s="9"/>
      <c r="W173" s="9"/>
      <c r="X173" s="21"/>
    </row>
    <row r="174">
      <c r="B174" s="23">
        <v>4.0</v>
      </c>
      <c r="C174" s="59" t="s">
        <v>512</v>
      </c>
      <c r="D174" s="16"/>
      <c r="E174" s="25" t="s">
        <v>39</v>
      </c>
      <c r="F174" s="16"/>
      <c r="G174" s="25" t="s">
        <v>40</v>
      </c>
      <c r="H174" s="16"/>
      <c r="I174" s="25" t="s">
        <v>41</v>
      </c>
      <c r="J174" s="16"/>
      <c r="K174" s="25" t="s">
        <v>112</v>
      </c>
      <c r="L174" s="16"/>
      <c r="M174" s="25" t="s">
        <v>513</v>
      </c>
      <c r="N174" s="16"/>
      <c r="O174" s="25" t="str">
        <f>CONCAT(Level, " rounds (D)
1 round/level")</f>
        <v>13 rounds (D)
1 round/level</v>
      </c>
      <c r="P174" s="16"/>
      <c r="Q174" s="25" t="s">
        <v>53</v>
      </c>
      <c r="R174" s="16"/>
      <c r="S174" s="25" t="s">
        <v>54</v>
      </c>
      <c r="T174" s="16"/>
      <c r="U174" s="27" t="s">
        <v>514</v>
      </c>
      <c r="V174" s="3"/>
      <c r="W174" s="3"/>
      <c r="X174" s="16"/>
    </row>
    <row r="175">
      <c r="B175" s="57">
        <v>4.0</v>
      </c>
      <c r="C175" s="30" t="s">
        <v>515</v>
      </c>
      <c r="D175" s="21"/>
      <c r="E175" s="31" t="s">
        <v>39</v>
      </c>
      <c r="F175" s="21"/>
      <c r="G175" s="31" t="s">
        <v>50</v>
      </c>
      <c r="H175" s="21"/>
      <c r="I175" s="31" t="s">
        <v>41</v>
      </c>
      <c r="J175" s="21"/>
      <c r="K175" s="31" t="s">
        <v>42</v>
      </c>
      <c r="L175" s="21"/>
      <c r="M175" s="31" t="s">
        <v>516</v>
      </c>
      <c r="N175" s="21"/>
      <c r="O175" s="31" t="s">
        <v>52</v>
      </c>
      <c r="P175" s="21"/>
      <c r="Q175" s="31" t="s">
        <v>45</v>
      </c>
      <c r="R175" s="21"/>
      <c r="S175" s="31" t="s">
        <v>46</v>
      </c>
      <c r="T175" s="21"/>
      <c r="U175" s="33" t="s">
        <v>517</v>
      </c>
      <c r="V175" s="9"/>
      <c r="W175" s="9"/>
      <c r="X175" s="21"/>
    </row>
    <row r="176">
      <c r="B176" s="23">
        <v>4.0</v>
      </c>
      <c r="C176" s="24" t="s">
        <v>518</v>
      </c>
      <c r="D176" s="16"/>
      <c r="E176" s="25" t="s">
        <v>39</v>
      </c>
      <c r="F176" s="16"/>
      <c r="G176" s="25" t="s">
        <v>519</v>
      </c>
      <c r="H176" s="16"/>
      <c r="I176" s="25" t="s">
        <v>41</v>
      </c>
      <c r="J176" s="16"/>
      <c r="K176" s="25" t="s">
        <v>42</v>
      </c>
      <c r="L176" s="16"/>
      <c r="M176" s="25" t="s">
        <v>104</v>
      </c>
      <c r="N176" s="16"/>
      <c r="O176" s="25" t="str">
        <f>CONCAT(Level*10, " minutes or until discharged
10 minutes/level")</f>
        <v>130 minutes or until discharged
10 minutes/level</v>
      </c>
      <c r="P176" s="16"/>
      <c r="Q176" s="25" t="s">
        <v>45</v>
      </c>
      <c r="R176" s="16"/>
      <c r="S176" s="25" t="s">
        <v>46</v>
      </c>
      <c r="T176" s="16"/>
      <c r="U176" s="27" t="s">
        <v>520</v>
      </c>
      <c r="V176" s="3"/>
      <c r="W176" s="3"/>
      <c r="X176" s="16"/>
    </row>
    <row r="177">
      <c r="B177" s="57">
        <v>4.0</v>
      </c>
      <c r="C177" s="58" t="s">
        <v>521</v>
      </c>
      <c r="D177" s="21"/>
      <c r="E177" s="32" t="s">
        <v>156</v>
      </c>
      <c r="F177" s="21"/>
      <c r="G177" s="32" t="s">
        <v>40</v>
      </c>
      <c r="H177" s="21"/>
      <c r="I177" s="31" t="s">
        <v>41</v>
      </c>
      <c r="J177" s="21"/>
      <c r="K177" s="31" t="str">
        <f>medium</f>
        <v>Medium: 230 ft</v>
      </c>
      <c r="L177" s="21"/>
      <c r="M177" s="32" t="s">
        <v>447</v>
      </c>
      <c r="N177" s="21"/>
      <c r="O177" s="31" t="str">
        <f>CONCAT(Level, " rounds (D)
1 round/level")</f>
        <v>13 rounds (D)
1 round/level</v>
      </c>
      <c r="P177" s="21"/>
      <c r="Q177" s="32" t="s">
        <v>53</v>
      </c>
      <c r="R177" s="21"/>
      <c r="S177" s="32" t="s">
        <v>54</v>
      </c>
      <c r="T177" s="21"/>
      <c r="U177" s="53" t="s">
        <v>522</v>
      </c>
      <c r="V177" s="9"/>
      <c r="W177" s="9"/>
      <c r="X177" s="21"/>
    </row>
    <row r="178">
      <c r="B178" s="23">
        <v>4.0</v>
      </c>
      <c r="C178" s="24" t="s">
        <v>523</v>
      </c>
      <c r="D178" s="16"/>
      <c r="E178" s="26" t="s">
        <v>524</v>
      </c>
      <c r="F178" s="16"/>
      <c r="G178" s="25" t="s">
        <v>83</v>
      </c>
      <c r="H178" s="16"/>
      <c r="I178" s="25" t="s">
        <v>41</v>
      </c>
      <c r="J178" s="16"/>
      <c r="K178" s="25" t="str">
        <f>long</f>
        <v>Long: 920 ft</v>
      </c>
      <c r="L178" s="16"/>
      <c r="M178" s="25" t="s">
        <v>525</v>
      </c>
      <c r="N178" s="16"/>
      <c r="O178" s="25" t="s">
        <v>52</v>
      </c>
      <c r="P178" s="16"/>
      <c r="Q178" s="25" t="s">
        <v>526</v>
      </c>
      <c r="R178" s="16"/>
      <c r="S178" s="25" t="s">
        <v>527</v>
      </c>
      <c r="T178" s="16"/>
      <c r="U178" s="27" t="s">
        <v>528</v>
      </c>
      <c r="V178" s="3"/>
      <c r="W178" s="3"/>
      <c r="X178" s="16"/>
    </row>
    <row r="179">
      <c r="B179" s="57">
        <v>4.0</v>
      </c>
      <c r="C179" s="58" t="s">
        <v>529</v>
      </c>
      <c r="D179" s="21"/>
      <c r="E179" s="32" t="s">
        <v>156</v>
      </c>
      <c r="F179" s="21"/>
      <c r="G179" s="32" t="s">
        <v>40</v>
      </c>
      <c r="H179" s="21"/>
      <c r="I179" s="32" t="s">
        <v>44</v>
      </c>
      <c r="J179" s="21"/>
      <c r="K179" s="32" t="s">
        <v>127</v>
      </c>
      <c r="L179" s="21"/>
      <c r="M179" s="31" t="str">
        <f>"Unattended, nonmagical object of nonliving plant matter, up to "&amp;Level&amp;" cu ft, 1 cu ft/level"</f>
        <v>Unattended, nonmagical object of nonliving plant matter, up to 13 cu ft, 1 cu ft/level</v>
      </c>
      <c r="N179" s="21"/>
      <c r="O179" s="31" t="str">
        <f>Level&amp;" hours (D)
1 hour/level"</f>
        <v>13 hours (D)
1 hour/level</v>
      </c>
      <c r="P179" s="21"/>
      <c r="Q179" s="31" t="s">
        <v>53</v>
      </c>
      <c r="R179" s="21"/>
      <c r="S179" s="31" t="s">
        <v>54</v>
      </c>
      <c r="T179" s="21"/>
      <c r="U179" s="53" t="s">
        <v>530</v>
      </c>
      <c r="V179" s="9"/>
      <c r="W179" s="9"/>
      <c r="X179" s="21"/>
    </row>
    <row r="180">
      <c r="B180" s="23">
        <v>4.0</v>
      </c>
      <c r="C180" s="24" t="s">
        <v>531</v>
      </c>
      <c r="D180" s="16"/>
      <c r="E180" s="26" t="s">
        <v>156</v>
      </c>
      <c r="F180" s="16"/>
      <c r="G180" s="25" t="s">
        <v>532</v>
      </c>
      <c r="H180" s="16"/>
      <c r="I180" s="25" t="s">
        <v>412</v>
      </c>
      <c r="J180" s="16"/>
      <c r="K180" s="25" t="str">
        <f>close</f>
        <v>Close: 55 ft</v>
      </c>
      <c r="L180" s="16"/>
      <c r="M180" s="25" t="s">
        <v>533</v>
      </c>
      <c r="N180" s="16"/>
      <c r="O180" s="25" t="str">
        <f>Level*2&amp;" hours (D)
2 hours/level"</f>
        <v>26 hours (D)
2 hours/level</v>
      </c>
      <c r="P180" s="16"/>
      <c r="Q180" s="25" t="s">
        <v>53</v>
      </c>
      <c r="R180" s="16"/>
      <c r="S180" s="25" t="s">
        <v>54</v>
      </c>
      <c r="T180" s="16"/>
      <c r="U180" s="27" t="s">
        <v>534</v>
      </c>
      <c r="V180" s="3"/>
      <c r="W180" s="3"/>
      <c r="X180" s="16"/>
    </row>
    <row r="181">
      <c r="B181" s="57">
        <v>4.0</v>
      </c>
      <c r="C181" s="58" t="s">
        <v>535</v>
      </c>
      <c r="D181" s="21"/>
      <c r="E181" s="32" t="s">
        <v>156</v>
      </c>
      <c r="F181" s="21"/>
      <c r="G181" s="32" t="s">
        <v>40</v>
      </c>
      <c r="H181" s="21"/>
      <c r="I181" s="32" t="s">
        <v>41</v>
      </c>
      <c r="J181" s="21"/>
      <c r="K181" s="31" t="str">
        <f>medium</f>
        <v>Medium: 230 ft</v>
      </c>
      <c r="L181" s="21"/>
      <c r="M181" s="32" t="s">
        <v>536</v>
      </c>
      <c r="N181" s="21"/>
      <c r="O181" s="31" t="str">
        <f>Level&amp;" minutes
1 minute/level"</f>
        <v>13 minutes
1 minute/level</v>
      </c>
      <c r="P181" s="21"/>
      <c r="Q181" s="32" t="s">
        <v>53</v>
      </c>
      <c r="R181" s="21"/>
      <c r="S181" s="31" t="s">
        <v>54</v>
      </c>
      <c r="T181" s="21"/>
      <c r="U181" s="53" t="s">
        <v>537</v>
      </c>
      <c r="V181" s="9"/>
      <c r="W181" s="9"/>
      <c r="X181" s="21"/>
    </row>
    <row r="182">
      <c r="B182" s="23">
        <v>4.0</v>
      </c>
      <c r="C182" s="24" t="s">
        <v>538</v>
      </c>
      <c r="D182" s="16"/>
      <c r="E182" s="26" t="s">
        <v>170</v>
      </c>
      <c r="F182" s="16"/>
      <c r="G182" s="25" t="s">
        <v>65</v>
      </c>
      <c r="H182" s="16"/>
      <c r="I182" s="25" t="s">
        <v>73</v>
      </c>
      <c r="J182" s="16"/>
      <c r="K182" s="25" t="str">
        <f>close</f>
        <v>Close: 55 ft</v>
      </c>
      <c r="L182" s="16"/>
      <c r="M182" s="25" t="s">
        <v>171</v>
      </c>
      <c r="N182" s="16"/>
      <c r="O182" s="25" t="str">
        <f>Level&amp;" rounds (D)
1 round/level"</f>
        <v>13 rounds (D)
1 round/level</v>
      </c>
      <c r="P182" s="16"/>
      <c r="Q182" s="25" t="s">
        <v>53</v>
      </c>
      <c r="R182" s="16"/>
      <c r="S182" s="25" t="s">
        <v>54</v>
      </c>
      <c r="T182" s="16"/>
      <c r="U182" s="27" t="s">
        <v>172</v>
      </c>
      <c r="V182" s="3"/>
      <c r="W182" s="3"/>
      <c r="X182" s="16"/>
    </row>
    <row r="183">
      <c r="B183" s="57">
        <v>4.0</v>
      </c>
      <c r="C183" s="58" t="s">
        <v>539</v>
      </c>
      <c r="D183" s="21"/>
      <c r="E183" s="32" t="s">
        <v>429</v>
      </c>
      <c r="F183" s="21"/>
      <c r="G183" s="31" t="s">
        <v>40</v>
      </c>
      <c r="H183" s="21"/>
      <c r="I183" s="32" t="s">
        <v>412</v>
      </c>
      <c r="J183" s="21"/>
      <c r="K183" s="32" t="s">
        <v>540</v>
      </c>
      <c r="L183" s="21"/>
      <c r="M183" s="32" t="s">
        <v>430</v>
      </c>
      <c r="N183" s="21"/>
      <c r="O183" s="31" t="str">
        <f>Level&amp;" minutes (D)
1 minute/level"</f>
        <v>13 minutes (D)
1 minute/level</v>
      </c>
      <c r="P183" s="21"/>
      <c r="Q183" s="31" t="s">
        <v>53</v>
      </c>
      <c r="R183" s="21"/>
      <c r="S183" s="31" t="s">
        <v>54</v>
      </c>
      <c r="T183" s="21"/>
      <c r="U183" s="53" t="s">
        <v>541</v>
      </c>
      <c r="V183" s="9"/>
      <c r="W183" s="9"/>
      <c r="X183" s="21"/>
    </row>
    <row r="184">
      <c r="B184" s="23">
        <v>4.0</v>
      </c>
      <c r="C184" s="24" t="s">
        <v>542</v>
      </c>
      <c r="D184" s="16"/>
      <c r="E184" s="25" t="s">
        <v>57</v>
      </c>
      <c r="F184" s="16"/>
      <c r="G184" s="25" t="s">
        <v>40</v>
      </c>
      <c r="H184" s="16"/>
      <c r="I184" s="25" t="s">
        <v>41</v>
      </c>
      <c r="J184" s="16"/>
      <c r="K184" s="25" t="s">
        <v>543</v>
      </c>
      <c r="L184" s="16"/>
      <c r="M184" s="25" t="s">
        <v>544</v>
      </c>
      <c r="N184" s="16"/>
      <c r="O184" s="25" t="s">
        <v>138</v>
      </c>
      <c r="P184" s="16"/>
      <c r="Q184" s="25" t="s">
        <v>53</v>
      </c>
      <c r="R184" s="16"/>
      <c r="S184" s="25" t="s">
        <v>54</v>
      </c>
      <c r="T184" s="16"/>
      <c r="U184" s="27" t="s">
        <v>545</v>
      </c>
      <c r="V184" s="3"/>
      <c r="W184" s="3"/>
      <c r="X184" s="16"/>
    </row>
    <row r="185">
      <c r="B185" s="57">
        <v>4.0</v>
      </c>
      <c r="C185" s="30" t="s">
        <v>546</v>
      </c>
      <c r="D185" s="21"/>
      <c r="E185" s="31" t="s">
        <v>57</v>
      </c>
      <c r="F185" s="21"/>
      <c r="G185" s="31" t="s">
        <v>40</v>
      </c>
      <c r="H185" s="21"/>
      <c r="I185" s="31" t="s">
        <v>41</v>
      </c>
      <c r="J185" s="21"/>
      <c r="K185" s="31" t="str">
        <f>long</f>
        <v>Long: 920 ft</v>
      </c>
      <c r="L185" s="21"/>
      <c r="M185" s="31" t="str">
        <f>"Circle, centered on you, with a radius of "&amp;400+Level*40&amp;" ft, 400+40 ft/level"</f>
        <v>Circle, centered on you, with a radius of 920 ft, 400+40 ft/level</v>
      </c>
      <c r="N185" s="21"/>
      <c r="O185" s="31" t="str">
        <f>CONCAT(Level*10, " minutes
10 minutes/level")</f>
        <v>130 minutes
10 minutes/level</v>
      </c>
      <c r="P185" s="21"/>
      <c r="Q185" s="31" t="s">
        <v>53</v>
      </c>
      <c r="R185" s="21"/>
      <c r="S185" s="31" t="s">
        <v>54</v>
      </c>
      <c r="T185" s="21"/>
      <c r="U185" s="33" t="s">
        <v>547</v>
      </c>
      <c r="V185" s="9"/>
      <c r="W185" s="9"/>
      <c r="X185" s="21"/>
    </row>
    <row r="186">
      <c r="B186" s="23">
        <v>4.0</v>
      </c>
      <c r="C186" s="24" t="s">
        <v>548</v>
      </c>
      <c r="D186" s="16"/>
      <c r="E186" s="26" t="s">
        <v>429</v>
      </c>
      <c r="F186" s="16"/>
      <c r="G186" s="26" t="s">
        <v>549</v>
      </c>
      <c r="H186" s="16"/>
      <c r="I186" s="25" t="s">
        <v>133</v>
      </c>
      <c r="J186" s="16"/>
      <c r="K186" s="25" t="s">
        <v>132</v>
      </c>
      <c r="L186" s="16"/>
      <c r="M186" s="25" t="s">
        <v>430</v>
      </c>
      <c r="N186" s="16"/>
      <c r="O186" s="25" t="str">
        <f>CONCAT(Level, " minutes
1 minute/level")</f>
        <v>13 minutes
1 minute/level</v>
      </c>
      <c r="P186" s="16"/>
      <c r="Q186" s="25" t="s">
        <v>74</v>
      </c>
      <c r="R186" s="16"/>
      <c r="S186" s="25" t="s">
        <v>75</v>
      </c>
      <c r="T186" s="16"/>
      <c r="U186" s="27" t="s">
        <v>550</v>
      </c>
      <c r="V186" s="3"/>
      <c r="W186" s="3"/>
      <c r="X186" s="16"/>
    </row>
    <row r="187">
      <c r="B187" s="57">
        <v>4.0</v>
      </c>
      <c r="C187" s="30" t="s">
        <v>551</v>
      </c>
      <c r="D187" s="21"/>
      <c r="E187" s="32" t="s">
        <v>191</v>
      </c>
      <c r="F187" s="21"/>
      <c r="G187" s="31" t="s">
        <v>50</v>
      </c>
      <c r="H187" s="21"/>
      <c r="I187" s="31" t="s">
        <v>41</v>
      </c>
      <c r="J187" s="21"/>
      <c r="K187" s="31" t="str">
        <f>close</f>
        <v>Close: 55 ft</v>
      </c>
      <c r="L187" s="21"/>
      <c r="M187" s="31" t="s">
        <v>350</v>
      </c>
      <c r="N187" s="21"/>
      <c r="O187" s="31" t="str">
        <f>Level&amp;" days
1 day/level"</f>
        <v>13 days
1 day/level</v>
      </c>
      <c r="P187" s="21"/>
      <c r="Q187" s="31" t="s">
        <v>74</v>
      </c>
      <c r="R187" s="21"/>
      <c r="S187" s="31" t="s">
        <v>75</v>
      </c>
      <c r="T187" s="21"/>
      <c r="U187" s="33" t="s">
        <v>552</v>
      </c>
      <c r="V187" s="9"/>
      <c r="W187" s="9"/>
      <c r="X187" s="21"/>
    </row>
    <row r="188">
      <c r="B188" s="23">
        <v>4.0</v>
      </c>
      <c r="C188" s="24" t="s">
        <v>553</v>
      </c>
      <c r="D188" s="16"/>
      <c r="E188" s="26" t="s">
        <v>71</v>
      </c>
      <c r="F188" s="16"/>
      <c r="G188" s="25" t="s">
        <v>40</v>
      </c>
      <c r="H188" s="16"/>
      <c r="I188" s="25" t="s">
        <v>41</v>
      </c>
      <c r="J188" s="16"/>
      <c r="K188" s="25" t="str">
        <f>medium</f>
        <v>Medium: 230 ft</v>
      </c>
      <c r="L188" s="16"/>
      <c r="M188" s="25" t="s">
        <v>554</v>
      </c>
      <c r="N188" s="16"/>
      <c r="O188" s="25" t="str">
        <f>Level&amp;" rounds
1 round/level"</f>
        <v>13 rounds
1 round/level</v>
      </c>
      <c r="P188" s="16"/>
      <c r="Q188" s="25" t="s">
        <v>74</v>
      </c>
      <c r="R188" s="16"/>
      <c r="S188" s="25" t="s">
        <v>75</v>
      </c>
      <c r="T188" s="16"/>
      <c r="U188" s="27" t="str">
        <f>"Subjects behave oddly for "&amp;Level&amp;" rounds, 1 round/level"</f>
        <v>Subjects behave oddly for 13 rounds, 1 round/level</v>
      </c>
      <c r="V188" s="3"/>
      <c r="W188" s="3"/>
      <c r="X188" s="16"/>
    </row>
    <row r="189">
      <c r="B189" s="57">
        <v>4.0</v>
      </c>
      <c r="C189" s="30" t="s">
        <v>555</v>
      </c>
      <c r="D189" s="21"/>
      <c r="E189" s="32" t="s">
        <v>71</v>
      </c>
      <c r="F189" s="21"/>
      <c r="G189" s="31" t="s">
        <v>40</v>
      </c>
      <c r="H189" s="21"/>
      <c r="I189" s="31" t="s">
        <v>41</v>
      </c>
      <c r="J189" s="21"/>
      <c r="K189" s="31" t="s">
        <v>556</v>
      </c>
      <c r="L189" s="21"/>
      <c r="M189" s="31" t="s">
        <v>204</v>
      </c>
      <c r="N189" s="21"/>
      <c r="O189" s="31" t="str">
        <f>Level&amp;" minutes
1 minute/level"</f>
        <v>13 minutes
1 minute/level</v>
      </c>
      <c r="P189" s="21"/>
      <c r="Q189" s="31" t="s">
        <v>74</v>
      </c>
      <c r="R189" s="21"/>
      <c r="S189" s="31" t="s">
        <v>75</v>
      </c>
      <c r="T189" s="21"/>
      <c r="U189" s="33" t="s">
        <v>557</v>
      </c>
      <c r="V189" s="9"/>
      <c r="W189" s="9"/>
      <c r="X189" s="21"/>
    </row>
    <row r="190">
      <c r="B190" s="23">
        <v>4.0</v>
      </c>
      <c r="C190" s="24" t="s">
        <v>558</v>
      </c>
      <c r="D190" s="16"/>
      <c r="E190" s="26" t="s">
        <v>442</v>
      </c>
      <c r="F190" s="16"/>
      <c r="G190" s="25" t="s">
        <v>83</v>
      </c>
      <c r="H190" s="16"/>
      <c r="I190" s="25" t="s">
        <v>73</v>
      </c>
      <c r="J190" s="16"/>
      <c r="K190" s="25" t="str">
        <f>close</f>
        <v>Close: 55 ft</v>
      </c>
      <c r="L190" s="16"/>
      <c r="M190" s="25" t="s">
        <v>559</v>
      </c>
      <c r="N190" s="16"/>
      <c r="O190" s="25" t="str">
        <f>Level&amp;" days or until discharged (D)
1 day/level"</f>
        <v>13 days or until discharged (D)
1 day/level</v>
      </c>
      <c r="P190" s="16"/>
      <c r="Q190" s="25" t="s">
        <v>74</v>
      </c>
      <c r="R190" s="16"/>
      <c r="S190" s="25" t="s">
        <v>75</v>
      </c>
      <c r="T190" s="16"/>
      <c r="U190" s="27" t="s">
        <v>560</v>
      </c>
      <c r="V190" s="3"/>
      <c r="W190" s="3"/>
      <c r="X190" s="16"/>
    </row>
    <row r="191">
      <c r="B191" s="57">
        <v>4.0</v>
      </c>
      <c r="C191" s="58" t="s">
        <v>561</v>
      </c>
      <c r="D191" s="21"/>
      <c r="E191" s="32" t="s">
        <v>562</v>
      </c>
      <c r="F191" s="21"/>
      <c r="G191" s="32" t="s">
        <v>40</v>
      </c>
      <c r="H191" s="21"/>
      <c r="I191" s="31" t="s">
        <v>41</v>
      </c>
      <c r="J191" s="21"/>
      <c r="K191" s="32" t="s">
        <v>66</v>
      </c>
      <c r="L191" s="21"/>
      <c r="M191" s="32" t="s">
        <v>67</v>
      </c>
      <c r="N191" s="21"/>
      <c r="O191" s="31" t="str">
        <f>Level&amp;" rounds (D)
1 round/level"</f>
        <v>13 rounds (D)
1 round/level</v>
      </c>
      <c r="P191" s="21"/>
      <c r="Q191" s="32" t="s">
        <v>68</v>
      </c>
      <c r="R191" s="21"/>
      <c r="S191" s="32" t="s">
        <v>68</v>
      </c>
      <c r="T191" s="21"/>
      <c r="U191" s="53" t="s">
        <v>563</v>
      </c>
      <c r="V191" s="9"/>
      <c r="W191" s="9"/>
      <c r="X191" s="21"/>
    </row>
    <row r="192">
      <c r="B192" s="23">
        <v>4.0</v>
      </c>
      <c r="C192" s="24" t="s">
        <v>564</v>
      </c>
      <c r="D192" s="16"/>
      <c r="E192" s="26" t="s">
        <v>92</v>
      </c>
      <c r="F192" s="16"/>
      <c r="G192" s="26" t="s">
        <v>40</v>
      </c>
      <c r="H192" s="16"/>
      <c r="I192" s="25" t="s">
        <v>41</v>
      </c>
      <c r="J192" s="16"/>
      <c r="K192" s="25" t="str">
        <f>CONCAT("Long: ", CONCAT(400+(40*Level), " ft"))</f>
        <v>Long: 920 ft</v>
      </c>
      <c r="L192" s="16"/>
      <c r="M192" s="26" t="s">
        <v>565</v>
      </c>
      <c r="N192" s="16"/>
      <c r="O192" s="25" t="s">
        <v>566</v>
      </c>
      <c r="P192" s="16"/>
      <c r="Q192" s="25" t="s">
        <v>53</v>
      </c>
      <c r="R192" s="16"/>
      <c r="S192" s="25" t="s">
        <v>75</v>
      </c>
      <c r="T192" s="16"/>
      <c r="U192" s="27" t="s">
        <v>567</v>
      </c>
      <c r="V192" s="3"/>
      <c r="W192" s="3"/>
      <c r="X192" s="16"/>
    </row>
    <row r="193">
      <c r="B193" s="57">
        <v>4.0</v>
      </c>
      <c r="C193" s="58" t="s">
        <v>568</v>
      </c>
      <c r="D193" s="21"/>
      <c r="E193" s="32" t="s">
        <v>207</v>
      </c>
      <c r="F193" s="21"/>
      <c r="G193" s="32" t="s">
        <v>40</v>
      </c>
      <c r="H193" s="21"/>
      <c r="I193" s="31" t="s">
        <v>41</v>
      </c>
      <c r="J193" s="21"/>
      <c r="K193" s="31" t="str">
        <f>close</f>
        <v>Close: 55 ft</v>
      </c>
      <c r="L193" s="21"/>
      <c r="M193" s="31" t="str">
        <f>Level&amp;" ft diameter sphere, 1 ft/level, centered around a creature"</f>
        <v>13 ft diameter sphere, 1 ft/level, centered around a creature</v>
      </c>
      <c r="N193" s="21"/>
      <c r="O193" s="31" t="str">
        <f>Level&amp;" minutes (D)
1 minute/level"</f>
        <v>13 minutes (D)
1 minute/level</v>
      </c>
      <c r="P193" s="21"/>
      <c r="Q193" s="32" t="s">
        <v>312</v>
      </c>
      <c r="R193" s="21"/>
      <c r="S193" s="31" t="s">
        <v>75</v>
      </c>
      <c r="T193" s="21"/>
      <c r="U193" s="53" t="s">
        <v>569</v>
      </c>
      <c r="V193" s="9"/>
      <c r="W193" s="9"/>
      <c r="X193" s="21"/>
    </row>
    <row r="194">
      <c r="B194" s="23">
        <v>4.0</v>
      </c>
      <c r="C194" s="24" t="s">
        <v>570</v>
      </c>
      <c r="D194" s="16"/>
      <c r="E194" s="26" t="s">
        <v>320</v>
      </c>
      <c r="F194" s="16"/>
      <c r="G194" s="25" t="s">
        <v>83</v>
      </c>
      <c r="H194" s="16"/>
      <c r="I194" s="25" t="s">
        <v>41</v>
      </c>
      <c r="J194" s="16"/>
      <c r="K194" s="25" t="s">
        <v>556</v>
      </c>
      <c r="L194" s="16"/>
      <c r="M194" s="25" t="s">
        <v>204</v>
      </c>
      <c r="N194" s="16"/>
      <c r="O194" s="25" t="s">
        <v>52</v>
      </c>
      <c r="P194" s="16"/>
      <c r="Q194" s="25" t="s">
        <v>571</v>
      </c>
      <c r="R194" s="16"/>
      <c r="S194" s="25" t="s">
        <v>123</v>
      </c>
      <c r="T194" s="16"/>
      <c r="U194" s="27" t="s">
        <v>572</v>
      </c>
      <c r="V194" s="3"/>
      <c r="W194" s="3"/>
      <c r="X194" s="16"/>
    </row>
    <row r="195">
      <c r="B195" s="57">
        <v>4.0</v>
      </c>
      <c r="C195" s="30" t="s">
        <v>573</v>
      </c>
      <c r="D195" s="21"/>
      <c r="E195" s="32" t="s">
        <v>202</v>
      </c>
      <c r="F195" s="21"/>
      <c r="G195" s="32" t="s">
        <v>40</v>
      </c>
      <c r="H195" s="21"/>
      <c r="I195" s="31" t="s">
        <v>41</v>
      </c>
      <c r="J195" s="21"/>
      <c r="K195" s="31" t="str">
        <f>CONCAT("Medium: ", CONCAT(100+(10*Level), " ft"))</f>
        <v>Medium: 230 ft</v>
      </c>
      <c r="L195" s="21"/>
      <c r="M195" s="31" t="str">
        <f>CONCAT("Opaque sheet of flame up to ",CONCAT(Level*20, CONCAT(" ft long, 20 ft/level, or a ring with a radius of up to ",CONCAT(FLOOR(Level/2,1)*5, " ft, 5 ft per 2 levels, either form 20 ft high"))))</f>
        <v>Opaque sheet of flame up to 260 ft long, 20 ft/level, or a ring with a radius of up to 30 ft, 5 ft per 2 levels, either form 20 ft high</v>
      </c>
      <c r="N195" s="21"/>
      <c r="O195" s="31" t="str">
        <f>CONCAT("Concentration + ",CONCAT(Level, " rounds
1 round/level"))</f>
        <v>Concentration + 13 rounds
1 round/level</v>
      </c>
      <c r="P195" s="21"/>
      <c r="Q195" s="31" t="s">
        <v>53</v>
      </c>
      <c r="R195" s="21"/>
      <c r="S195" s="31" t="s">
        <v>75</v>
      </c>
      <c r="T195" s="21"/>
      <c r="U195" s="33" t="str">
        <f>CONCAT("Deals 2d4 fire damage out to 10 ft. and 1d4 out to 20 ft. Passing through wall deals 2d6+",CONCAT(MIN(Level,20),", +1/level"))</f>
        <v>Deals 2d4 fire damage out to 10 ft. and 1d4 out to 20 ft. Passing through wall deals 2d6+13, +1/level</v>
      </c>
      <c r="V195" s="9"/>
      <c r="W195" s="9"/>
      <c r="X195" s="21"/>
    </row>
    <row r="196">
      <c r="B196" s="23">
        <v>4.0</v>
      </c>
      <c r="C196" s="59" t="s">
        <v>574</v>
      </c>
      <c r="D196" s="16"/>
      <c r="E196" s="26" t="s">
        <v>92</v>
      </c>
      <c r="F196" s="16"/>
      <c r="G196" s="26" t="s">
        <v>40</v>
      </c>
      <c r="H196" s="16"/>
      <c r="I196" s="25" t="s">
        <v>41</v>
      </c>
      <c r="J196" s="16"/>
      <c r="K196" s="25" t="str">
        <f>CONCAT("Medium: ", CONCAT(100+(10*Level), " ft"))</f>
        <v>Medium: 230 ft</v>
      </c>
      <c r="L196" s="16"/>
      <c r="M196" s="25" t="str">
        <f>"Anchored plane of ice, up to "&amp;Level&amp;" ten ft squares, 1 ten ft square/level, or hemisphere of ice with a radius of up to "&amp;Level+3&amp;" ft, 3 ft + 1 ft/level"</f>
        <v>Anchored plane of ice, up to 13 ten ft squares, 1 ten ft square/level, or hemisphere of ice with a radius of up to 16 ft, 3 ft + 1 ft/level</v>
      </c>
      <c r="N196" s="16"/>
      <c r="O196" s="25" t="str">
        <f>Level&amp;" minutes
1 minute/level"</f>
        <v>13 minutes
1 minute/level</v>
      </c>
      <c r="P196" s="16"/>
      <c r="Q196" s="26" t="s">
        <v>283</v>
      </c>
      <c r="R196" s="16"/>
      <c r="S196" s="25" t="s">
        <v>75</v>
      </c>
      <c r="T196" s="16"/>
      <c r="U196" s="27" t="str">
        <f>"Ice plane creates wall with "&amp;Level+15&amp;" hp, 15 + 1 hp/level, or hemisphere can trap creatures inside"</f>
        <v>Ice plane creates wall with 28 hp, 15 + 1 hp/level, or hemisphere can trap creatures inside</v>
      </c>
      <c r="V196" s="3"/>
      <c r="W196" s="3"/>
      <c r="X196" s="16"/>
    </row>
    <row r="197">
      <c r="B197" s="57">
        <v>4.0</v>
      </c>
      <c r="C197" s="30" t="s">
        <v>575</v>
      </c>
      <c r="D197" s="21"/>
      <c r="E197" s="32" t="s">
        <v>217</v>
      </c>
      <c r="F197" s="21"/>
      <c r="G197" s="31" t="s">
        <v>40</v>
      </c>
      <c r="H197" s="21"/>
      <c r="I197" s="31" t="s">
        <v>412</v>
      </c>
      <c r="J197" s="21"/>
      <c r="K197" s="31" t="str">
        <f>long</f>
        <v>Long: 920 ft</v>
      </c>
      <c r="L197" s="21"/>
      <c r="M197" s="31" t="str">
        <f>Level&amp;" thirty ft cubes, 1 cube/level"</f>
        <v>13 thirty ft cubes, 1 cube/level</v>
      </c>
      <c r="N197" s="21"/>
      <c r="O197" s="31" t="str">
        <f>Level*2&amp;" hours (D)
2 hours/level"</f>
        <v>26 hours (D)
2 hours/level</v>
      </c>
      <c r="P197" s="21"/>
      <c r="Q197" s="31" t="s">
        <v>98</v>
      </c>
      <c r="R197" s="21"/>
      <c r="S197" s="31" t="s">
        <v>54</v>
      </c>
      <c r="T197" s="21"/>
      <c r="U197" s="33" t="s">
        <v>576</v>
      </c>
      <c r="V197" s="9"/>
      <c r="W197" s="9"/>
      <c r="X197" s="21"/>
    </row>
    <row r="198">
      <c r="B198" s="23">
        <v>4.0</v>
      </c>
      <c r="C198" s="59" t="s">
        <v>577</v>
      </c>
      <c r="D198" s="16"/>
      <c r="E198" s="26" t="s">
        <v>96</v>
      </c>
      <c r="F198" s="16"/>
      <c r="G198" s="26" t="s">
        <v>50</v>
      </c>
      <c r="H198" s="16"/>
      <c r="I198" s="26" t="s">
        <v>41</v>
      </c>
      <c r="J198" s="16"/>
      <c r="K198" s="25" t="str">
        <f>close</f>
        <v>Close: 55 ft</v>
      </c>
      <c r="L198" s="16"/>
      <c r="M198" s="26" t="s">
        <v>578</v>
      </c>
      <c r="N198" s="16"/>
      <c r="O198" s="26" t="s">
        <v>129</v>
      </c>
      <c r="P198" s="16"/>
      <c r="Q198" s="25" t="s">
        <v>98</v>
      </c>
      <c r="R198" s="16"/>
      <c r="S198" s="25" t="s">
        <v>54</v>
      </c>
      <c r="T198" s="16"/>
      <c r="U198" s="60" t="s">
        <v>579</v>
      </c>
      <c r="V198" s="3"/>
      <c r="W198" s="3"/>
      <c r="X198" s="16"/>
    </row>
    <row r="199">
      <c r="B199" s="57">
        <v>4.0</v>
      </c>
      <c r="C199" s="30" t="s">
        <v>580</v>
      </c>
      <c r="D199" s="21"/>
      <c r="E199" s="32" t="s">
        <v>217</v>
      </c>
      <c r="F199" s="21"/>
      <c r="G199" s="31" t="s">
        <v>50</v>
      </c>
      <c r="H199" s="21"/>
      <c r="I199" s="31" t="s">
        <v>41</v>
      </c>
      <c r="J199" s="21"/>
      <c r="K199" s="31" t="s">
        <v>581</v>
      </c>
      <c r="L199" s="21"/>
      <c r="M199" s="31" t="s">
        <v>582</v>
      </c>
      <c r="N199" s="21"/>
      <c r="O199" s="31" t="str">
        <f>Level&amp;" rounds (D)
1 round/level"</f>
        <v>13 rounds (D)
1 round/level</v>
      </c>
      <c r="P199" s="21"/>
      <c r="Q199" s="31" t="s">
        <v>45</v>
      </c>
      <c r="R199" s="21"/>
      <c r="S199" s="31" t="s">
        <v>46</v>
      </c>
      <c r="T199" s="21"/>
      <c r="U199" s="33" t="s">
        <v>583</v>
      </c>
      <c r="V199" s="9"/>
      <c r="W199" s="9"/>
      <c r="X199" s="21"/>
    </row>
    <row r="200">
      <c r="B200" s="23">
        <v>4.0</v>
      </c>
      <c r="C200" s="24" t="s">
        <v>584</v>
      </c>
      <c r="D200" s="16"/>
      <c r="E200" s="26" t="s">
        <v>585</v>
      </c>
      <c r="F200" s="16"/>
      <c r="G200" s="25" t="s">
        <v>50</v>
      </c>
      <c r="H200" s="16"/>
      <c r="I200" s="25" t="s">
        <v>41</v>
      </c>
      <c r="J200" s="16"/>
      <c r="K200" s="25" t="str">
        <f>medium</f>
        <v>Medium: 230 ft</v>
      </c>
      <c r="L200" s="16"/>
      <c r="M200" s="25" t="s">
        <v>350</v>
      </c>
      <c r="N200" s="16"/>
      <c r="O200" s="25" t="s">
        <v>52</v>
      </c>
      <c r="P200" s="16"/>
      <c r="Q200" s="25" t="s">
        <v>586</v>
      </c>
      <c r="R200" s="16"/>
      <c r="S200" s="25" t="s">
        <v>46</v>
      </c>
      <c r="T200" s="16"/>
      <c r="U200" s="27" t="s">
        <v>587</v>
      </c>
      <c r="V200" s="3"/>
      <c r="W200" s="3"/>
      <c r="X200" s="16"/>
    </row>
    <row r="201">
      <c r="B201" s="57">
        <v>4.0</v>
      </c>
      <c r="C201" s="30" t="s">
        <v>588</v>
      </c>
      <c r="D201" s="21"/>
      <c r="E201" s="32" t="s">
        <v>213</v>
      </c>
      <c r="F201" s="21"/>
      <c r="G201" s="32" t="s">
        <v>589</v>
      </c>
      <c r="H201" s="21"/>
      <c r="I201" s="31" t="s">
        <v>41</v>
      </c>
      <c r="J201" s="21"/>
      <c r="K201" s="31" t="str">
        <f>medium</f>
        <v>Medium: 230 ft</v>
      </c>
      <c r="L201" s="21"/>
      <c r="M201" s="31" t="s">
        <v>590</v>
      </c>
      <c r="N201" s="21"/>
      <c r="O201" s="31" t="str">
        <f>"Concentration + "&amp;Level&amp;" rounds (D)
+1 round/level"</f>
        <v>Concentration + 13 rounds (D)
+1 round/level</v>
      </c>
      <c r="P201" s="21"/>
      <c r="Q201" s="31" t="s">
        <v>74</v>
      </c>
      <c r="R201" s="21"/>
      <c r="S201" s="31" t="s">
        <v>75</v>
      </c>
      <c r="T201" s="21"/>
      <c r="U201" s="33" t="s">
        <v>591</v>
      </c>
      <c r="V201" s="9"/>
      <c r="W201" s="9"/>
      <c r="X201" s="21"/>
    </row>
    <row r="202">
      <c r="B202" s="23">
        <v>4.0</v>
      </c>
      <c r="C202" s="24" t="s">
        <v>592</v>
      </c>
      <c r="D202" s="16"/>
      <c r="E202" s="26" t="s">
        <v>593</v>
      </c>
      <c r="F202" s="16"/>
      <c r="G202" s="25" t="s">
        <v>50</v>
      </c>
      <c r="H202" s="16"/>
      <c r="I202" s="25" t="s">
        <v>41</v>
      </c>
      <c r="J202" s="16"/>
      <c r="K202" s="25" t="s">
        <v>132</v>
      </c>
      <c r="L202" s="16"/>
      <c r="M202" s="25" t="s">
        <v>132</v>
      </c>
      <c r="N202" s="16"/>
      <c r="O202" s="25" t="s">
        <v>132</v>
      </c>
      <c r="P202" s="16"/>
      <c r="Q202" s="25" t="s">
        <v>594</v>
      </c>
      <c r="R202" s="16"/>
      <c r="S202" s="25" t="s">
        <v>595</v>
      </c>
      <c r="T202" s="16"/>
      <c r="U202" s="27" t="s">
        <v>596</v>
      </c>
      <c r="V202" s="3"/>
      <c r="W202" s="3"/>
      <c r="X202" s="16"/>
    </row>
    <row r="203">
      <c r="B203" s="57">
        <v>4.0</v>
      </c>
      <c r="C203" s="58" t="s">
        <v>597</v>
      </c>
      <c r="D203" s="21"/>
      <c r="E203" s="32" t="s">
        <v>598</v>
      </c>
      <c r="F203" s="21"/>
      <c r="G203" s="32" t="s">
        <v>599</v>
      </c>
      <c r="H203" s="21"/>
      <c r="I203" s="31" t="s">
        <v>41</v>
      </c>
      <c r="J203" s="21"/>
      <c r="K203" s="31" t="s">
        <v>42</v>
      </c>
      <c r="L203" s="21"/>
      <c r="M203" s="32" t="s">
        <v>600</v>
      </c>
      <c r="N203" s="21"/>
      <c r="O203" s="31" t="s">
        <v>52</v>
      </c>
      <c r="P203" s="21"/>
      <c r="Q203" s="32" t="s">
        <v>53</v>
      </c>
      <c r="R203" s="21"/>
      <c r="S203" s="32" t="s">
        <v>54</v>
      </c>
      <c r="T203" s="21"/>
      <c r="U203" s="53" t="s">
        <v>601</v>
      </c>
      <c r="V203" s="9"/>
      <c r="W203" s="9"/>
      <c r="X203" s="21"/>
    </row>
    <row r="204">
      <c r="B204" s="23">
        <v>4.0</v>
      </c>
      <c r="C204" s="59" t="s">
        <v>602</v>
      </c>
      <c r="D204" s="16"/>
      <c r="E204" s="25" t="s">
        <v>101</v>
      </c>
      <c r="F204" s="16"/>
      <c r="G204" s="26" t="s">
        <v>50</v>
      </c>
      <c r="H204" s="16"/>
      <c r="I204" s="25" t="s">
        <v>41</v>
      </c>
      <c r="J204" s="16"/>
      <c r="K204" s="25" t="s">
        <v>42</v>
      </c>
      <c r="L204" s="16"/>
      <c r="M204" s="26" t="s">
        <v>104</v>
      </c>
      <c r="N204" s="16"/>
      <c r="O204" s="26" t="s">
        <v>129</v>
      </c>
      <c r="P204" s="16"/>
      <c r="Q204" s="26" t="s">
        <v>74</v>
      </c>
      <c r="R204" s="16"/>
      <c r="S204" s="26" t="s">
        <v>75</v>
      </c>
      <c r="T204" s="16"/>
      <c r="U204" s="60" t="s">
        <v>603</v>
      </c>
      <c r="V204" s="3"/>
      <c r="W204" s="3"/>
      <c r="X204" s="16"/>
    </row>
    <row r="205">
      <c r="B205" s="57">
        <v>4.0</v>
      </c>
      <c r="C205" s="30" t="s">
        <v>604</v>
      </c>
      <c r="D205" s="21"/>
      <c r="E205" s="32" t="s">
        <v>598</v>
      </c>
      <c r="F205" s="21"/>
      <c r="G205" s="31" t="s">
        <v>50</v>
      </c>
      <c r="H205" s="21"/>
      <c r="I205" s="31" t="s">
        <v>41</v>
      </c>
      <c r="J205" s="21"/>
      <c r="K205" s="31" t="s">
        <v>42</v>
      </c>
      <c r="L205" s="21"/>
      <c r="M205" s="31" t="s">
        <v>300</v>
      </c>
      <c r="N205" s="21"/>
      <c r="O205" s="31" t="s">
        <v>52</v>
      </c>
      <c r="P205" s="21"/>
      <c r="Q205" s="31" t="s">
        <v>85</v>
      </c>
      <c r="R205" s="21"/>
      <c r="S205" s="31" t="s">
        <v>75</v>
      </c>
      <c r="T205" s="21"/>
      <c r="U205" s="33" t="s">
        <v>605</v>
      </c>
      <c r="V205" s="9"/>
      <c r="W205" s="9"/>
      <c r="X205" s="21"/>
    </row>
    <row r="206">
      <c r="B206" s="23">
        <v>4.0</v>
      </c>
      <c r="C206" s="59" t="s">
        <v>606</v>
      </c>
      <c r="D206" s="16"/>
      <c r="E206" s="25" t="s">
        <v>101</v>
      </c>
      <c r="F206" s="16"/>
      <c r="G206" s="25" t="s">
        <v>50</v>
      </c>
      <c r="H206" s="16"/>
      <c r="I206" s="25" t="s">
        <v>41</v>
      </c>
      <c r="J206" s="16"/>
      <c r="K206" s="25" t="str">
        <f>close</f>
        <v>Close: 55 ft</v>
      </c>
      <c r="L206" s="16"/>
      <c r="M206" s="26" t="s">
        <v>607</v>
      </c>
      <c r="N206" s="16"/>
      <c r="O206" s="25" t="s">
        <v>52</v>
      </c>
      <c r="P206" s="16"/>
      <c r="Q206" s="26" t="s">
        <v>53</v>
      </c>
      <c r="R206" s="16"/>
      <c r="S206" s="25" t="s">
        <v>75</v>
      </c>
      <c r="T206" s="16"/>
      <c r="U206" s="60" t="s">
        <v>608</v>
      </c>
      <c r="V206" s="3"/>
      <c r="W206" s="3"/>
      <c r="X206" s="16"/>
    </row>
    <row r="207">
      <c r="B207" s="57">
        <v>4.0</v>
      </c>
      <c r="C207" s="30" t="s">
        <v>609</v>
      </c>
      <c r="D207" s="21"/>
      <c r="E207" s="32" t="s">
        <v>227</v>
      </c>
      <c r="F207" s="21"/>
      <c r="G207" s="31" t="s">
        <v>40</v>
      </c>
      <c r="H207" s="21"/>
      <c r="I207" s="31" t="s">
        <v>41</v>
      </c>
      <c r="J207" s="21"/>
      <c r="K207" s="31" t="s">
        <v>556</v>
      </c>
      <c r="L207" s="21"/>
      <c r="M207" s="31" t="s">
        <v>204</v>
      </c>
      <c r="N207" s="21"/>
      <c r="O207" s="31" t="str">
        <f>Level&amp;" rounds or 1 round, see text
1 round/level"</f>
        <v>13 rounds or 1 round, see text
1 round/level</v>
      </c>
      <c r="P207" s="21"/>
      <c r="Q207" s="31" t="s">
        <v>230</v>
      </c>
      <c r="R207" s="21"/>
      <c r="S207" s="31" t="s">
        <v>75</v>
      </c>
      <c r="T207" s="21"/>
      <c r="U207" s="33" t="str">
        <f>"Subjects within cone flee for "&amp;Level&amp;" rounds, 1 round/level"</f>
        <v>Subjects within cone flee for 13 rounds, 1 round/level</v>
      </c>
      <c r="V207" s="9"/>
      <c r="W207" s="9"/>
      <c r="X207" s="21"/>
    </row>
    <row r="208">
      <c r="B208" s="23">
        <v>4.0</v>
      </c>
      <c r="C208" s="59" t="s">
        <v>610</v>
      </c>
      <c r="D208" s="16"/>
      <c r="E208" s="25" t="s">
        <v>107</v>
      </c>
      <c r="F208" s="16"/>
      <c r="G208" s="25" t="s">
        <v>40</v>
      </c>
      <c r="H208" s="16"/>
      <c r="I208" s="25" t="s">
        <v>73</v>
      </c>
      <c r="J208" s="16"/>
      <c r="K208" s="25" t="str">
        <f>close</f>
        <v>Close: 55 ft</v>
      </c>
      <c r="L208" s="16"/>
      <c r="M208" s="25" t="str">
        <f>CONCAT(Level," creatures, no 2 of which can be more than 30 ft apart
1 creature/level")</f>
        <v>13 creatures, no 2 of which can be more than 30 ft apart
1 creature/level</v>
      </c>
      <c r="N208" s="16"/>
      <c r="O208" s="25" t="str">
        <f>CONCAT(Level, " minutes (D)
1 minute/level")</f>
        <v>13 minutes (D)
1 minute/level</v>
      </c>
      <c r="P208" s="16"/>
      <c r="Q208" s="25" t="s">
        <v>85</v>
      </c>
      <c r="R208" s="16"/>
      <c r="S208" s="25" t="s">
        <v>75</v>
      </c>
      <c r="T208" s="16"/>
      <c r="U208" s="27" t="s">
        <v>611</v>
      </c>
      <c r="V208" s="3"/>
      <c r="W208" s="3"/>
      <c r="X208" s="16"/>
    </row>
    <row r="209">
      <c r="B209" s="57">
        <v>4.0</v>
      </c>
      <c r="C209" s="58" t="s">
        <v>612</v>
      </c>
      <c r="D209" s="21"/>
      <c r="E209" s="31" t="s">
        <v>107</v>
      </c>
      <c r="F209" s="21"/>
      <c r="G209" s="31" t="s">
        <v>267</v>
      </c>
      <c r="H209" s="21"/>
      <c r="I209" s="31" t="s">
        <v>412</v>
      </c>
      <c r="J209" s="21"/>
      <c r="K209" s="31" t="s">
        <v>66</v>
      </c>
      <c r="L209" s="21"/>
      <c r="M209" s="31" t="s">
        <v>67</v>
      </c>
      <c r="N209" s="21"/>
      <c r="O209" s="31" t="s">
        <v>52</v>
      </c>
      <c r="P209" s="21"/>
      <c r="Q209" s="31" t="s">
        <v>68</v>
      </c>
      <c r="R209" s="21"/>
      <c r="S209" s="31" t="s">
        <v>68</v>
      </c>
      <c r="T209" s="21"/>
      <c r="U209" s="33" t="s">
        <v>613</v>
      </c>
      <c r="V209" s="9"/>
      <c r="W209" s="9"/>
      <c r="X209" s="21"/>
    </row>
    <row r="210">
      <c r="B210" s="23">
        <v>4.0</v>
      </c>
      <c r="C210" s="59" t="s">
        <v>614</v>
      </c>
      <c r="D210" s="16"/>
      <c r="E210" s="25" t="s">
        <v>107</v>
      </c>
      <c r="F210" s="16"/>
      <c r="G210" s="25" t="s">
        <v>40</v>
      </c>
      <c r="H210" s="16"/>
      <c r="I210" s="25" t="s">
        <v>41</v>
      </c>
      <c r="J210" s="16"/>
      <c r="K210" s="25" t="s">
        <v>42</v>
      </c>
      <c r="L210" s="16"/>
      <c r="M210" s="25" t="s">
        <v>615</v>
      </c>
      <c r="N210" s="16"/>
      <c r="O210" s="25" t="str">
        <f>CONCAT(Level, " minutes (D)
1 minute/level")</f>
        <v>13 minutes (D)
1 minute/level</v>
      </c>
      <c r="P210" s="16"/>
      <c r="Q210" s="25" t="s">
        <v>53</v>
      </c>
      <c r="R210" s="16"/>
      <c r="S210" s="25" t="s">
        <v>54</v>
      </c>
      <c r="T210" s="16"/>
      <c r="U210" s="27" t="s">
        <v>616</v>
      </c>
      <c r="V210" s="3"/>
      <c r="W210" s="3"/>
      <c r="X210" s="16"/>
    </row>
    <row r="211">
      <c r="B211" s="57">
        <v>4.0</v>
      </c>
      <c r="C211" s="58" t="s">
        <v>617</v>
      </c>
      <c r="D211" s="21"/>
      <c r="E211" s="31" t="s">
        <v>107</v>
      </c>
      <c r="F211" s="21"/>
      <c r="G211" s="31" t="s">
        <v>40</v>
      </c>
      <c r="H211" s="21"/>
      <c r="I211" s="31" t="s">
        <v>73</v>
      </c>
      <c r="J211" s="21"/>
      <c r="K211" s="31" t="str">
        <f>close</f>
        <v>Close: 55 ft</v>
      </c>
      <c r="L211" s="21"/>
      <c r="M211" s="31" t="str">
        <f>CONCAT(Level," creatures, no 2 of which can be more than 30 ft apart
1 creature/level")</f>
        <v>13 creatures, no 2 of which can be more than 30 ft apart
1 creature/level</v>
      </c>
      <c r="N211" s="21"/>
      <c r="O211" s="31" t="str">
        <f>CONCAT(Level, " minutes (D)
1 minute/level")</f>
        <v>13 minutes (D)
1 minute/level</v>
      </c>
      <c r="P211" s="21"/>
      <c r="Q211" s="31" t="s">
        <v>85</v>
      </c>
      <c r="R211" s="21"/>
      <c r="S211" s="31" t="s">
        <v>75</v>
      </c>
      <c r="T211" s="21"/>
      <c r="U211" s="53" t="s">
        <v>618</v>
      </c>
      <c r="V211" s="9"/>
      <c r="W211" s="9"/>
      <c r="X211" s="21"/>
    </row>
    <row r="212">
      <c r="B212" s="23">
        <v>4.0</v>
      </c>
      <c r="C212" s="24" t="s">
        <v>619</v>
      </c>
      <c r="D212" s="16"/>
      <c r="E212" s="26" t="s">
        <v>620</v>
      </c>
      <c r="F212" s="16"/>
      <c r="G212" s="26" t="s">
        <v>40</v>
      </c>
      <c r="H212" s="16"/>
      <c r="I212" s="25" t="s">
        <v>41</v>
      </c>
      <c r="J212" s="16"/>
      <c r="K212" s="25" t="s">
        <v>42</v>
      </c>
      <c r="L212" s="16"/>
      <c r="M212" s="25" t="str">
        <f>CONCAT("Stone or stone object touched, up to ",CONCAT(Level+10," cu ft, 10+1 cu ft/level"))</f>
        <v>Stone or stone object touched, up to 23 cu ft, 10+1 cu ft/level</v>
      </c>
      <c r="N212" s="16"/>
      <c r="O212" s="25" t="s">
        <v>52</v>
      </c>
      <c r="P212" s="16"/>
      <c r="Q212" s="25" t="s">
        <v>53</v>
      </c>
      <c r="R212" s="16"/>
      <c r="S212" s="25" t="s">
        <v>54</v>
      </c>
      <c r="T212" s="16"/>
      <c r="U212" s="27" t="s">
        <v>621</v>
      </c>
      <c r="V212" s="3"/>
      <c r="W212" s="3"/>
      <c r="X212" s="16"/>
    </row>
    <row r="213">
      <c r="B213" s="57">
        <v>5.0</v>
      </c>
      <c r="C213" s="30" t="s">
        <v>622</v>
      </c>
      <c r="D213" s="21"/>
      <c r="E213" s="31" t="s">
        <v>39</v>
      </c>
      <c r="F213" s="21"/>
      <c r="G213" s="31" t="s">
        <v>50</v>
      </c>
      <c r="H213" s="21"/>
      <c r="I213" s="31" t="s">
        <v>44</v>
      </c>
      <c r="J213" s="21"/>
      <c r="K213" s="31" t="str">
        <f>close</f>
        <v>Close: 55 ft</v>
      </c>
      <c r="L213" s="21"/>
      <c r="M213" s="31" t="str">
        <f>"Up to "&amp;Level&amp;" creatures, 1 creature/level, all within 30 ft of each other"</f>
        <v>Up to 13 creatures, 1 creature/level, all within 30 ft of each other</v>
      </c>
      <c r="N213" s="21"/>
      <c r="O213" s="31" t="s">
        <v>52</v>
      </c>
      <c r="P213" s="21"/>
      <c r="Q213" s="31" t="s">
        <v>132</v>
      </c>
      <c r="R213" s="21"/>
      <c r="S213" s="31" t="s">
        <v>54</v>
      </c>
      <c r="T213" s="21"/>
      <c r="U213" s="33" t="s">
        <v>623</v>
      </c>
      <c r="V213" s="9"/>
      <c r="W213" s="9"/>
      <c r="X213" s="21"/>
    </row>
    <row r="214">
      <c r="B214" s="23">
        <v>5.0</v>
      </c>
      <c r="C214" s="59" t="s">
        <v>624</v>
      </c>
      <c r="D214" s="16"/>
      <c r="E214" s="25" t="s">
        <v>39</v>
      </c>
      <c r="F214" s="16"/>
      <c r="G214" s="25" t="s">
        <v>50</v>
      </c>
      <c r="H214" s="16"/>
      <c r="I214" s="26" t="s">
        <v>41</v>
      </c>
      <c r="J214" s="16"/>
      <c r="K214" s="25" t="str">
        <f>close</f>
        <v>Close: 55 ft</v>
      </c>
      <c r="L214" s="16"/>
      <c r="M214" s="26" t="s">
        <v>625</v>
      </c>
      <c r="N214" s="16"/>
      <c r="O214" s="25" t="s">
        <v>52</v>
      </c>
      <c r="P214" s="16"/>
      <c r="Q214" s="26" t="s">
        <v>288</v>
      </c>
      <c r="R214" s="16"/>
      <c r="S214" s="26" t="s">
        <v>75</v>
      </c>
      <c r="T214" s="16"/>
      <c r="U214" s="60" t="s">
        <v>626</v>
      </c>
      <c r="V214" s="3"/>
      <c r="W214" s="3"/>
      <c r="X214" s="16"/>
    </row>
    <row r="215">
      <c r="B215" s="57">
        <v>5.0</v>
      </c>
      <c r="C215" s="58" t="s">
        <v>627</v>
      </c>
      <c r="D215" s="21"/>
      <c r="E215" s="31" t="s">
        <v>39</v>
      </c>
      <c r="F215" s="21"/>
      <c r="G215" s="32" t="s">
        <v>40</v>
      </c>
      <c r="H215" s="21"/>
      <c r="I215" s="32" t="s">
        <v>412</v>
      </c>
      <c r="J215" s="21"/>
      <c r="K215" s="31" t="str">
        <f>close</f>
        <v>Close: 55 ft</v>
      </c>
      <c r="L215" s="21"/>
      <c r="M215" s="32" t="str">
        <f>Level&amp;" thirty ft cubes, 1 thirty ft cube/level"</f>
        <v>13 thirty ft cubes, 1 thirty ft cube/level</v>
      </c>
      <c r="N215" s="21"/>
      <c r="O215" s="32" t="s">
        <v>628</v>
      </c>
      <c r="P215" s="21"/>
      <c r="Q215" s="32" t="s">
        <v>53</v>
      </c>
      <c r="R215" s="21"/>
      <c r="S215" s="32" t="s">
        <v>54</v>
      </c>
      <c r="T215" s="21"/>
      <c r="U215" s="53" t="s">
        <v>629</v>
      </c>
      <c r="V215" s="9"/>
      <c r="W215" s="9"/>
      <c r="X215" s="21"/>
    </row>
    <row r="216">
      <c r="B216" s="23">
        <v>5.0</v>
      </c>
      <c r="C216" s="59" t="s">
        <v>630</v>
      </c>
      <c r="D216" s="16"/>
      <c r="E216" s="26" t="s">
        <v>156</v>
      </c>
      <c r="F216" s="16"/>
      <c r="G216" s="26" t="s">
        <v>50</v>
      </c>
      <c r="H216" s="16"/>
      <c r="I216" s="26" t="s">
        <v>41</v>
      </c>
      <c r="J216" s="16"/>
      <c r="K216" s="25" t="str">
        <f>medium</f>
        <v>Medium: 230 ft</v>
      </c>
      <c r="L216" s="16"/>
      <c r="M216" s="26" t="s">
        <v>423</v>
      </c>
      <c r="N216" s="16"/>
      <c r="O216" s="25" t="str">
        <f>Level&amp;" minutes
1 minute/level"</f>
        <v>13 minutes
1 minute/level</v>
      </c>
      <c r="P216" s="16"/>
      <c r="Q216" s="26" t="s">
        <v>475</v>
      </c>
      <c r="R216" s="16"/>
      <c r="S216" s="25" t="s">
        <v>54</v>
      </c>
      <c r="T216" s="16"/>
      <c r="U216" s="60" t="s">
        <v>631</v>
      </c>
      <c r="V216" s="3"/>
      <c r="W216" s="3"/>
      <c r="X216" s="16"/>
    </row>
    <row r="217">
      <c r="B217" s="57">
        <v>5.0</v>
      </c>
      <c r="C217" s="58" t="s">
        <v>632</v>
      </c>
      <c r="D217" s="21"/>
      <c r="E217" s="32" t="s">
        <v>156</v>
      </c>
      <c r="F217" s="21"/>
      <c r="G217" s="32" t="s">
        <v>40</v>
      </c>
      <c r="H217" s="21"/>
      <c r="I217" s="32" t="s">
        <v>41</v>
      </c>
      <c r="J217" s="21"/>
      <c r="K217" s="31" t="str">
        <f>close</f>
        <v>Close: 55 ft</v>
      </c>
      <c r="L217" s="21"/>
      <c r="M217" s="32" t="s">
        <v>633</v>
      </c>
      <c r="N217" s="21"/>
      <c r="O217" s="32" t="str">
        <f>Level&amp;" hours or until discharged
1 hour/level
then "&amp;Level&amp;" rounds, see text
1 round/level"</f>
        <v>13 hours or until discharged
1 hour/level
then 13 rounds, see text
1 round/level</v>
      </c>
      <c r="P217" s="21"/>
      <c r="Q217" s="32" t="s">
        <v>53</v>
      </c>
      <c r="R217" s="21"/>
      <c r="S217" s="32" t="s">
        <v>54</v>
      </c>
      <c r="T217" s="21"/>
      <c r="U217" s="53" t="s">
        <v>634</v>
      </c>
      <c r="V217" s="9"/>
      <c r="W217" s="9"/>
      <c r="X217" s="21"/>
    </row>
    <row r="218">
      <c r="B218" s="23">
        <v>5.0</v>
      </c>
      <c r="C218" s="59" t="s">
        <v>635</v>
      </c>
      <c r="D218" s="16"/>
      <c r="E218" s="26" t="s">
        <v>156</v>
      </c>
      <c r="F218" s="16"/>
      <c r="G218" s="26" t="s">
        <v>40</v>
      </c>
      <c r="H218" s="16"/>
      <c r="I218" s="26" t="s">
        <v>412</v>
      </c>
      <c r="J218" s="16"/>
      <c r="K218" s="25" t="str">
        <f>close</f>
        <v>Close: 55 ft</v>
      </c>
      <c r="L218" s="16"/>
      <c r="M218" s="26" t="str">
        <f>"Unattended, nonmagical object of nonliving plant matter, up to "&amp;Level&amp;" cu ft, 1 cu ft/level"</f>
        <v>Unattended, nonmagical object of nonliving plant matter, up to 13 cu ft, 1 cu ft/level</v>
      </c>
      <c r="N218" s="16"/>
      <c r="O218" s="26" t="s">
        <v>132</v>
      </c>
      <c r="P218" s="16"/>
      <c r="Q218" s="26" t="s">
        <v>53</v>
      </c>
      <c r="R218" s="16"/>
      <c r="S218" s="26" t="s">
        <v>54</v>
      </c>
      <c r="T218" s="16"/>
      <c r="U218" s="60" t="s">
        <v>636</v>
      </c>
      <c r="V218" s="3"/>
      <c r="W218" s="3"/>
      <c r="X218" s="16"/>
    </row>
    <row r="219">
      <c r="B219" s="57">
        <v>5.0</v>
      </c>
      <c r="C219" s="58" t="s">
        <v>637</v>
      </c>
      <c r="D219" s="21"/>
      <c r="E219" s="32" t="s">
        <v>638</v>
      </c>
      <c r="F219" s="21"/>
      <c r="G219" s="32" t="s">
        <v>50</v>
      </c>
      <c r="H219" s="21"/>
      <c r="I219" s="32" t="s">
        <v>412</v>
      </c>
      <c r="J219" s="21"/>
      <c r="K219" s="31" t="str">
        <f>close</f>
        <v>Close: 55 ft</v>
      </c>
      <c r="L219" s="21"/>
      <c r="M219" s="32" t="s">
        <v>639</v>
      </c>
      <c r="N219" s="21"/>
      <c r="O219" s="32" t="s">
        <v>52</v>
      </c>
      <c r="P219" s="21"/>
      <c r="Q219" s="32" t="s">
        <v>74</v>
      </c>
      <c r="R219" s="21"/>
      <c r="S219" s="32" t="s">
        <v>640</v>
      </c>
      <c r="T219" s="21"/>
      <c r="U219" s="53" t="s">
        <v>641</v>
      </c>
      <c r="V219" s="9"/>
      <c r="W219" s="9"/>
      <c r="X219" s="21"/>
    </row>
    <row r="220">
      <c r="B220" s="23">
        <v>5.0</v>
      </c>
      <c r="C220" s="59" t="s">
        <v>642</v>
      </c>
      <c r="D220" s="16"/>
      <c r="E220" s="26" t="s">
        <v>163</v>
      </c>
      <c r="F220" s="16"/>
      <c r="G220" s="26" t="s">
        <v>65</v>
      </c>
      <c r="H220" s="16"/>
      <c r="I220" s="26" t="s">
        <v>412</v>
      </c>
      <c r="J220" s="16"/>
      <c r="K220" s="26" t="s">
        <v>132</v>
      </c>
      <c r="L220" s="16"/>
      <c r="M220" s="26" t="str">
        <f>"One chest and up to "&amp;Level&amp;" cu ft of goods, 1 cu ft/level"</f>
        <v>One chest and up to 13 cu ft of goods, 1 cu ft/level</v>
      </c>
      <c r="N220" s="16"/>
      <c r="O220" s="26" t="s">
        <v>643</v>
      </c>
      <c r="P220" s="16"/>
      <c r="Q220" s="26" t="s">
        <v>53</v>
      </c>
      <c r="R220" s="16"/>
      <c r="S220" s="26" t="s">
        <v>54</v>
      </c>
      <c r="T220" s="16"/>
      <c r="U220" s="60" t="s">
        <v>644</v>
      </c>
      <c r="V220" s="3"/>
      <c r="W220" s="3"/>
      <c r="X220" s="16"/>
    </row>
    <row r="221">
      <c r="B221" s="57">
        <v>5.0</v>
      </c>
      <c r="C221" s="30" t="s">
        <v>645</v>
      </c>
      <c r="D221" s="21"/>
      <c r="E221" s="32" t="s">
        <v>170</v>
      </c>
      <c r="F221" s="21"/>
      <c r="G221" s="31" t="s">
        <v>65</v>
      </c>
      <c r="H221" s="21"/>
      <c r="I221" s="31" t="s">
        <v>73</v>
      </c>
      <c r="J221" s="21"/>
      <c r="K221" s="31" t="str">
        <f>close</f>
        <v>Close: 55 ft</v>
      </c>
      <c r="L221" s="21"/>
      <c r="M221" s="31" t="s">
        <v>171</v>
      </c>
      <c r="N221" s="21"/>
      <c r="O221" s="31" t="str">
        <f>Level&amp;" rounds (D)
1 round/level"</f>
        <v>13 rounds (D)
1 round/level</v>
      </c>
      <c r="P221" s="21"/>
      <c r="Q221" s="31" t="s">
        <v>53</v>
      </c>
      <c r="R221" s="21"/>
      <c r="S221" s="31" t="s">
        <v>54</v>
      </c>
      <c r="T221" s="21"/>
      <c r="U221" s="33" t="s">
        <v>172</v>
      </c>
      <c r="V221" s="9"/>
      <c r="W221" s="9"/>
      <c r="X221" s="21"/>
    </row>
    <row r="222">
      <c r="B222" s="23">
        <v>5.0</v>
      </c>
      <c r="C222" s="24" t="s">
        <v>646</v>
      </c>
      <c r="D222" s="16"/>
      <c r="E222" s="26" t="s">
        <v>524</v>
      </c>
      <c r="F222" s="16"/>
      <c r="G222" s="25" t="s">
        <v>83</v>
      </c>
      <c r="H222" s="16"/>
      <c r="I222" s="25" t="s">
        <v>41</v>
      </c>
      <c r="J222" s="16"/>
      <c r="K222" s="25" t="s">
        <v>647</v>
      </c>
      <c r="L222" s="16"/>
      <c r="M222" s="25" t="s">
        <v>525</v>
      </c>
      <c r="N222" s="16"/>
      <c r="O222" s="25" t="s">
        <v>52</v>
      </c>
      <c r="P222" s="16"/>
      <c r="Q222" s="25" t="s">
        <v>526</v>
      </c>
      <c r="R222" s="16"/>
      <c r="S222" s="25" t="s">
        <v>527</v>
      </c>
      <c r="T222" s="16"/>
      <c r="U222" s="27" t="str">
        <f>CONCAT("Instantly transports you as far as ",CONCAT(Level*100," miles, 100 miles/level"))</f>
        <v>Instantly transports you as far as 1300 miles, 100 miles/level</v>
      </c>
      <c r="V222" s="3"/>
      <c r="W222" s="3"/>
      <c r="X222" s="16"/>
    </row>
    <row r="223">
      <c r="B223" s="57">
        <v>5.0</v>
      </c>
      <c r="C223" s="30" t="s">
        <v>648</v>
      </c>
      <c r="D223" s="21"/>
      <c r="E223" s="32" t="s">
        <v>649</v>
      </c>
      <c r="F223" s="21"/>
      <c r="G223" s="32" t="s">
        <v>40</v>
      </c>
      <c r="H223" s="21"/>
      <c r="I223" s="31" t="s">
        <v>41</v>
      </c>
      <c r="J223" s="21"/>
      <c r="K223" s="31" t="str">
        <f>CONCAT("Medium: ", CONCAT(100+(10*Level), " ft"))</f>
        <v>Medium: 230 ft</v>
      </c>
      <c r="L223" s="21"/>
      <c r="M223" s="31" t="str">
        <f>CONCAT("Stone wall whose area is up to ",CONCAT(Level, " five ft sqaures, 1 five ft sqaure/level"))</f>
        <v>Stone wall whose area is up to 13 five ft sqaures, 1 five ft sqaure/level</v>
      </c>
      <c r="N223" s="21"/>
      <c r="O223" s="31" t="s">
        <v>52</v>
      </c>
      <c r="P223" s="21"/>
      <c r="Q223" s="31" t="s">
        <v>132</v>
      </c>
      <c r="R223" s="21"/>
      <c r="S223" s="31" t="s">
        <v>54</v>
      </c>
      <c r="T223" s="21"/>
      <c r="U223" s="33" t="s">
        <v>650</v>
      </c>
      <c r="V223" s="9"/>
      <c r="W223" s="9"/>
      <c r="X223" s="21"/>
    </row>
    <row r="224">
      <c r="B224" s="23">
        <v>5.0</v>
      </c>
      <c r="C224" s="59" t="s">
        <v>651</v>
      </c>
      <c r="D224" s="16"/>
      <c r="E224" s="26" t="s">
        <v>57</v>
      </c>
      <c r="F224" s="16"/>
      <c r="G224" s="26" t="s">
        <v>83</v>
      </c>
      <c r="H224" s="16"/>
      <c r="I224" s="26" t="s">
        <v>412</v>
      </c>
      <c r="J224" s="16"/>
      <c r="K224" s="26" t="s">
        <v>66</v>
      </c>
      <c r="L224" s="16"/>
      <c r="M224" s="26" t="s">
        <v>67</v>
      </c>
      <c r="N224" s="16"/>
      <c r="O224" s="26" t="s">
        <v>109</v>
      </c>
      <c r="P224" s="16"/>
      <c r="Q224" s="26" t="s">
        <v>68</v>
      </c>
      <c r="R224" s="16"/>
      <c r="S224" s="26" t="s">
        <v>68</v>
      </c>
      <c r="T224" s="16"/>
      <c r="U224" s="60" t="s">
        <v>652</v>
      </c>
      <c r="V224" s="3"/>
      <c r="W224" s="3"/>
      <c r="X224" s="16"/>
    </row>
    <row r="225">
      <c r="B225" s="57">
        <v>5.0</v>
      </c>
      <c r="C225" s="58" t="s">
        <v>653</v>
      </c>
      <c r="D225" s="21"/>
      <c r="E225" s="32" t="s">
        <v>57</v>
      </c>
      <c r="F225" s="21"/>
      <c r="G225" s="32" t="s">
        <v>40</v>
      </c>
      <c r="H225" s="21"/>
      <c r="I225" s="32" t="s">
        <v>44</v>
      </c>
      <c r="J225" s="21"/>
      <c r="K225" s="32" t="s">
        <v>654</v>
      </c>
      <c r="L225" s="21"/>
      <c r="M225" s="32" t="s">
        <v>655</v>
      </c>
      <c r="N225" s="21"/>
      <c r="O225" s="32" t="str">
        <f>Level&amp;" hours (D), see text
1 hour/level"</f>
        <v>13 hours (D), see text
1 hour/level</v>
      </c>
      <c r="P225" s="21"/>
      <c r="Q225" s="32" t="s">
        <v>53</v>
      </c>
      <c r="R225" s="21"/>
      <c r="S225" s="32" t="s">
        <v>54</v>
      </c>
      <c r="T225" s="21"/>
      <c r="U225" s="53" t="str">
        <f>"1d4+"&amp;Level&amp;" floating eyes scout for you, +1 eye/level"</f>
        <v>1d4+13 floating eyes scout for you, +1 eye/level</v>
      </c>
      <c r="V225" s="9"/>
      <c r="W225" s="9"/>
      <c r="X225" s="21"/>
    </row>
    <row r="226">
      <c r="B226" s="23">
        <v>5.0</v>
      </c>
      <c r="C226" s="24" t="s">
        <v>656</v>
      </c>
      <c r="D226" s="16"/>
      <c r="E226" s="25" t="s">
        <v>57</v>
      </c>
      <c r="F226" s="16"/>
      <c r="G226" s="25" t="s">
        <v>40</v>
      </c>
      <c r="H226" s="16"/>
      <c r="I226" s="25" t="s">
        <v>41</v>
      </c>
      <c r="J226" s="16"/>
      <c r="K226" s="25" t="str">
        <f>close</f>
        <v>Close: 55 ft</v>
      </c>
      <c r="L226" s="16"/>
      <c r="M226" s="25" t="str">
        <f>CONCAT("You plus ",CONCAT(MAX(FLOOR((Level+1)/3,1),1)," willing creatures, 1 per 3 levels, no 2 of which can be more than 30 ft apart"))</f>
        <v>You plus 4 willing creatures, 1 per 3 levels, no 2 of which can be more than 30 ft apart</v>
      </c>
      <c r="N226" s="16"/>
      <c r="O226" s="25" t="str">
        <f>CONCAT(Level*10, " minutes (D)
10 minutes/level")</f>
        <v>130 minutes (D)
10 minutes/level</v>
      </c>
      <c r="P226" s="16"/>
      <c r="Q226" s="25" t="s">
        <v>53</v>
      </c>
      <c r="R226" s="16"/>
      <c r="S226" s="25" t="s">
        <v>54</v>
      </c>
      <c r="T226" s="16"/>
      <c r="U226" s="27" t="s">
        <v>657</v>
      </c>
      <c r="V226" s="3"/>
      <c r="W226" s="3"/>
      <c r="X226" s="16"/>
    </row>
    <row r="227">
      <c r="B227" s="57">
        <v>5.0</v>
      </c>
      <c r="C227" s="30" t="s">
        <v>658</v>
      </c>
      <c r="D227" s="21"/>
      <c r="E227" s="32" t="s">
        <v>71</v>
      </c>
      <c r="F227" s="21"/>
      <c r="G227" s="31" t="s">
        <v>50</v>
      </c>
      <c r="H227" s="21"/>
      <c r="I227" s="31" t="s">
        <v>73</v>
      </c>
      <c r="J227" s="21"/>
      <c r="K227" s="31" t="str">
        <f>close</f>
        <v>Close: 55 ft</v>
      </c>
      <c r="L227" s="21"/>
      <c r="M227" s="31" t="s">
        <v>659</v>
      </c>
      <c r="N227" s="21"/>
      <c r="O227" s="31" t="str">
        <f>Level&amp;" days (D)
1 day/level"</f>
        <v>13 days (D)
1 day/level</v>
      </c>
      <c r="P227" s="21"/>
      <c r="Q227" s="31" t="s">
        <v>74</v>
      </c>
      <c r="R227" s="21"/>
      <c r="S227" s="31" t="s">
        <v>75</v>
      </c>
      <c r="T227" s="21"/>
      <c r="U227" s="33" t="s">
        <v>660</v>
      </c>
      <c r="V227" s="9"/>
      <c r="W227" s="9"/>
      <c r="X227" s="21"/>
    </row>
    <row r="228">
      <c r="B228" s="23">
        <v>5.0</v>
      </c>
      <c r="C228" s="59" t="s">
        <v>661</v>
      </c>
      <c r="D228" s="16"/>
      <c r="E228" s="26" t="s">
        <v>71</v>
      </c>
      <c r="F228" s="16"/>
      <c r="G228" s="26" t="s">
        <v>40</v>
      </c>
      <c r="H228" s="16"/>
      <c r="I228" s="26" t="s">
        <v>41</v>
      </c>
      <c r="J228" s="16"/>
      <c r="K228" s="25" t="str">
        <f>medium</f>
        <v>Medium: 230 ft</v>
      </c>
      <c r="L228" s="16"/>
      <c r="M228" s="26" t="s">
        <v>662</v>
      </c>
      <c r="N228" s="16"/>
      <c r="O228" s="26" t="s">
        <v>52</v>
      </c>
      <c r="P228" s="16"/>
      <c r="Q228" s="26" t="s">
        <v>288</v>
      </c>
      <c r="R228" s="16"/>
      <c r="S228" s="26" t="s">
        <v>75</v>
      </c>
      <c r="T228" s="16"/>
      <c r="U228" s="60" t="s">
        <v>663</v>
      </c>
      <c r="V228" s="3"/>
      <c r="W228" s="3"/>
      <c r="X228" s="16"/>
    </row>
    <row r="229">
      <c r="B229" s="57">
        <v>5.0</v>
      </c>
      <c r="C229" s="30" t="s">
        <v>664</v>
      </c>
      <c r="D229" s="21"/>
      <c r="E229" s="32" t="s">
        <v>71</v>
      </c>
      <c r="F229" s="21"/>
      <c r="G229" s="31" t="s">
        <v>40</v>
      </c>
      <c r="H229" s="21"/>
      <c r="I229" s="31" t="s">
        <v>41</v>
      </c>
      <c r="J229" s="21"/>
      <c r="K229" s="31" t="str">
        <f>medium</f>
        <v>Medium: 230 ft</v>
      </c>
      <c r="L229" s="21"/>
      <c r="M229" s="31" t="s">
        <v>350</v>
      </c>
      <c r="N229" s="21"/>
      <c r="O229" s="31" t="str">
        <f>Level&amp;" rounds, see text (D)
1 round/level"</f>
        <v>13 rounds, see text (D)
1 round/level</v>
      </c>
      <c r="P229" s="21"/>
      <c r="Q229" s="31" t="s">
        <v>288</v>
      </c>
      <c r="R229" s="21"/>
      <c r="S229" s="31" t="s">
        <v>75</v>
      </c>
      <c r="T229" s="21"/>
      <c r="U229" s="33" t="s">
        <v>665</v>
      </c>
      <c r="V229" s="9"/>
      <c r="W229" s="9"/>
      <c r="X229" s="21"/>
    </row>
    <row r="230">
      <c r="B230" s="23">
        <v>5.0</v>
      </c>
      <c r="C230" s="24" t="s">
        <v>666</v>
      </c>
      <c r="D230" s="16"/>
      <c r="E230" s="26" t="s">
        <v>71</v>
      </c>
      <c r="F230" s="16"/>
      <c r="G230" s="25" t="s">
        <v>50</v>
      </c>
      <c r="H230" s="16"/>
      <c r="I230" s="25" t="s">
        <v>41</v>
      </c>
      <c r="J230" s="16"/>
      <c r="K230" s="25" t="str">
        <f>medium</f>
        <v>Medium: 230 ft</v>
      </c>
      <c r="L230" s="16"/>
      <c r="M230" s="25" t="s">
        <v>536</v>
      </c>
      <c r="N230" s="16"/>
      <c r="O230" s="25" t="s">
        <v>667</v>
      </c>
      <c r="P230" s="16"/>
      <c r="Q230" s="25" t="s">
        <v>74</v>
      </c>
      <c r="R230" s="16"/>
      <c r="S230" s="25" t="s">
        <v>75</v>
      </c>
      <c r="T230" s="16"/>
      <c r="U230" s="27" t="s">
        <v>668</v>
      </c>
      <c r="V230" s="3"/>
      <c r="W230" s="3"/>
      <c r="X230" s="16"/>
    </row>
    <row r="231">
      <c r="B231" s="57">
        <v>5.0</v>
      </c>
      <c r="C231" s="58" t="s">
        <v>669</v>
      </c>
      <c r="D231" s="21"/>
      <c r="E231" s="32" t="s">
        <v>71</v>
      </c>
      <c r="F231" s="21"/>
      <c r="G231" s="32" t="s">
        <v>670</v>
      </c>
      <c r="H231" s="21"/>
      <c r="I231" s="32" t="s">
        <v>412</v>
      </c>
      <c r="J231" s="21"/>
      <c r="K231" s="32" t="s">
        <v>671</v>
      </c>
      <c r="L231" s="21"/>
      <c r="M231" s="32" t="s">
        <v>672</v>
      </c>
      <c r="N231" s="21"/>
      <c r="O231" s="32" t="s">
        <v>132</v>
      </c>
      <c r="P231" s="21"/>
      <c r="Q231" s="31" t="s">
        <v>74</v>
      </c>
      <c r="R231" s="21"/>
      <c r="S231" s="32" t="s">
        <v>75</v>
      </c>
      <c r="T231" s="21"/>
      <c r="U231" s="53" t="s">
        <v>673</v>
      </c>
      <c r="V231" s="9"/>
      <c r="W231" s="9"/>
      <c r="X231" s="21"/>
    </row>
    <row r="232">
      <c r="B232" s="23">
        <v>5.0</v>
      </c>
      <c r="C232" s="59" t="s">
        <v>674</v>
      </c>
      <c r="D232" s="16"/>
      <c r="E232" s="26" t="s">
        <v>92</v>
      </c>
      <c r="F232" s="16"/>
      <c r="G232" s="26" t="s">
        <v>40</v>
      </c>
      <c r="H232" s="16"/>
      <c r="I232" s="26" t="s">
        <v>41</v>
      </c>
      <c r="J232" s="16"/>
      <c r="K232" s="26" t="s">
        <v>58</v>
      </c>
      <c r="L232" s="16"/>
      <c r="M232" s="26" t="s">
        <v>204</v>
      </c>
      <c r="N232" s="16"/>
      <c r="O232" s="26" t="s">
        <v>52</v>
      </c>
      <c r="P232" s="16"/>
      <c r="Q232" s="26" t="s">
        <v>205</v>
      </c>
      <c r="R232" s="16"/>
      <c r="S232" s="26" t="s">
        <v>75</v>
      </c>
      <c r="T232" s="16"/>
      <c r="U232" s="60" t="str">
        <f>MIN(Level,15)&amp;"d6 cold damage, 1d6/level"</f>
        <v>13d6 cold damage, 1d6/level</v>
      </c>
      <c r="V232" s="3"/>
      <c r="W232" s="3"/>
      <c r="X232" s="16"/>
    </row>
    <row r="233">
      <c r="B233" s="57">
        <v>5.0</v>
      </c>
      <c r="C233" s="58" t="s">
        <v>675</v>
      </c>
      <c r="D233" s="21"/>
      <c r="E233" s="32" t="s">
        <v>207</v>
      </c>
      <c r="F233" s="21"/>
      <c r="G233" s="32" t="s">
        <v>65</v>
      </c>
      <c r="H233" s="21"/>
      <c r="I233" s="32" t="s">
        <v>41</v>
      </c>
      <c r="J233" s="21"/>
      <c r="K233" s="32" t="str">
        <f>medium</f>
        <v>Medium: 230 ft</v>
      </c>
      <c r="L233" s="21"/>
      <c r="M233" s="32" t="s">
        <v>676</v>
      </c>
      <c r="N233" s="21"/>
      <c r="O233" s="32" t="str">
        <f>Level&amp;" rounds (D)
1 round/level"</f>
        <v>13 rounds (D)
1 round/level</v>
      </c>
      <c r="P233" s="21"/>
      <c r="Q233" s="32" t="s">
        <v>53</v>
      </c>
      <c r="R233" s="21"/>
      <c r="S233" s="32" t="s">
        <v>75</v>
      </c>
      <c r="T233" s="21"/>
      <c r="U233" s="53" t="s">
        <v>677</v>
      </c>
      <c r="V233" s="9"/>
      <c r="W233" s="9"/>
      <c r="X233" s="21"/>
    </row>
    <row r="234">
      <c r="B234" s="23">
        <v>5.0</v>
      </c>
      <c r="C234" s="59" t="s">
        <v>678</v>
      </c>
      <c r="D234" s="16"/>
      <c r="E234" s="26" t="s">
        <v>679</v>
      </c>
      <c r="F234" s="16"/>
      <c r="G234" s="26" t="s">
        <v>40</v>
      </c>
      <c r="H234" s="16"/>
      <c r="I234" s="26" t="s">
        <v>412</v>
      </c>
      <c r="J234" s="16"/>
      <c r="K234" s="26" t="s">
        <v>132</v>
      </c>
      <c r="L234" s="16"/>
      <c r="M234" s="26" t="s">
        <v>662</v>
      </c>
      <c r="N234" s="16"/>
      <c r="O234" s="26" t="s">
        <v>680</v>
      </c>
      <c r="P234" s="16"/>
      <c r="Q234" s="26" t="s">
        <v>53</v>
      </c>
      <c r="R234" s="16"/>
      <c r="S234" s="26" t="s">
        <v>54</v>
      </c>
      <c r="T234" s="16"/>
      <c r="U234" s="60" t="s">
        <v>681</v>
      </c>
      <c r="V234" s="3"/>
      <c r="W234" s="3"/>
      <c r="X234" s="16"/>
    </row>
    <row r="235">
      <c r="B235" s="57">
        <v>5.0</v>
      </c>
      <c r="C235" s="58" t="s">
        <v>682</v>
      </c>
      <c r="D235" s="21"/>
      <c r="E235" s="32" t="s">
        <v>207</v>
      </c>
      <c r="F235" s="21"/>
      <c r="G235" s="32" t="s">
        <v>40</v>
      </c>
      <c r="H235" s="21"/>
      <c r="I235" s="32" t="s">
        <v>41</v>
      </c>
      <c r="J235" s="21"/>
      <c r="K235" s="32" t="str">
        <f>close</f>
        <v>Close: 55 ft</v>
      </c>
      <c r="L235" s="21"/>
      <c r="M235" s="32" t="str">
        <f>"Wall whose area is up to "&amp;Level&amp;" ten ft squares, 1 ten ft square/level"</f>
        <v>Wall whose area is up to 13 ten ft squares, 1 ten ft square/level</v>
      </c>
      <c r="N235" s="21"/>
      <c r="O235" s="32" t="str">
        <f>Level&amp;" rounds (D)
1 round/level"</f>
        <v>13 rounds (D)
1 round/level</v>
      </c>
      <c r="P235" s="21"/>
      <c r="Q235" s="32" t="s">
        <v>53</v>
      </c>
      <c r="R235" s="21"/>
      <c r="S235" s="32" t="s">
        <v>54</v>
      </c>
      <c r="T235" s="21"/>
      <c r="U235" s="53" t="s">
        <v>683</v>
      </c>
      <c r="V235" s="9"/>
      <c r="W235" s="9"/>
      <c r="X235" s="21"/>
    </row>
    <row r="236">
      <c r="B236" s="23">
        <v>5.0</v>
      </c>
      <c r="C236" s="24" t="s">
        <v>684</v>
      </c>
      <c r="D236" s="16"/>
      <c r="E236" s="26" t="s">
        <v>459</v>
      </c>
      <c r="F236" s="16"/>
      <c r="G236" s="25" t="s">
        <v>50</v>
      </c>
      <c r="H236" s="16"/>
      <c r="I236" s="25" t="s">
        <v>44</v>
      </c>
      <c r="J236" s="16"/>
      <c r="K236" s="25" t="s">
        <v>540</v>
      </c>
      <c r="L236" s="16"/>
      <c r="M236" s="25" t="s">
        <v>685</v>
      </c>
      <c r="N236" s="16"/>
      <c r="O236" s="25" t="s">
        <v>132</v>
      </c>
      <c r="P236" s="16"/>
      <c r="Q236" s="25" t="s">
        <v>53</v>
      </c>
      <c r="R236" s="16"/>
      <c r="S236" s="25" t="s">
        <v>75</v>
      </c>
      <c r="T236" s="16"/>
      <c r="U236" s="27" t="s">
        <v>686</v>
      </c>
      <c r="V236" s="3"/>
      <c r="W236" s="3"/>
      <c r="X236" s="16"/>
    </row>
    <row r="237">
      <c r="B237" s="57">
        <v>5.0</v>
      </c>
      <c r="C237" s="30" t="s">
        <v>687</v>
      </c>
      <c r="D237" s="21"/>
      <c r="E237" s="32" t="s">
        <v>217</v>
      </c>
      <c r="F237" s="21"/>
      <c r="G237" s="31" t="s">
        <v>519</v>
      </c>
      <c r="H237" s="21"/>
      <c r="I237" s="31" t="s">
        <v>41</v>
      </c>
      <c r="J237" s="21"/>
      <c r="K237" s="31" t="s">
        <v>42</v>
      </c>
      <c r="L237" s="21"/>
      <c r="M237" s="31" t="s">
        <v>688</v>
      </c>
      <c r="N237" s="21"/>
      <c r="O237" s="31" t="str">
        <f>Level&amp;" hours (D)
1 hour/level"</f>
        <v>13 hours (D)
1 hour/level</v>
      </c>
      <c r="P237" s="21"/>
      <c r="Q237" s="31" t="s">
        <v>53</v>
      </c>
      <c r="R237" s="21"/>
      <c r="S237" s="31" t="s">
        <v>54</v>
      </c>
      <c r="T237" s="21"/>
      <c r="U237" s="33" t="s">
        <v>689</v>
      </c>
      <c r="V237" s="9"/>
      <c r="W237" s="9"/>
      <c r="X237" s="21"/>
    </row>
    <row r="238">
      <c r="B238" s="23">
        <v>5.0</v>
      </c>
      <c r="C238" s="59" t="s">
        <v>690</v>
      </c>
      <c r="D238" s="16"/>
      <c r="E238" s="26" t="s">
        <v>217</v>
      </c>
      <c r="F238" s="16"/>
      <c r="G238" s="26" t="s">
        <v>50</v>
      </c>
      <c r="H238" s="16"/>
      <c r="I238" s="25" t="s">
        <v>41</v>
      </c>
      <c r="J238" s="16"/>
      <c r="K238" s="25" t="str">
        <f>long</f>
        <v>Long: 920 ft</v>
      </c>
      <c r="L238" s="16"/>
      <c r="M238" s="25" t="str">
        <f>Level&amp;" twenty ft cubes, 1 cube/level"</f>
        <v>13 twenty ft cubes, 1 cube/level</v>
      </c>
      <c r="N238" s="16"/>
      <c r="O238" s="25" t="str">
        <f>"Concentration + "&amp;Level&amp;" hours (D)
+1 hour/level"</f>
        <v>Concentration + 13 hours (D)
+1 hour/level</v>
      </c>
      <c r="P238" s="16"/>
      <c r="Q238" s="26" t="s">
        <v>98</v>
      </c>
      <c r="R238" s="16"/>
      <c r="S238" s="26" t="s">
        <v>54</v>
      </c>
      <c r="T238" s="16"/>
      <c r="U238" s="60" t="s">
        <v>691</v>
      </c>
      <c r="V238" s="3"/>
      <c r="W238" s="3"/>
      <c r="X238" s="16"/>
    </row>
    <row r="239">
      <c r="B239" s="57">
        <v>5.0</v>
      </c>
      <c r="C239" s="30" t="s">
        <v>692</v>
      </c>
      <c r="D239" s="21"/>
      <c r="E239" s="32" t="s">
        <v>693</v>
      </c>
      <c r="F239" s="21"/>
      <c r="G239" s="31" t="s">
        <v>50</v>
      </c>
      <c r="H239" s="21"/>
      <c r="I239" s="31" t="s">
        <v>412</v>
      </c>
      <c r="J239" s="21"/>
      <c r="K239" s="31" t="s">
        <v>540</v>
      </c>
      <c r="L239" s="21"/>
      <c r="M239" s="31" t="s">
        <v>350</v>
      </c>
      <c r="N239" s="21"/>
      <c r="O239" s="31" t="s">
        <v>52</v>
      </c>
      <c r="P239" s="21"/>
      <c r="Q239" s="31" t="s">
        <v>288</v>
      </c>
      <c r="R239" s="21"/>
      <c r="S239" s="31" t="s">
        <v>75</v>
      </c>
      <c r="T239" s="21"/>
      <c r="U239" s="33" t="s">
        <v>694</v>
      </c>
      <c r="V239" s="9"/>
      <c r="W239" s="9"/>
      <c r="X239" s="21"/>
    </row>
    <row r="240">
      <c r="B240" s="23">
        <v>5.0</v>
      </c>
      <c r="C240" s="24" t="s">
        <v>695</v>
      </c>
      <c r="D240" s="16"/>
      <c r="E240" s="26" t="s">
        <v>96</v>
      </c>
      <c r="F240" s="16"/>
      <c r="G240" s="25" t="s">
        <v>267</v>
      </c>
      <c r="H240" s="16"/>
      <c r="I240" s="25" t="s">
        <v>41</v>
      </c>
      <c r="J240" s="16"/>
      <c r="K240" s="25" t="str">
        <f>long</f>
        <v>Long: 920 ft</v>
      </c>
      <c r="L240" s="16"/>
      <c r="M240" s="25" t="str">
        <f>"Visual figment that cannot extend beyond "&amp;4+Level&amp;" ten ft cubes, 4 ten ft. cubes + 1 ten ft. cube/level"</f>
        <v>Visual figment that cannot extend beyond 17 ten ft cubes, 4 ten ft. cubes + 1 ten ft. cube/level</v>
      </c>
      <c r="N240" s="16"/>
      <c r="O240" s="25" t="str">
        <f>Level&amp;" minutes (D)
1 minute/level"</f>
        <v>13 minutes (D)
1 minute/level</v>
      </c>
      <c r="P240" s="16"/>
      <c r="Q240" s="25" t="s">
        <v>98</v>
      </c>
      <c r="R240" s="16"/>
      <c r="S240" s="25" t="s">
        <v>54</v>
      </c>
      <c r="T240" s="16"/>
      <c r="U240" s="27" t="s">
        <v>696</v>
      </c>
      <c r="V240" s="3"/>
      <c r="W240" s="3"/>
      <c r="X240" s="16"/>
    </row>
    <row r="241">
      <c r="B241" s="57">
        <v>5.0</v>
      </c>
      <c r="C241" s="30" t="s">
        <v>697</v>
      </c>
      <c r="D241" s="21"/>
      <c r="E241" s="32" t="s">
        <v>217</v>
      </c>
      <c r="F241" s="21"/>
      <c r="G241" s="31" t="s">
        <v>50</v>
      </c>
      <c r="H241" s="21"/>
      <c r="I241" s="31" t="s">
        <v>41</v>
      </c>
      <c r="J241" s="21"/>
      <c r="K241" s="31" t="str">
        <f>close</f>
        <v>Close: 55 ft</v>
      </c>
      <c r="L241" s="21"/>
      <c r="M241" s="31" t="str">
        <f>MAX(FLOOR(Level/2,1),1)&amp;" creatures, 1 creature per 2 levels, no 2 of which can be more than 30 ft apart"</f>
        <v>6 creatures, 1 creature per 2 levels, no 2 of which can be more than 30 ft apart</v>
      </c>
      <c r="N241" s="21"/>
      <c r="O241" s="31" t="s">
        <v>698</v>
      </c>
      <c r="P241" s="21"/>
      <c r="Q241" s="31" t="s">
        <v>699</v>
      </c>
      <c r="R241" s="21"/>
      <c r="S241" s="31" t="s">
        <v>385</v>
      </c>
      <c r="T241" s="21"/>
      <c r="U241" s="33" t="str">
        <f>"Changes appearance of "&amp;MAX(FLOOR(Level/2,1),1)&amp;" people, 1 person per 2 levels"</f>
        <v>Changes appearance of 6 people, 1 person per 2 levels</v>
      </c>
      <c r="V241" s="9"/>
      <c r="W241" s="9"/>
      <c r="X241" s="21"/>
    </row>
    <row r="242">
      <c r="B242" s="23">
        <v>5.0</v>
      </c>
      <c r="C242" s="24" t="s">
        <v>700</v>
      </c>
      <c r="D242" s="16"/>
      <c r="E242" s="26" t="s">
        <v>593</v>
      </c>
      <c r="F242" s="16"/>
      <c r="G242" s="25" t="s">
        <v>50</v>
      </c>
      <c r="H242" s="16"/>
      <c r="I242" s="25" t="s">
        <v>41</v>
      </c>
      <c r="J242" s="16"/>
      <c r="K242" s="25" t="s">
        <v>132</v>
      </c>
      <c r="L242" s="16"/>
      <c r="M242" s="25" t="s">
        <v>132</v>
      </c>
      <c r="N242" s="16"/>
      <c r="O242" s="25" t="s">
        <v>132</v>
      </c>
      <c r="P242" s="16"/>
      <c r="Q242" s="25" t="s">
        <v>98</v>
      </c>
      <c r="R242" s="16"/>
      <c r="S242" s="25" t="s">
        <v>75</v>
      </c>
      <c r="T242" s="16"/>
      <c r="U242" s="27" t="s">
        <v>701</v>
      </c>
      <c r="V242" s="3"/>
      <c r="W242" s="3"/>
      <c r="X242" s="16"/>
    </row>
    <row r="243">
      <c r="B243" s="57">
        <v>5.0</v>
      </c>
      <c r="C243" s="30" t="s">
        <v>702</v>
      </c>
      <c r="D243" s="21"/>
      <c r="E243" s="31" t="s">
        <v>101</v>
      </c>
      <c r="F243" s="21"/>
      <c r="G243" s="32" t="s">
        <v>703</v>
      </c>
      <c r="H243" s="21"/>
      <c r="I243" s="31" t="s">
        <v>41</v>
      </c>
      <c r="J243" s="21"/>
      <c r="K243" s="31" t="s">
        <v>42</v>
      </c>
      <c r="L243" s="21"/>
      <c r="M243" s="31" t="s">
        <v>68</v>
      </c>
      <c r="N243" s="21"/>
      <c r="O243" s="31" t="s">
        <v>52</v>
      </c>
      <c r="P243" s="21"/>
      <c r="Q243" s="31" t="s">
        <v>704</v>
      </c>
      <c r="R243" s="21"/>
      <c r="S243" s="31" t="s">
        <v>75</v>
      </c>
      <c r="T243" s="21"/>
      <c r="U243" s="33" t="str">
        <f>CONCAT("Withers one plant or deals ",CONCAT(MIN(Level, 15),"d6 damage to plant creatures, 1d6/level"))</f>
        <v>Withers one plant or deals 13d6 damage to plant creatures, 1d6/level</v>
      </c>
      <c r="V243" s="9"/>
      <c r="W243" s="9"/>
      <c r="X243" s="21"/>
    </row>
    <row r="244">
      <c r="B244" s="23">
        <v>5.0</v>
      </c>
      <c r="C244" s="59" t="s">
        <v>705</v>
      </c>
      <c r="D244" s="16"/>
      <c r="E244" s="25" t="s">
        <v>101</v>
      </c>
      <c r="F244" s="16"/>
      <c r="G244" s="26" t="s">
        <v>706</v>
      </c>
      <c r="H244" s="16"/>
      <c r="I244" s="25" t="s">
        <v>41</v>
      </c>
      <c r="J244" s="16"/>
      <c r="K244" s="25" t="str">
        <f>medium</f>
        <v>Medium: 230 ft</v>
      </c>
      <c r="L244" s="16"/>
      <c r="M244" s="26" t="s">
        <v>662</v>
      </c>
      <c r="N244" s="16"/>
      <c r="O244" s="25" t="str">
        <f>Level&amp;" hours or until you return to your body
1 hour/level"</f>
        <v>13 hours or until you return to your body
1 hour/level</v>
      </c>
      <c r="P244" s="16"/>
      <c r="Q244" s="26" t="s">
        <v>288</v>
      </c>
      <c r="R244" s="16"/>
      <c r="S244" s="25" t="s">
        <v>75</v>
      </c>
      <c r="T244" s="16"/>
      <c r="U244" s="60" t="s">
        <v>707</v>
      </c>
      <c r="V244" s="3"/>
      <c r="W244" s="3"/>
      <c r="X244" s="16"/>
    </row>
    <row r="245">
      <c r="B245" s="57">
        <v>5.0</v>
      </c>
      <c r="C245" s="58" t="s">
        <v>708</v>
      </c>
      <c r="D245" s="21"/>
      <c r="E245" s="32" t="s">
        <v>598</v>
      </c>
      <c r="F245" s="21"/>
      <c r="G245" s="32" t="s">
        <v>670</v>
      </c>
      <c r="H245" s="21"/>
      <c r="I245" s="32" t="s">
        <v>412</v>
      </c>
      <c r="J245" s="21"/>
      <c r="K245" s="32" t="s">
        <v>671</v>
      </c>
      <c r="L245" s="21"/>
      <c r="M245" s="32" t="s">
        <v>672</v>
      </c>
      <c r="N245" s="21"/>
      <c r="O245" s="32" t="s">
        <v>132</v>
      </c>
      <c r="P245" s="21"/>
      <c r="Q245" s="31" t="s">
        <v>74</v>
      </c>
      <c r="R245" s="21"/>
      <c r="S245" s="32" t="s">
        <v>75</v>
      </c>
      <c r="T245" s="21"/>
      <c r="U245" s="53" t="s">
        <v>709</v>
      </c>
      <c r="V245" s="9"/>
      <c r="W245" s="9"/>
      <c r="X245" s="21"/>
    </row>
    <row r="246">
      <c r="B246" s="23">
        <v>5.0</v>
      </c>
      <c r="C246" s="59" t="s">
        <v>710</v>
      </c>
      <c r="D246" s="16"/>
      <c r="E246" s="26" t="s">
        <v>101</v>
      </c>
      <c r="F246" s="16"/>
      <c r="G246" s="26" t="s">
        <v>50</v>
      </c>
      <c r="H246" s="16"/>
      <c r="I246" s="26" t="s">
        <v>41</v>
      </c>
      <c r="J246" s="16"/>
      <c r="K246" s="26" t="s">
        <v>556</v>
      </c>
      <c r="L246" s="16"/>
      <c r="M246" s="26" t="s">
        <v>204</v>
      </c>
      <c r="N246" s="16"/>
      <c r="O246" s="26" t="s">
        <v>52</v>
      </c>
      <c r="P246" s="16"/>
      <c r="Q246" s="26" t="s">
        <v>54</v>
      </c>
      <c r="R246" s="16"/>
      <c r="S246" s="26" t="s">
        <v>75</v>
      </c>
      <c r="T246" s="16"/>
      <c r="U246" s="60" t="s">
        <v>711</v>
      </c>
      <c r="V246" s="3"/>
      <c r="W246" s="3"/>
      <c r="X246" s="16"/>
    </row>
    <row r="247">
      <c r="B247" s="57">
        <v>5.0</v>
      </c>
      <c r="C247" s="30" t="s">
        <v>712</v>
      </c>
      <c r="D247" s="21"/>
      <c r="E247" s="31" t="s">
        <v>107</v>
      </c>
      <c r="F247" s="21"/>
      <c r="G247" s="31" t="s">
        <v>50</v>
      </c>
      <c r="H247" s="21"/>
      <c r="I247" s="31" t="s">
        <v>41</v>
      </c>
      <c r="J247" s="21"/>
      <c r="K247" s="31" t="str">
        <f>CONCAT("Medium: ", CONCAT(100+(10*Level), " ft"))</f>
        <v>Medium: 230 ft</v>
      </c>
      <c r="L247" s="21"/>
      <c r="M247" s="31" t="str">
        <f>CONCAT("Up to ",CONCAT(MAX(FLOOR(Level/2,1),1)," animals (Gargantuan or smaller), 1 animal per 2 levels, no 2 of which can be more than 30 ft apart"))</f>
        <v>Up to 6 animals (Gargantuan or smaller), 1 animal per 2 levels, no 2 of which can be more than 30 ft apart</v>
      </c>
      <c r="N247" s="21"/>
      <c r="O247" s="31" t="str">
        <f>CONCAT(Level, " minutes
1 minute/level")</f>
        <v>13 minutes
1 minute/level</v>
      </c>
      <c r="P247" s="21"/>
      <c r="Q247" s="31" t="s">
        <v>85</v>
      </c>
      <c r="R247" s="21"/>
      <c r="S247" s="31" t="s">
        <v>75</v>
      </c>
      <c r="T247" s="21"/>
      <c r="U247" s="33" t="str">
        <f>CONCAT(MAX(FLOOR(Level/2,1),1)," animals double in size, 1 animal per 2 levels")</f>
        <v>6 animals double in size, 1 animal per 2 levels</v>
      </c>
      <c r="V247" s="9"/>
      <c r="W247" s="9"/>
      <c r="X247" s="21"/>
    </row>
    <row r="248">
      <c r="B248" s="23">
        <v>5.0</v>
      </c>
      <c r="C248" s="24" t="s">
        <v>713</v>
      </c>
      <c r="D248" s="16"/>
      <c r="E248" s="25" t="s">
        <v>107</v>
      </c>
      <c r="F248" s="16"/>
      <c r="G248" s="25" t="s">
        <v>50</v>
      </c>
      <c r="H248" s="16"/>
      <c r="I248" s="25" t="s">
        <v>41</v>
      </c>
      <c r="J248" s="16"/>
      <c r="K248" s="25" t="str">
        <f>CONCAT("Close: ", CONCAT(25+(5*FLOOR(Level/2,1)), " ft"))</f>
        <v>Close: 55 ft</v>
      </c>
      <c r="L248" s="16"/>
      <c r="M248" s="25" t="s">
        <v>662</v>
      </c>
      <c r="N248" s="16"/>
      <c r="O248" s="25" t="s">
        <v>129</v>
      </c>
      <c r="P248" s="16"/>
      <c r="Q248" s="25" t="s">
        <v>714</v>
      </c>
      <c r="R248" s="16"/>
      <c r="S248" s="25" t="s">
        <v>75</v>
      </c>
      <c r="T248" s="16"/>
      <c r="U248" s="27" t="s">
        <v>715</v>
      </c>
      <c r="V248" s="3"/>
      <c r="W248" s="3"/>
      <c r="X248" s="16"/>
    </row>
    <row r="249">
      <c r="B249" s="57">
        <v>5.0</v>
      </c>
      <c r="C249" s="58" t="s">
        <v>716</v>
      </c>
      <c r="D249" s="21"/>
      <c r="E249" s="31" t="s">
        <v>107</v>
      </c>
      <c r="F249" s="21"/>
      <c r="G249" s="32" t="s">
        <v>717</v>
      </c>
      <c r="H249" s="21"/>
      <c r="I249" s="32" t="s">
        <v>132</v>
      </c>
      <c r="J249" s="21"/>
      <c r="K249" s="31" t="str">
        <f>CONCAT("Close: ", CONCAT(25+(5*FLOOR(Level/2,1)), " ft"))</f>
        <v>Close: 55 ft</v>
      </c>
      <c r="L249" s="21"/>
      <c r="M249" s="31" t="str">
        <f>"Up to "&amp;Level*10&amp;" cu ft, 10 cu ft/level, see text"</f>
        <v>Up to 130 cu ft, 10 cu ft/level, see text</v>
      </c>
      <c r="N249" s="21"/>
      <c r="O249" s="32" t="s">
        <v>52</v>
      </c>
      <c r="P249" s="21"/>
      <c r="Q249" s="32" t="s">
        <v>53</v>
      </c>
      <c r="R249" s="21"/>
      <c r="S249" s="32" t="s">
        <v>54</v>
      </c>
      <c r="T249" s="21"/>
      <c r="U249" s="53" t="s">
        <v>718</v>
      </c>
      <c r="V249" s="9"/>
      <c r="W249" s="9"/>
      <c r="X249" s="21"/>
    </row>
    <row r="250">
      <c r="B250" s="23">
        <v>5.0</v>
      </c>
      <c r="C250" s="24" t="s">
        <v>719</v>
      </c>
      <c r="D250" s="16"/>
      <c r="E250" s="25" t="s">
        <v>107</v>
      </c>
      <c r="F250" s="16"/>
      <c r="G250" s="25" t="s">
        <v>50</v>
      </c>
      <c r="H250" s="16"/>
      <c r="I250" s="25" t="s">
        <v>41</v>
      </c>
      <c r="J250" s="16"/>
      <c r="K250" s="25" t="s">
        <v>66</v>
      </c>
      <c r="L250" s="16"/>
      <c r="M250" s="25" t="s">
        <v>67</v>
      </c>
      <c r="N250" s="16"/>
      <c r="O250" s="25" t="str">
        <f>CONCAT(Level, " hours 
1 hour/level")</f>
        <v>13 hours 
1 hour/level</v>
      </c>
      <c r="P250" s="16"/>
      <c r="Q250" s="25" t="s">
        <v>45</v>
      </c>
      <c r="R250" s="16"/>
      <c r="S250" s="25" t="s">
        <v>46</v>
      </c>
      <c r="T250" s="16"/>
      <c r="U250" s="60" t="s">
        <v>720</v>
      </c>
      <c r="V250" s="3"/>
      <c r="W250" s="3"/>
      <c r="X250" s="16"/>
    </row>
    <row r="251">
      <c r="B251" s="57">
        <v>5.0</v>
      </c>
      <c r="C251" s="58" t="s">
        <v>721</v>
      </c>
      <c r="D251" s="21"/>
      <c r="E251" s="31" t="s">
        <v>107</v>
      </c>
      <c r="F251" s="21"/>
      <c r="G251" s="32" t="s">
        <v>40</v>
      </c>
      <c r="H251" s="21"/>
      <c r="I251" s="31" t="s">
        <v>41</v>
      </c>
      <c r="J251" s="21"/>
      <c r="K251" s="32" t="s">
        <v>42</v>
      </c>
      <c r="L251" s="21"/>
      <c r="M251" s="31" t="str">
        <f>"5 ft by 8 ft opening, "&amp;MIN(MAX(10+FLOOR((Level-9)/3,1)*5,10),25)&amp;" ft deep, 10 ft + 5 ft per 3 levels above 9th"</f>
        <v>5 ft by 8 ft opening, 15 ft deep, 10 ft + 5 ft per 3 levels above 9th</v>
      </c>
      <c r="N251" s="21"/>
      <c r="O251" s="31" t="str">
        <f>CONCAT(Level, " hours 
1 hour/level")</f>
        <v>13 hours 
1 hour/level</v>
      </c>
      <c r="P251" s="21"/>
      <c r="Q251" s="32" t="s">
        <v>53</v>
      </c>
      <c r="R251" s="21"/>
      <c r="S251" s="32" t="s">
        <v>54</v>
      </c>
      <c r="T251" s="21"/>
      <c r="U251" s="53" t="s">
        <v>722</v>
      </c>
      <c r="V251" s="9"/>
      <c r="W251" s="9"/>
      <c r="X251" s="21"/>
    </row>
    <row r="252">
      <c r="B252" s="23">
        <v>5.0</v>
      </c>
      <c r="C252" s="24" t="s">
        <v>723</v>
      </c>
      <c r="D252" s="16"/>
      <c r="E252" s="25" t="s">
        <v>107</v>
      </c>
      <c r="F252" s="16"/>
      <c r="G252" s="25" t="s">
        <v>50</v>
      </c>
      <c r="H252" s="16"/>
      <c r="I252" s="25" t="s">
        <v>41</v>
      </c>
      <c r="J252" s="16"/>
      <c r="K252" s="25" t="str">
        <f>long</f>
        <v>Long: 920 ft</v>
      </c>
      <c r="L252" s="16"/>
      <c r="M252" s="25" t="s">
        <v>132</v>
      </c>
      <c r="N252" s="16"/>
      <c r="O252" s="25" t="str">
        <f>CONCAT("Up to ",CONCAT(Level, " rounds
 Concentration, up to 1 round/level or Instantaneous
see text"))</f>
        <v>Up to 13 rounds
 Concentration, up to 1 round/level or Instantaneous
see text</v>
      </c>
      <c r="P252" s="16"/>
      <c r="Q252" s="25" t="s">
        <v>724</v>
      </c>
      <c r="R252" s="16"/>
      <c r="S252" s="25" t="s">
        <v>725</v>
      </c>
      <c r="T252" s="16"/>
      <c r="U252" s="27" t="s">
        <v>726</v>
      </c>
      <c r="V252" s="3"/>
      <c r="W252" s="3"/>
      <c r="X252" s="16"/>
    </row>
    <row r="253">
      <c r="B253" s="57">
        <v>5.0</v>
      </c>
      <c r="C253" s="30" t="s">
        <v>727</v>
      </c>
      <c r="D253" s="21"/>
      <c r="E253" s="32" t="s">
        <v>620</v>
      </c>
      <c r="F253" s="21"/>
      <c r="G253" s="32" t="s">
        <v>40</v>
      </c>
      <c r="H253" s="21"/>
      <c r="I253" s="31" t="s">
        <v>41</v>
      </c>
      <c r="J253" s="21"/>
      <c r="K253" s="31" t="str">
        <f>CONCAT("Medium: ", CONCAT(100+(10*Level), " ft"))</f>
        <v>Medium: 230 ft</v>
      </c>
      <c r="L253" s="21"/>
      <c r="M253" s="31" t="str">
        <f>CONCAT("Up to ",CONCAT(Level*2, " 10-ft. cubes, 2 per level."))</f>
        <v>Up to 26 10-ft. cubes, 2 per level.</v>
      </c>
      <c r="N253" s="21"/>
      <c r="O253" s="31" t="s">
        <v>129</v>
      </c>
      <c r="P253" s="21"/>
      <c r="Q253" s="31" t="s">
        <v>132</v>
      </c>
      <c r="R253" s="21"/>
      <c r="S253" s="31" t="s">
        <v>54</v>
      </c>
      <c r="T253" s="21"/>
      <c r="U253" s="33" t="str">
        <f>CONCAT("Transforms ",CONCAT(Level*2, " 10-ft. cubes, 2 per level."))</f>
        <v>Transforms 26 10-ft. cubes, 2 per level.</v>
      </c>
      <c r="V253" s="9"/>
      <c r="W253" s="9"/>
      <c r="X253" s="21"/>
    </row>
    <row r="254">
      <c r="B254" s="23">
        <v>5.0</v>
      </c>
      <c r="C254" s="24" t="s">
        <v>728</v>
      </c>
      <c r="D254" s="16"/>
      <c r="E254" s="26" t="s">
        <v>620</v>
      </c>
      <c r="F254" s="16"/>
      <c r="G254" s="26" t="s">
        <v>40</v>
      </c>
      <c r="H254" s="16"/>
      <c r="I254" s="25" t="s">
        <v>41</v>
      </c>
      <c r="J254" s="16"/>
      <c r="K254" s="25" t="str">
        <f>CONCAT("Medium: ", CONCAT(100+(10*Level), " ft"))</f>
        <v>Medium: 230 ft</v>
      </c>
      <c r="L254" s="16"/>
      <c r="M254" s="25" t="str">
        <f>CONCAT("Up to ",CONCAT(Level*2, " 10-ft. cubes, 2 per level."))</f>
        <v>Up to 26 10-ft. cubes, 2 per level.</v>
      </c>
      <c r="N254" s="16"/>
      <c r="O254" s="25" t="s">
        <v>129</v>
      </c>
      <c r="P254" s="16"/>
      <c r="Q254" s="25" t="s">
        <v>132</v>
      </c>
      <c r="R254" s="16"/>
      <c r="S254" s="25" t="s">
        <v>54</v>
      </c>
      <c r="T254" s="16"/>
      <c r="U254" s="27" t="str">
        <f>CONCAT("Transforms ",CONCAT(Level*2, " 10-ft. cubes, 2 per level."))</f>
        <v>Transforms 26 10-ft. cubes, 2 per level.</v>
      </c>
      <c r="V254" s="3"/>
      <c r="W254" s="3"/>
      <c r="X254" s="16"/>
    </row>
    <row r="255">
      <c r="B255" s="57">
        <v>5.0</v>
      </c>
      <c r="C255" s="58" t="s">
        <v>729</v>
      </c>
      <c r="D255" s="21"/>
      <c r="E255" s="63" t="s">
        <v>126</v>
      </c>
      <c r="F255" s="21"/>
      <c r="G255" s="63" t="s">
        <v>730</v>
      </c>
      <c r="H255" s="21"/>
      <c r="I255" s="63" t="s">
        <v>731</v>
      </c>
      <c r="J255" s="21"/>
      <c r="K255" s="63" t="s">
        <v>132</v>
      </c>
      <c r="L255" s="21"/>
      <c r="M255" s="63" t="s">
        <v>132</v>
      </c>
      <c r="N255" s="21"/>
      <c r="O255" s="63" t="s">
        <v>732</v>
      </c>
      <c r="P255" s="21"/>
      <c r="Q255" s="63" t="s">
        <v>53</v>
      </c>
      <c r="R255" s="21"/>
      <c r="S255" s="63" t="s">
        <v>54</v>
      </c>
      <c r="T255" s="21"/>
      <c r="U255" s="64" t="s">
        <v>733</v>
      </c>
      <c r="V255" s="9"/>
      <c r="W255" s="9"/>
      <c r="X255" s="21"/>
    </row>
    <row r="256">
      <c r="B256" s="23">
        <v>6.0</v>
      </c>
      <c r="C256" s="59" t="s">
        <v>734</v>
      </c>
      <c r="D256" s="16"/>
      <c r="E256" s="25" t="s">
        <v>39</v>
      </c>
      <c r="F256" s="16"/>
      <c r="G256" s="26" t="s">
        <v>40</v>
      </c>
      <c r="H256" s="16"/>
      <c r="I256" s="25" t="s">
        <v>41</v>
      </c>
      <c r="J256" s="16"/>
      <c r="K256" s="26" t="s">
        <v>112</v>
      </c>
      <c r="L256" s="16"/>
      <c r="M256" s="26" t="s">
        <v>735</v>
      </c>
      <c r="N256" s="16"/>
      <c r="O256" s="25" t="str">
        <f>Level*10&amp;" minutes (D)
10 minutes/level"</f>
        <v>130 minutes (D)
10 minutes/level</v>
      </c>
      <c r="P256" s="16"/>
      <c r="Q256" s="25" t="s">
        <v>53</v>
      </c>
      <c r="R256" s="16"/>
      <c r="S256" s="26" t="s">
        <v>132</v>
      </c>
      <c r="T256" s="16"/>
      <c r="U256" s="60" t="s">
        <v>736</v>
      </c>
      <c r="V256" s="3"/>
      <c r="W256" s="3"/>
      <c r="X256" s="16"/>
    </row>
    <row r="257">
      <c r="B257" s="57">
        <v>6.0</v>
      </c>
      <c r="C257" s="30" t="s">
        <v>737</v>
      </c>
      <c r="D257" s="21"/>
      <c r="E257" s="31" t="s">
        <v>39</v>
      </c>
      <c r="F257" s="21"/>
      <c r="G257" s="31" t="s">
        <v>50</v>
      </c>
      <c r="H257" s="21"/>
      <c r="I257" s="31" t="s">
        <v>41</v>
      </c>
      <c r="J257" s="21"/>
      <c r="K257" s="31" t="str">
        <f>CONCAT("Medium: ", CONCAT(100+(10*Level), " ft"))</f>
        <v>Medium: 230 ft</v>
      </c>
      <c r="L257" s="21"/>
      <c r="M257" s="31" t="s">
        <v>396</v>
      </c>
      <c r="N257" s="21"/>
      <c r="O257" s="31" t="s">
        <v>52</v>
      </c>
      <c r="P257" s="21"/>
      <c r="Q257" s="31" t="s">
        <v>53</v>
      </c>
      <c r="R257" s="21"/>
      <c r="S257" s="31" t="s">
        <v>54</v>
      </c>
      <c r="T257" s="21"/>
      <c r="U257" s="33" t="s">
        <v>738</v>
      </c>
      <c r="V257" s="9"/>
      <c r="W257" s="9"/>
      <c r="X257" s="21"/>
    </row>
    <row r="258">
      <c r="B258" s="23">
        <v>6.0</v>
      </c>
      <c r="C258" s="59" t="s">
        <v>739</v>
      </c>
      <c r="D258" s="16"/>
      <c r="E258" s="25" t="s">
        <v>39</v>
      </c>
      <c r="F258" s="16"/>
      <c r="G258" s="25" t="s">
        <v>40</v>
      </c>
      <c r="H258" s="16"/>
      <c r="I258" s="25" t="s">
        <v>41</v>
      </c>
      <c r="J258" s="16"/>
      <c r="K258" s="25" t="s">
        <v>112</v>
      </c>
      <c r="L258" s="16"/>
      <c r="M258" s="25" t="s">
        <v>513</v>
      </c>
      <c r="N258" s="16"/>
      <c r="O258" s="25" t="str">
        <f>Level&amp;" rounds (D)
1 round/level"</f>
        <v>13 rounds (D)
1 round/level</v>
      </c>
      <c r="P258" s="16"/>
      <c r="Q258" s="25" t="s">
        <v>53</v>
      </c>
      <c r="R258" s="16"/>
      <c r="S258" s="25" t="s">
        <v>54</v>
      </c>
      <c r="T258" s="16"/>
      <c r="U258" s="60" t="s">
        <v>740</v>
      </c>
      <c r="V258" s="3"/>
      <c r="W258" s="3"/>
      <c r="X258" s="16"/>
    </row>
    <row r="259">
      <c r="B259" s="57">
        <v>6.0</v>
      </c>
      <c r="C259" s="58" t="s">
        <v>741</v>
      </c>
      <c r="D259" s="21"/>
      <c r="E259" s="31" t="s">
        <v>39</v>
      </c>
      <c r="F259" s="21"/>
      <c r="G259" s="32" t="s">
        <v>267</v>
      </c>
      <c r="H259" s="21"/>
      <c r="I259" s="32" t="s">
        <v>742</v>
      </c>
      <c r="J259" s="21"/>
      <c r="K259" s="32" t="s">
        <v>743</v>
      </c>
      <c r="L259" s="21"/>
      <c r="M259" s="31" t="str">
        <f>"Up to "&amp;Level*200&amp;" sq ft, 200 sq ft/level"</f>
        <v>Up to 2600 sq ft, 200 sq ft/level</v>
      </c>
      <c r="N259" s="21"/>
      <c r="O259" s="31" t="str">
        <f>Level*2&amp;" hours (D)
1 hour/level"</f>
        <v>26 hours (D)
1 hour/level</v>
      </c>
      <c r="P259" s="21"/>
      <c r="Q259" s="32" t="s">
        <v>132</v>
      </c>
      <c r="R259" s="21"/>
      <c r="S259" s="32" t="s">
        <v>132</v>
      </c>
      <c r="T259" s="21"/>
      <c r="U259" s="53" t="s">
        <v>744</v>
      </c>
      <c r="V259" s="9"/>
      <c r="W259" s="9"/>
      <c r="X259" s="21"/>
    </row>
    <row r="260">
      <c r="B260" s="23">
        <v>6.0</v>
      </c>
      <c r="C260" s="59" t="s">
        <v>745</v>
      </c>
      <c r="D260" s="16"/>
      <c r="E260" s="25" t="s">
        <v>39</v>
      </c>
      <c r="F260" s="16"/>
      <c r="G260" s="26" t="s">
        <v>746</v>
      </c>
      <c r="H260" s="16"/>
      <c r="I260" s="26" t="s">
        <v>41</v>
      </c>
      <c r="J260" s="16"/>
      <c r="K260" s="26" t="str">
        <f>"Up to "&amp;Level*10&amp;" ft
10 ft/level"</f>
        <v>Up to 130 ft
10 ft/level</v>
      </c>
      <c r="L260" s="16"/>
      <c r="M260" s="25" t="str">
        <f>"Up to "&amp;Level*10&amp;" ft radius emanation centered on you, 10 ft/level"</f>
        <v>Up to 130 ft radius emanation centered on you, 10 ft/level</v>
      </c>
      <c r="N260" s="16"/>
      <c r="O260" s="25" t="str">
        <f>Level&amp;" rounds (D)
1 round/level"</f>
        <v>13 rounds (D)
1 round/level</v>
      </c>
      <c r="P260" s="16"/>
      <c r="Q260" s="26" t="s">
        <v>74</v>
      </c>
      <c r="R260" s="16"/>
      <c r="S260" s="26" t="s">
        <v>75</v>
      </c>
      <c r="T260" s="16"/>
      <c r="U260" s="60" t="s">
        <v>747</v>
      </c>
      <c r="V260" s="3"/>
      <c r="W260" s="3"/>
      <c r="X260" s="16"/>
    </row>
    <row r="261">
      <c r="B261" s="57">
        <v>6.0</v>
      </c>
      <c r="C261" s="58" t="s">
        <v>748</v>
      </c>
      <c r="D261" s="21"/>
      <c r="E261" s="32" t="s">
        <v>49</v>
      </c>
      <c r="F261" s="21"/>
      <c r="G261" s="32" t="s">
        <v>40</v>
      </c>
      <c r="H261" s="21"/>
      <c r="I261" s="32" t="s">
        <v>41</v>
      </c>
      <c r="J261" s="21"/>
      <c r="K261" s="32" t="str">
        <f>medium</f>
        <v>Medium: 230 ft</v>
      </c>
      <c r="L261" s="21"/>
      <c r="M261" s="32" t="s">
        <v>749</v>
      </c>
      <c r="N261" s="21"/>
      <c r="O261" s="31" t="str">
        <f>Level&amp;" rounds
1 round/level"</f>
        <v>13 rounds
1 round/level</v>
      </c>
      <c r="P261" s="21"/>
      <c r="Q261" s="32" t="s">
        <v>53</v>
      </c>
      <c r="R261" s="21"/>
      <c r="S261" s="32" t="s">
        <v>54</v>
      </c>
      <c r="T261" s="21"/>
      <c r="U261" s="53" t="s">
        <v>750</v>
      </c>
      <c r="V261" s="9"/>
      <c r="W261" s="9"/>
      <c r="X261" s="21"/>
    </row>
    <row r="262">
      <c r="B262" s="23">
        <v>6.0</v>
      </c>
      <c r="C262" s="59" t="s">
        <v>751</v>
      </c>
      <c r="D262" s="16"/>
      <c r="E262" s="26" t="s">
        <v>638</v>
      </c>
      <c r="F262" s="16"/>
      <c r="G262" s="26" t="s">
        <v>50</v>
      </c>
      <c r="H262" s="16"/>
      <c r="I262" s="26" t="s">
        <v>412</v>
      </c>
      <c r="J262" s="16"/>
      <c r="K262" s="25" t="str">
        <f>close</f>
        <v>Close: 55 ft</v>
      </c>
      <c r="L262" s="16"/>
      <c r="M262" s="26" t="s">
        <v>752</v>
      </c>
      <c r="N262" s="16"/>
      <c r="O262" s="26" t="s">
        <v>52</v>
      </c>
      <c r="P262" s="16"/>
      <c r="Q262" s="26" t="s">
        <v>74</v>
      </c>
      <c r="R262" s="16"/>
      <c r="S262" s="26" t="s">
        <v>640</v>
      </c>
      <c r="T262" s="16"/>
      <c r="U262" s="60" t="s">
        <v>753</v>
      </c>
      <c r="V262" s="3"/>
      <c r="W262" s="3"/>
      <c r="X262" s="16"/>
    </row>
    <row r="263">
      <c r="B263" s="57">
        <v>6.0</v>
      </c>
      <c r="C263" s="30" t="s">
        <v>754</v>
      </c>
      <c r="D263" s="21"/>
      <c r="E263" s="32" t="s">
        <v>170</v>
      </c>
      <c r="F263" s="21"/>
      <c r="G263" s="31" t="s">
        <v>65</v>
      </c>
      <c r="H263" s="21"/>
      <c r="I263" s="31" t="s">
        <v>73</v>
      </c>
      <c r="J263" s="21"/>
      <c r="K263" s="31" t="str">
        <f>close</f>
        <v>Close: 55 ft</v>
      </c>
      <c r="L263" s="21"/>
      <c r="M263" s="31" t="s">
        <v>171</v>
      </c>
      <c r="N263" s="21"/>
      <c r="O263" s="31" t="str">
        <f>Level&amp;" rounds (D)
1 round/level"</f>
        <v>13 rounds (D)
1 round/level</v>
      </c>
      <c r="P263" s="21"/>
      <c r="Q263" s="31" t="s">
        <v>53</v>
      </c>
      <c r="R263" s="21"/>
      <c r="S263" s="31" t="s">
        <v>54</v>
      </c>
      <c r="T263" s="21"/>
      <c r="U263" s="33" t="s">
        <v>172</v>
      </c>
      <c r="V263" s="9"/>
      <c r="W263" s="9"/>
      <c r="X263" s="21"/>
    </row>
    <row r="264">
      <c r="B264" s="23">
        <v>6.0</v>
      </c>
      <c r="C264" s="59" t="s">
        <v>755</v>
      </c>
      <c r="D264" s="16"/>
      <c r="E264" s="26" t="s">
        <v>156</v>
      </c>
      <c r="F264" s="16"/>
      <c r="G264" s="25" t="s">
        <v>65</v>
      </c>
      <c r="H264" s="16"/>
      <c r="I264" s="25" t="s">
        <v>73</v>
      </c>
      <c r="J264" s="16"/>
      <c r="K264" s="25" t="str">
        <f>close</f>
        <v>Close: 55 ft</v>
      </c>
      <c r="L264" s="16"/>
      <c r="M264" s="25" t="s">
        <v>171</v>
      </c>
      <c r="N264" s="16"/>
      <c r="O264" s="25" t="str">
        <f>Level&amp;" rounds (D)
1 round/level"</f>
        <v>13 rounds (D)
1 round/level</v>
      </c>
      <c r="P264" s="16"/>
      <c r="Q264" s="25" t="s">
        <v>53</v>
      </c>
      <c r="R264" s="16"/>
      <c r="S264" s="25" t="s">
        <v>54</v>
      </c>
      <c r="T264" s="16"/>
      <c r="U264" s="27" t="s">
        <v>172</v>
      </c>
      <c r="V264" s="3"/>
      <c r="W264" s="3"/>
      <c r="X264" s="16"/>
    </row>
    <row r="265">
      <c r="B265" s="57">
        <v>6.0</v>
      </c>
      <c r="C265" s="30" t="s">
        <v>756</v>
      </c>
      <c r="D265" s="21"/>
      <c r="E265" s="31" t="s">
        <v>57</v>
      </c>
      <c r="F265" s="21"/>
      <c r="G265" s="31" t="s">
        <v>757</v>
      </c>
      <c r="H265" s="21"/>
      <c r="I265" s="31" t="s">
        <v>41</v>
      </c>
      <c r="J265" s="21"/>
      <c r="K265" s="31" t="str">
        <f>CONCAT("Close: ", CONCAT(25+(5*FLOOR(Level/2,1)), " ft"))</f>
        <v>Close: 55 ft</v>
      </c>
      <c r="L265" s="21"/>
      <c r="M265" s="31" t="str">
        <f>CONCAT(Level," creatures or objects, 1 creature or object/level")</f>
        <v>13 creatures or objects, 1 creature or object/level</v>
      </c>
      <c r="N265" s="21"/>
      <c r="O265" s="31" t="str">
        <f>CONCAT(Level, " rounds (D)
1 round/level")</f>
        <v>13 rounds (D)
1 round/level</v>
      </c>
      <c r="P265" s="21"/>
      <c r="Q265" s="31" t="s">
        <v>345</v>
      </c>
      <c r="R265" s="21"/>
      <c r="S265" s="31" t="s">
        <v>54</v>
      </c>
      <c r="T265" s="21"/>
      <c r="U265" s="33" t="s">
        <v>758</v>
      </c>
      <c r="V265" s="9"/>
      <c r="W265" s="9"/>
      <c r="X265" s="21"/>
    </row>
    <row r="266">
      <c r="B266" s="23">
        <v>6.0</v>
      </c>
      <c r="C266" s="24" t="s">
        <v>759</v>
      </c>
      <c r="D266" s="16"/>
      <c r="E266" s="25" t="s">
        <v>57</v>
      </c>
      <c r="F266" s="16"/>
      <c r="G266" s="25" t="s">
        <v>760</v>
      </c>
      <c r="H266" s="16"/>
      <c r="I266" s="25" t="s">
        <v>132</v>
      </c>
      <c r="J266" s="16"/>
      <c r="K266" s="25" t="s">
        <v>66</v>
      </c>
      <c r="L266" s="16"/>
      <c r="M266" s="25" t="s">
        <v>67</v>
      </c>
      <c r="N266" s="16"/>
      <c r="O266" s="25" t="s">
        <v>132</v>
      </c>
      <c r="P266" s="16"/>
      <c r="Q266" s="25" t="s">
        <v>68</v>
      </c>
      <c r="R266" s="16"/>
      <c r="S266" s="25" t="s">
        <v>68</v>
      </c>
      <c r="T266" s="16"/>
      <c r="U266" s="27" t="s">
        <v>761</v>
      </c>
      <c r="V266" s="3"/>
      <c r="W266" s="3"/>
      <c r="X266" s="16"/>
    </row>
    <row r="267">
      <c r="B267" s="57">
        <v>6.0</v>
      </c>
      <c r="C267" s="30" t="s">
        <v>762</v>
      </c>
      <c r="D267" s="21"/>
      <c r="E267" s="31" t="s">
        <v>57</v>
      </c>
      <c r="F267" s="21"/>
      <c r="G267" s="31" t="s">
        <v>519</v>
      </c>
      <c r="H267" s="21"/>
      <c r="I267" s="31" t="s">
        <v>41</v>
      </c>
      <c r="J267" s="21"/>
      <c r="K267" s="31" t="s">
        <v>42</v>
      </c>
      <c r="L267" s="21"/>
      <c r="M267" s="31" t="s">
        <v>104</v>
      </c>
      <c r="N267" s="21"/>
      <c r="O267" s="31" t="str">
        <f>CONCAT(Level, " minutes
1 minute/level")</f>
        <v>13 minutes
1 minute/level</v>
      </c>
      <c r="P267" s="21"/>
      <c r="Q267" s="31" t="s">
        <v>763</v>
      </c>
      <c r="R267" s="21"/>
      <c r="S267" s="31" t="s">
        <v>764</v>
      </c>
      <c r="T267" s="21"/>
      <c r="U267" s="33" t="s">
        <v>765</v>
      </c>
      <c r="V267" s="9"/>
      <c r="W267" s="9"/>
      <c r="X267" s="21"/>
    </row>
    <row r="268">
      <c r="B268" s="23">
        <v>6.0</v>
      </c>
      <c r="C268" s="24" t="s">
        <v>766</v>
      </c>
      <c r="D268" s="16"/>
      <c r="E268" s="26" t="s">
        <v>442</v>
      </c>
      <c r="F268" s="16"/>
      <c r="G268" s="25" t="s">
        <v>83</v>
      </c>
      <c r="H268" s="16"/>
      <c r="I268" s="25" t="s">
        <v>412</v>
      </c>
      <c r="J268" s="16"/>
      <c r="K268" s="25" t="str">
        <f>close</f>
        <v>Close: 55 ft</v>
      </c>
      <c r="L268" s="16"/>
      <c r="M268" s="25" t="s">
        <v>350</v>
      </c>
      <c r="N268" s="16"/>
      <c r="O268" s="25" t="str">
        <f>Level&amp;" days or until discharged (D)
1 day/level"</f>
        <v>13 days or until discharged (D)
1 day/level</v>
      </c>
      <c r="P268" s="16"/>
      <c r="Q268" s="25" t="s">
        <v>53</v>
      </c>
      <c r="R268" s="16"/>
      <c r="S268" s="25" t="s">
        <v>75</v>
      </c>
      <c r="T268" s="16"/>
      <c r="U268" s="27" t="s">
        <v>767</v>
      </c>
      <c r="V268" s="3"/>
      <c r="W268" s="3"/>
      <c r="X268" s="16"/>
    </row>
    <row r="269">
      <c r="B269" s="57">
        <v>6.0</v>
      </c>
      <c r="C269" s="30" t="s">
        <v>768</v>
      </c>
      <c r="D269" s="21"/>
      <c r="E269" s="32" t="s">
        <v>71</v>
      </c>
      <c r="F269" s="21"/>
      <c r="G269" s="31" t="s">
        <v>50</v>
      </c>
      <c r="H269" s="21"/>
      <c r="I269" s="31" t="s">
        <v>41</v>
      </c>
      <c r="J269" s="21"/>
      <c r="K269" s="31" t="s">
        <v>42</v>
      </c>
      <c r="L269" s="21"/>
      <c r="M269" s="31" t="s">
        <v>104</v>
      </c>
      <c r="N269" s="21"/>
      <c r="O269" s="31" t="str">
        <f>Level&amp;" minutes
1 minute/level"</f>
        <v>13 minutes
1 minute/level</v>
      </c>
      <c r="P269" s="21"/>
      <c r="Q269" s="31" t="s">
        <v>45</v>
      </c>
      <c r="R269" s="21"/>
      <c r="S269" s="31" t="s">
        <v>46</v>
      </c>
      <c r="T269" s="21"/>
      <c r="U269" s="33" t="s">
        <v>769</v>
      </c>
      <c r="V269" s="9"/>
      <c r="W269" s="9"/>
      <c r="X269" s="21"/>
    </row>
    <row r="270">
      <c r="B270" s="23">
        <v>6.0</v>
      </c>
      <c r="C270" s="24" t="s">
        <v>770</v>
      </c>
      <c r="D270" s="16"/>
      <c r="E270" s="26" t="s">
        <v>442</v>
      </c>
      <c r="F270" s="16"/>
      <c r="G270" s="25" t="s">
        <v>88</v>
      </c>
      <c r="H270" s="16"/>
      <c r="I270" s="25" t="s">
        <v>41</v>
      </c>
      <c r="J270" s="16"/>
      <c r="K270" s="25" t="str">
        <f>medium</f>
        <v>Medium: 230 ft</v>
      </c>
      <c r="L270" s="16"/>
      <c r="M270" s="25" t="str">
        <f>CONCAT(Level," creatures, 1 creature/level, no 2 of which can be more than 30 ft apart")</f>
        <v>13 creatures, 1 creature/level, no 2 of which can be more than 30 ft apart</v>
      </c>
      <c r="N270" s="16"/>
      <c r="O270" s="25" t="str">
        <f>Level&amp;" hours or until completed
1 hour/level"</f>
        <v>13 hours or until completed
1 hour/level</v>
      </c>
      <c r="P270" s="16"/>
      <c r="Q270" s="25" t="s">
        <v>74</v>
      </c>
      <c r="R270" s="16"/>
      <c r="S270" s="25" t="s">
        <v>75</v>
      </c>
      <c r="T270" s="16"/>
      <c r="U270" s="27" t="str">
        <f>"As suggestion, plus "&amp;Level&amp;" subjects, 1 subject/level"</f>
        <v>As suggestion, plus 13 subjects, 1 subject/level</v>
      </c>
      <c r="V270" s="3"/>
      <c r="W270" s="3"/>
      <c r="X270" s="16"/>
    </row>
    <row r="271">
      <c r="B271" s="57">
        <v>6.0</v>
      </c>
      <c r="C271" s="58" t="s">
        <v>771</v>
      </c>
      <c r="D271" s="21"/>
      <c r="E271" s="32" t="s">
        <v>191</v>
      </c>
      <c r="F271" s="21"/>
      <c r="G271" s="32" t="s">
        <v>772</v>
      </c>
      <c r="H271" s="21"/>
      <c r="I271" s="32" t="s">
        <v>412</v>
      </c>
      <c r="J271" s="21"/>
      <c r="K271" s="32" t="s">
        <v>671</v>
      </c>
      <c r="L271" s="21"/>
      <c r="M271" s="32" t="s">
        <v>672</v>
      </c>
      <c r="N271" s="21"/>
      <c r="O271" s="32" t="s">
        <v>132</v>
      </c>
      <c r="P271" s="21"/>
      <c r="Q271" s="31" t="s">
        <v>74</v>
      </c>
      <c r="R271" s="21"/>
      <c r="S271" s="32" t="s">
        <v>75</v>
      </c>
      <c r="T271" s="21"/>
      <c r="U271" s="53" t="s">
        <v>773</v>
      </c>
      <c r="V271" s="9"/>
      <c r="W271" s="9"/>
      <c r="X271" s="21"/>
    </row>
    <row r="272">
      <c r="B272" s="23">
        <v>6.0</v>
      </c>
      <c r="C272" s="59" t="s">
        <v>774</v>
      </c>
      <c r="D272" s="16"/>
      <c r="E272" s="26" t="s">
        <v>211</v>
      </c>
      <c r="F272" s="16"/>
      <c r="G272" s="26" t="s">
        <v>65</v>
      </c>
      <c r="H272" s="16"/>
      <c r="I272" s="26" t="s">
        <v>41</v>
      </c>
      <c r="J272" s="16"/>
      <c r="K272" s="26" t="str">
        <f>long</f>
        <v>Long: 920 ft</v>
      </c>
      <c r="L272" s="16"/>
      <c r="M272" s="26" t="str">
        <f>"One primary target, plus "&amp;MIN(Level,20)&amp;" secondary targets, 1 secondary target/level, each of which must be within 30 ft. of the primary target"</f>
        <v>One primary target, plus 13 secondary targets, 1 secondary target/level, each of which must be within 30 ft. of the primary target</v>
      </c>
      <c r="N272" s="16"/>
      <c r="O272" s="26" t="s">
        <v>52</v>
      </c>
      <c r="P272" s="16"/>
      <c r="Q272" s="26" t="s">
        <v>205</v>
      </c>
      <c r="R272" s="16"/>
      <c r="S272" s="26" t="s">
        <v>75</v>
      </c>
      <c r="T272" s="16"/>
      <c r="U272" s="60" t="str">
        <f>MIN(Level,20)&amp;"d6 damage, 1d6/level, "&amp;MIN(Level,20)&amp;" secondary bolts, 1 bolt/level, each deals half damage"</f>
        <v>13d6 damage, 1d6/level, 13 secondary bolts, 1 bolt/level, each deals half damage</v>
      </c>
      <c r="V272" s="3"/>
      <c r="W272" s="3"/>
      <c r="X272" s="16"/>
    </row>
    <row r="273">
      <c r="B273" s="57">
        <v>6.0</v>
      </c>
      <c r="C273" s="58" t="s">
        <v>775</v>
      </c>
      <c r="D273" s="21"/>
      <c r="E273" s="32" t="s">
        <v>679</v>
      </c>
      <c r="F273" s="21"/>
      <c r="G273" s="32" t="s">
        <v>776</v>
      </c>
      <c r="H273" s="21"/>
      <c r="I273" s="32" t="s">
        <v>777</v>
      </c>
      <c r="J273" s="21"/>
      <c r="K273" s="32" t="s">
        <v>66</v>
      </c>
      <c r="L273" s="21"/>
      <c r="M273" s="32" t="s">
        <v>67</v>
      </c>
      <c r="N273" s="21"/>
      <c r="O273" s="32" t="str">
        <f>Level&amp;" days or until discharged(D)
1 day/level"</f>
        <v>13 days or until discharged(D)
1 day/level</v>
      </c>
      <c r="P273" s="21"/>
      <c r="Q273" s="32" t="s">
        <v>68</v>
      </c>
      <c r="R273" s="21"/>
      <c r="S273" s="32" t="s">
        <v>68</v>
      </c>
      <c r="T273" s="21"/>
      <c r="U273" s="53" t="s">
        <v>778</v>
      </c>
      <c r="V273" s="9"/>
      <c r="W273" s="9"/>
      <c r="X273" s="21"/>
    </row>
    <row r="274">
      <c r="B274" s="23">
        <v>6.0</v>
      </c>
      <c r="C274" s="59" t="s">
        <v>779</v>
      </c>
      <c r="D274" s="16"/>
      <c r="E274" s="26" t="s">
        <v>207</v>
      </c>
      <c r="F274" s="16"/>
      <c r="G274" s="26" t="s">
        <v>65</v>
      </c>
      <c r="H274" s="16"/>
      <c r="I274" s="26" t="s">
        <v>41</v>
      </c>
      <c r="J274" s="16"/>
      <c r="K274" s="26" t="str">
        <f>medium</f>
        <v>Medium: 230 ft</v>
      </c>
      <c r="L274" s="16"/>
      <c r="M274" s="26" t="s">
        <v>676</v>
      </c>
      <c r="N274" s="16"/>
      <c r="O274" s="26" t="str">
        <f>Level&amp;" rounds (D)
1 round/level"</f>
        <v>13 rounds (D)
1 round/level</v>
      </c>
      <c r="P274" s="16"/>
      <c r="Q274" s="26" t="s">
        <v>53</v>
      </c>
      <c r="R274" s="16"/>
      <c r="S274" s="26" t="s">
        <v>75</v>
      </c>
      <c r="T274" s="16"/>
      <c r="U274" s="60" t="s">
        <v>780</v>
      </c>
      <c r="V274" s="3"/>
      <c r="W274" s="3"/>
      <c r="X274" s="16"/>
    </row>
    <row r="275">
      <c r="B275" s="57">
        <v>6.0</v>
      </c>
      <c r="C275" s="58" t="s">
        <v>781</v>
      </c>
      <c r="D275" s="21"/>
      <c r="E275" s="32" t="s">
        <v>92</v>
      </c>
      <c r="F275" s="21"/>
      <c r="G275" s="32" t="s">
        <v>65</v>
      </c>
      <c r="H275" s="21"/>
      <c r="I275" s="32" t="s">
        <v>41</v>
      </c>
      <c r="J275" s="21"/>
      <c r="K275" s="32" t="str">
        <f>long</f>
        <v>Long: 920 ft</v>
      </c>
      <c r="L275" s="21"/>
      <c r="M275" s="32" t="s">
        <v>132</v>
      </c>
      <c r="N275" s="21"/>
      <c r="O275" s="32" t="str">
        <f>"Instantaneous
or "&amp;Level&amp;" rounds, see text
1 round/level"</f>
        <v>Instantaneous
or 13 rounds, see text
1 round/level</v>
      </c>
      <c r="P275" s="21"/>
      <c r="Q275" s="32" t="s">
        <v>511</v>
      </c>
      <c r="R275" s="21"/>
      <c r="S275" s="32" t="s">
        <v>75</v>
      </c>
      <c r="T275" s="21"/>
      <c r="U275" s="53" t="s">
        <v>782</v>
      </c>
      <c r="V275" s="9"/>
      <c r="W275" s="9"/>
      <c r="X275" s="21"/>
    </row>
    <row r="276">
      <c r="B276" s="23">
        <v>6.0</v>
      </c>
      <c r="C276" s="24" t="s">
        <v>783</v>
      </c>
      <c r="D276" s="16"/>
      <c r="E276" s="26" t="s">
        <v>784</v>
      </c>
      <c r="F276" s="16"/>
      <c r="G276" s="25" t="s">
        <v>785</v>
      </c>
      <c r="H276" s="16"/>
      <c r="I276" s="25" t="s">
        <v>41</v>
      </c>
      <c r="J276" s="16"/>
      <c r="K276" s="25" t="str">
        <f>close</f>
        <v>Close: 55 ft</v>
      </c>
      <c r="L276" s="16"/>
      <c r="M276" s="25" t="s">
        <v>786</v>
      </c>
      <c r="N276" s="16"/>
      <c r="O276" s="25" t="str">
        <f>Level&amp;" rounds (D)
1 round/level
and concentration + 3 rounds, see text"</f>
        <v>13 rounds (D)
1 round/level
and concentration + 3 rounds, see text</v>
      </c>
      <c r="P276" s="16"/>
      <c r="Q276" s="25" t="s">
        <v>787</v>
      </c>
      <c r="R276" s="16"/>
      <c r="S276" s="25" t="s">
        <v>54</v>
      </c>
      <c r="T276" s="16"/>
      <c r="U276" s="27" t="s">
        <v>788</v>
      </c>
      <c r="V276" s="3"/>
      <c r="W276" s="3"/>
      <c r="X276" s="16"/>
    </row>
    <row r="277">
      <c r="B277" s="57">
        <v>6.0</v>
      </c>
      <c r="C277" s="58" t="s">
        <v>789</v>
      </c>
      <c r="D277" s="21"/>
      <c r="E277" s="32" t="s">
        <v>96</v>
      </c>
      <c r="F277" s="21"/>
      <c r="G277" s="31" t="s">
        <v>790</v>
      </c>
      <c r="H277" s="21"/>
      <c r="I277" s="31" t="s">
        <v>41</v>
      </c>
      <c r="J277" s="21"/>
      <c r="K277" s="31" t="str">
        <f>long</f>
        <v>Long: 920 ft</v>
      </c>
      <c r="L277" s="21"/>
      <c r="M277" s="31" t="str">
        <f>"Figment that cannot extend beyond a twenty ft cube + "&amp;Level&amp;" ten ft cubes, +1 ten ft. cube/level"</f>
        <v>Figment that cannot extend beyond a twenty ft cube + 13 ten ft cubes, +1 ten ft. cube/level</v>
      </c>
      <c r="N277" s="21"/>
      <c r="O277" s="31" t="s">
        <v>351</v>
      </c>
      <c r="P277" s="21"/>
      <c r="Q277" s="31" t="s">
        <v>98</v>
      </c>
      <c r="R277" s="21"/>
      <c r="S277" s="31" t="s">
        <v>54</v>
      </c>
      <c r="T277" s="21"/>
      <c r="U277" s="33" t="s">
        <v>791</v>
      </c>
      <c r="V277" s="9"/>
      <c r="W277" s="9"/>
      <c r="X277" s="21"/>
    </row>
    <row r="278">
      <c r="B278" s="23">
        <v>6.0</v>
      </c>
      <c r="C278" s="24" t="s">
        <v>792</v>
      </c>
      <c r="D278" s="16"/>
      <c r="E278" s="26" t="s">
        <v>96</v>
      </c>
      <c r="F278" s="16"/>
      <c r="G278" s="25" t="s">
        <v>793</v>
      </c>
      <c r="H278" s="16"/>
      <c r="I278" s="25" t="s">
        <v>41</v>
      </c>
      <c r="J278" s="16"/>
      <c r="K278" s="25" t="str">
        <f>long</f>
        <v>Long: 920 ft</v>
      </c>
      <c r="L278" s="16"/>
      <c r="M278" s="25" t="str">
        <f>"Figment that cannot extend beyond a twenty ft cube + "&amp;Level&amp;" ten ft cubes, +1 ten ft. cube/level"</f>
        <v>Figment that cannot extend beyond a twenty ft cube + 13 ten ft cubes, +1 ten ft. cube/level</v>
      </c>
      <c r="N278" s="16"/>
      <c r="O278" s="25" t="str">
        <f>"Permanent until triggered, then "&amp;Level&amp;" rounds
1 round/level"</f>
        <v>Permanent until triggered, then 13 rounds
1 round/level</v>
      </c>
      <c r="P278" s="16"/>
      <c r="Q278" s="25" t="s">
        <v>98</v>
      </c>
      <c r="R278" s="16"/>
      <c r="S278" s="25" t="s">
        <v>54</v>
      </c>
      <c r="T278" s="16"/>
      <c r="U278" s="27" t="s">
        <v>794</v>
      </c>
      <c r="V278" s="3"/>
      <c r="W278" s="3"/>
      <c r="X278" s="16"/>
    </row>
    <row r="279">
      <c r="B279" s="57">
        <v>6.0</v>
      </c>
      <c r="C279" s="58" t="s">
        <v>795</v>
      </c>
      <c r="D279" s="21"/>
      <c r="E279" s="32" t="s">
        <v>593</v>
      </c>
      <c r="F279" s="21"/>
      <c r="G279" s="31" t="s">
        <v>50</v>
      </c>
      <c r="H279" s="21"/>
      <c r="I279" s="31" t="s">
        <v>41</v>
      </c>
      <c r="J279" s="21"/>
      <c r="K279" s="32" t="s">
        <v>42</v>
      </c>
      <c r="L279" s="21"/>
      <c r="M279" s="31" t="str">
        <f>"Up to "&amp;Level&amp;" touched creatures, 1 creature/level"</f>
        <v>Up to 13 touched creatures, 1 creature/level</v>
      </c>
      <c r="N279" s="21"/>
      <c r="O279" s="31" t="str">
        <f>Level&amp;" hours (D)
1 hour/level"</f>
        <v>13 hours (D)
1 hour/level</v>
      </c>
      <c r="P279" s="21"/>
      <c r="Q279" s="32" t="s">
        <v>74</v>
      </c>
      <c r="R279" s="21"/>
      <c r="S279" s="32" t="s">
        <v>75</v>
      </c>
      <c r="T279" s="21"/>
      <c r="U279" s="53" t="s">
        <v>796</v>
      </c>
      <c r="V279" s="9"/>
      <c r="W279" s="9"/>
      <c r="X279" s="21"/>
    </row>
    <row r="280">
      <c r="B280" s="23">
        <v>6.0</v>
      </c>
      <c r="C280" s="24" t="s">
        <v>797</v>
      </c>
      <c r="D280" s="16"/>
      <c r="E280" s="26" t="s">
        <v>217</v>
      </c>
      <c r="F280" s="16"/>
      <c r="G280" s="25" t="s">
        <v>50</v>
      </c>
      <c r="H280" s="16"/>
      <c r="I280" s="25" t="s">
        <v>41</v>
      </c>
      <c r="J280" s="16"/>
      <c r="K280" s="25" t="str">
        <f>long</f>
        <v>Long: 920 ft</v>
      </c>
      <c r="L280" s="16"/>
      <c r="M280" s="25" t="s">
        <v>798</v>
      </c>
      <c r="N280" s="16"/>
      <c r="O280" s="25" t="str">
        <f>"Concentration + "&amp;Level&amp;" hours (D)
+1 hour/level"</f>
        <v>Concentration + 13 hours (D)
+1 hour/level</v>
      </c>
      <c r="P280" s="16"/>
      <c r="Q280" s="25" t="s">
        <v>288</v>
      </c>
      <c r="R280" s="16"/>
      <c r="S280" s="25" t="s">
        <v>595</v>
      </c>
      <c r="T280" s="16"/>
      <c r="U280" s="27" t="s">
        <v>799</v>
      </c>
      <c r="V280" s="3"/>
      <c r="W280" s="3"/>
      <c r="X280" s="16"/>
    </row>
    <row r="281">
      <c r="B281" s="57">
        <v>6.0</v>
      </c>
      <c r="C281" s="58" t="s">
        <v>800</v>
      </c>
      <c r="D281" s="21"/>
      <c r="E281" s="32" t="s">
        <v>801</v>
      </c>
      <c r="F281" s="21"/>
      <c r="G281" s="32" t="s">
        <v>415</v>
      </c>
      <c r="H281" s="21"/>
      <c r="I281" s="31" t="s">
        <v>41</v>
      </c>
      <c r="J281" s="21"/>
      <c r="K281" s="31" t="str">
        <f>medium</f>
        <v>Medium: 230 ft</v>
      </c>
      <c r="L281" s="21"/>
      <c r="M281" s="32" t="s">
        <v>802</v>
      </c>
      <c r="N281" s="21"/>
      <c r="O281" s="32" t="s">
        <v>52</v>
      </c>
      <c r="P281" s="21"/>
      <c r="Q281" s="32" t="s">
        <v>85</v>
      </c>
      <c r="R281" s="21"/>
      <c r="S281" s="32" t="s">
        <v>75</v>
      </c>
      <c r="T281" s="21"/>
      <c r="U281" s="33" t="str">
        <f>"Kills "&amp;MIN(Level,20)&amp;"d4 HD of creatures, 1d4 HD/level"</f>
        <v>Kills 13d4 HD of creatures, 1d4 HD/level</v>
      </c>
      <c r="V281" s="9"/>
      <c r="W281" s="9"/>
      <c r="X281" s="21"/>
    </row>
    <row r="282">
      <c r="B282" s="23">
        <v>6.0</v>
      </c>
      <c r="C282" s="59" t="s">
        <v>803</v>
      </c>
      <c r="D282" s="16"/>
      <c r="E282" s="26" t="s">
        <v>598</v>
      </c>
      <c r="F282" s="16"/>
      <c r="G282" s="26" t="s">
        <v>804</v>
      </c>
      <c r="H282" s="16"/>
      <c r="I282" s="26" t="s">
        <v>133</v>
      </c>
      <c r="J282" s="16"/>
      <c r="K282" s="25" t="str">
        <f>close</f>
        <v>Close: 55 ft</v>
      </c>
      <c r="L282" s="16"/>
      <c r="M282" s="26" t="s">
        <v>805</v>
      </c>
      <c r="N282" s="16"/>
      <c r="O282" s="26" t="s">
        <v>52</v>
      </c>
      <c r="P282" s="16"/>
      <c r="Q282" s="26" t="s">
        <v>53</v>
      </c>
      <c r="R282" s="16"/>
      <c r="S282" s="26" t="s">
        <v>54</v>
      </c>
      <c r="T282" s="16"/>
      <c r="U282" s="60" t="s">
        <v>806</v>
      </c>
      <c r="V282" s="3"/>
      <c r="W282" s="3"/>
      <c r="X282" s="16"/>
    </row>
    <row r="283">
      <c r="B283" s="57">
        <v>6.0</v>
      </c>
      <c r="C283" s="30" t="s">
        <v>807</v>
      </c>
      <c r="D283" s="21"/>
      <c r="E283" s="32" t="s">
        <v>598</v>
      </c>
      <c r="F283" s="21"/>
      <c r="G283" s="31" t="s">
        <v>50</v>
      </c>
      <c r="H283" s="21"/>
      <c r="I283" s="31" t="s">
        <v>41</v>
      </c>
      <c r="J283" s="21"/>
      <c r="K283" s="31" t="str">
        <f>CONCAT("Close: ", CONCAT(25+(5*FLOOR(Level/2,1)), " ft"))</f>
        <v>Close: 55 ft</v>
      </c>
      <c r="L283" s="21"/>
      <c r="M283" s="31" t="s">
        <v>350</v>
      </c>
      <c r="N283" s="21"/>
      <c r="O283" s="31" t="str">
        <f>CONCAT(MAX(FLOOR(Level/3,1),1), " rounds
1 round per 3 levels, see text")</f>
        <v>4 rounds
1 round per 3 levels, see text</v>
      </c>
      <c r="P283" s="21"/>
      <c r="Q283" s="31" t="s">
        <v>85</v>
      </c>
      <c r="R283" s="21"/>
      <c r="S283" s="31" t="s">
        <v>371</v>
      </c>
      <c r="T283" s="21"/>
      <c r="U283" s="33" t="s">
        <v>808</v>
      </c>
      <c r="V283" s="9"/>
      <c r="W283" s="9"/>
      <c r="X283" s="21"/>
    </row>
    <row r="284">
      <c r="B284" s="23">
        <v>6.0</v>
      </c>
      <c r="C284" s="59" t="s">
        <v>809</v>
      </c>
      <c r="D284" s="16"/>
      <c r="E284" s="26" t="s">
        <v>227</v>
      </c>
      <c r="F284" s="16"/>
      <c r="G284" s="26" t="s">
        <v>670</v>
      </c>
      <c r="H284" s="16"/>
      <c r="I284" s="26" t="s">
        <v>412</v>
      </c>
      <c r="J284" s="16"/>
      <c r="K284" s="26" t="s">
        <v>671</v>
      </c>
      <c r="L284" s="16"/>
      <c r="M284" s="26" t="s">
        <v>672</v>
      </c>
      <c r="N284" s="16"/>
      <c r="O284" s="26" t="s">
        <v>132</v>
      </c>
      <c r="P284" s="16"/>
      <c r="Q284" s="25" t="s">
        <v>74</v>
      </c>
      <c r="R284" s="16"/>
      <c r="S284" s="26" t="s">
        <v>75</v>
      </c>
      <c r="T284" s="16"/>
      <c r="U284" s="60" t="s">
        <v>810</v>
      </c>
      <c r="V284" s="3"/>
      <c r="W284" s="3"/>
      <c r="X284" s="16"/>
    </row>
    <row r="285">
      <c r="B285" s="57">
        <v>6.0</v>
      </c>
      <c r="C285" s="58" t="s">
        <v>811</v>
      </c>
      <c r="D285" s="21"/>
      <c r="E285" s="32" t="s">
        <v>101</v>
      </c>
      <c r="F285" s="21"/>
      <c r="G285" s="32" t="s">
        <v>415</v>
      </c>
      <c r="H285" s="21"/>
      <c r="I285" s="32" t="s">
        <v>41</v>
      </c>
      <c r="J285" s="21"/>
      <c r="K285" s="32" t="str">
        <f>medium</f>
        <v>Medium: 230 ft</v>
      </c>
      <c r="L285" s="21"/>
      <c r="M285" s="32" t="s">
        <v>812</v>
      </c>
      <c r="N285" s="21"/>
      <c r="O285" s="32" t="s">
        <v>52</v>
      </c>
      <c r="P285" s="21"/>
      <c r="Q285" s="31" t="s">
        <v>74</v>
      </c>
      <c r="R285" s="21"/>
      <c r="S285" s="32" t="s">
        <v>75</v>
      </c>
      <c r="T285" s="21"/>
      <c r="U285" s="53" t="str">
        <f>"Destroys "&amp;MIN(Level,20)&amp;"d4 HD of undead, 1d4 HD/level, max 20d4"</f>
        <v>Destroys 13d4 HD of undead, 1d4 HD/level, max 20d4</v>
      </c>
      <c r="V285" s="9"/>
      <c r="W285" s="9"/>
      <c r="X285" s="21"/>
    </row>
    <row r="286">
      <c r="B286" s="23">
        <v>6.0</v>
      </c>
      <c r="C286" s="24" t="s">
        <v>813</v>
      </c>
      <c r="D286" s="16"/>
      <c r="E286" s="25" t="s">
        <v>107</v>
      </c>
      <c r="F286" s="16"/>
      <c r="G286" s="26" t="s">
        <v>50</v>
      </c>
      <c r="H286" s="16"/>
      <c r="I286" s="25" t="s">
        <v>41</v>
      </c>
      <c r="J286" s="16"/>
      <c r="K286" s="25" t="str">
        <f>CONCAT("Close: ", CONCAT(25+(5*FLOOR(Level/2,1)), " ft"))</f>
        <v>Close: 55 ft</v>
      </c>
      <c r="L286" s="16"/>
      <c r="M286" s="25" t="str">
        <f>CONCAT(Level," creatures, 1 creature/level, no 2 of which can be more than 30 ft apart")</f>
        <v>13 creatures, 1 creature/level, no 2 of which can be more than 30 ft apart</v>
      </c>
      <c r="N286" s="16"/>
      <c r="O286" s="25" t="str">
        <f>CONCAT(Level, " minutes
1 minute/level")</f>
        <v>13 minutes
1 minute/level</v>
      </c>
      <c r="P286" s="16"/>
      <c r="Q286" s="25" t="s">
        <v>45</v>
      </c>
      <c r="R286" s="16"/>
      <c r="S286" s="25" t="s">
        <v>75</v>
      </c>
      <c r="T286" s="16"/>
      <c r="U286" s="27" t="str">
        <f>CONCAT("As Bear's Endurance, affects ",CONCAT(Level, " subjects, 1 subject/level."))</f>
        <v>As Bear's Endurance, affects 13 subjects, 1 subject/level.</v>
      </c>
      <c r="V286" s="3"/>
      <c r="W286" s="3"/>
      <c r="X286" s="16"/>
    </row>
    <row r="287">
      <c r="B287" s="57">
        <v>6.0</v>
      </c>
      <c r="C287" s="30" t="s">
        <v>814</v>
      </c>
      <c r="D287" s="21"/>
      <c r="E287" s="31" t="s">
        <v>107</v>
      </c>
      <c r="F287" s="21"/>
      <c r="G287" s="32" t="s">
        <v>40</v>
      </c>
      <c r="H287" s="21"/>
      <c r="I287" s="31" t="s">
        <v>41</v>
      </c>
      <c r="J287" s="21"/>
      <c r="K287" s="31" t="str">
        <f>CONCAT("Close: ", CONCAT(25+(5*FLOOR(Level/2,1)), " ft"))</f>
        <v>Close: 55 ft</v>
      </c>
      <c r="L287" s="21"/>
      <c r="M287" s="31" t="str">
        <f>CONCAT(Level," creatures, 1 creature/level, no 2 of which can be more than 30 ft apart")</f>
        <v>13 creatures, 1 creature/level, no 2 of which can be more than 30 ft apart</v>
      </c>
      <c r="N287" s="21"/>
      <c r="O287" s="31" t="str">
        <f>CONCAT(Level, " minutes
1 minute/level")</f>
        <v>13 minutes
1 minute/level</v>
      </c>
      <c r="P287" s="21"/>
      <c r="Q287" s="31" t="s">
        <v>45</v>
      </c>
      <c r="R287" s="21"/>
      <c r="S287" s="31" t="s">
        <v>46</v>
      </c>
      <c r="T287" s="21"/>
      <c r="U287" s="33" t="str">
        <f>CONCAT("As Bull's Strength, affects ",CONCAT(Level, " subjects, 1 subject/level."))</f>
        <v>As Bull's Strength, affects 13 subjects, 1 subject/level.</v>
      </c>
      <c r="V287" s="9"/>
      <c r="W287" s="9"/>
      <c r="X287" s="21"/>
    </row>
    <row r="288">
      <c r="B288" s="23">
        <v>6.0</v>
      </c>
      <c r="C288" s="24" t="s">
        <v>815</v>
      </c>
      <c r="D288" s="16"/>
      <c r="E288" s="25" t="s">
        <v>107</v>
      </c>
      <c r="F288" s="16"/>
      <c r="G288" s="25" t="s">
        <v>40</v>
      </c>
      <c r="H288" s="16"/>
      <c r="I288" s="25" t="s">
        <v>41</v>
      </c>
      <c r="J288" s="16"/>
      <c r="K288" s="25" t="str">
        <f>CONCAT("Close: ", CONCAT(25+(5*FLOOR(Level/2,1)), " ft"))</f>
        <v>Close: 55 ft</v>
      </c>
      <c r="L288" s="16"/>
      <c r="M288" s="25" t="str">
        <f>CONCAT(Level," creatures, 1 creature/level, no 2 of which can be more than 30 ft apart")</f>
        <v>13 creatures, 1 creature/level, no 2 of which can be more than 30 ft apart</v>
      </c>
      <c r="N288" s="16"/>
      <c r="O288" s="25" t="str">
        <f>CONCAT(Level, " minutes
1 minute/level")</f>
        <v>13 minutes
1 minute/level</v>
      </c>
      <c r="P288" s="16"/>
      <c r="Q288" s="25" t="s">
        <v>45</v>
      </c>
      <c r="R288" s="16"/>
      <c r="S288" s="25" t="s">
        <v>371</v>
      </c>
      <c r="T288" s="16"/>
      <c r="U288" s="27" t="str">
        <f>CONCAT("As Cat's Grace, affects ",CONCAT(Level, " subjects, 1 subject/level."))</f>
        <v>As Cat's Grace, affects 13 subjects, 1 subject/level.</v>
      </c>
      <c r="V288" s="3"/>
      <c r="W288" s="3"/>
      <c r="X288" s="16"/>
    </row>
    <row r="289">
      <c r="B289" s="57">
        <v>6.0</v>
      </c>
      <c r="C289" s="58" t="s">
        <v>816</v>
      </c>
      <c r="D289" s="21"/>
      <c r="E289" s="32" t="s">
        <v>817</v>
      </c>
      <c r="F289" s="21"/>
      <c r="G289" s="32" t="s">
        <v>40</v>
      </c>
      <c r="H289" s="21"/>
      <c r="I289" s="31" t="s">
        <v>41</v>
      </c>
      <c r="J289" s="21"/>
      <c r="K289" s="31" t="str">
        <f>CONCAT("Long: ", CONCAT(400+(40*Level), " ft"))</f>
        <v>Long: 920 ft</v>
      </c>
      <c r="L289" s="21"/>
      <c r="M289" s="31" t="str">
        <f>CONCAT("Water in a volume of ",CONCAT(Level*10,CONCAT(" ft by ",CONCAT(Level*10, CONCAT(" ft by ",CONCAT(Level*2, " ft, 10 by 10 by 2 ft/level"))))))</f>
        <v>Water in a volume of 130 ft by 130 ft by 26 ft, 10 by 10 by 2 ft/level</v>
      </c>
      <c r="N289" s="21"/>
      <c r="O289" s="31" t="str">
        <f>CONCAT(Level*10, " minutes (D)
10 minutes/level")</f>
        <v>130 minutes (D)
10 minutes/level</v>
      </c>
      <c r="P289" s="21"/>
      <c r="Q289" s="31" t="s">
        <v>220</v>
      </c>
      <c r="R289" s="21"/>
      <c r="S289" s="31" t="s">
        <v>54</v>
      </c>
      <c r="T289" s="21"/>
      <c r="U289" s="33" t="s">
        <v>818</v>
      </c>
      <c r="V289" s="9"/>
      <c r="W289" s="9"/>
      <c r="X289" s="21"/>
    </row>
    <row r="290">
      <c r="B290" s="23">
        <v>6.0</v>
      </c>
      <c r="C290" s="59" t="s">
        <v>819</v>
      </c>
      <c r="D290" s="16"/>
      <c r="E290" s="25" t="s">
        <v>107</v>
      </c>
      <c r="F290" s="16"/>
      <c r="G290" s="26" t="s">
        <v>40</v>
      </c>
      <c r="H290" s="16"/>
      <c r="I290" s="25" t="s">
        <v>41</v>
      </c>
      <c r="J290" s="16"/>
      <c r="K290" s="25" t="str">
        <f>medium</f>
        <v>Medium: 230 ft</v>
      </c>
      <c r="L290" s="16"/>
      <c r="M290" s="26" t="s">
        <v>93</v>
      </c>
      <c r="N290" s="16"/>
      <c r="O290" s="26" t="s">
        <v>52</v>
      </c>
      <c r="P290" s="16"/>
      <c r="Q290" s="26" t="s">
        <v>820</v>
      </c>
      <c r="R290" s="16"/>
      <c r="S290" s="26" t="s">
        <v>75</v>
      </c>
      <c r="T290" s="16"/>
      <c r="U290" s="60" t="s">
        <v>821</v>
      </c>
      <c r="V290" s="3"/>
      <c r="W290" s="3"/>
      <c r="X290" s="16"/>
    </row>
    <row r="291">
      <c r="B291" s="57">
        <v>6.0</v>
      </c>
      <c r="C291" s="30" t="s">
        <v>822</v>
      </c>
      <c r="D291" s="21"/>
      <c r="E291" s="31" t="s">
        <v>107</v>
      </c>
      <c r="F291" s="21"/>
      <c r="G291" s="31" t="s">
        <v>40</v>
      </c>
      <c r="H291" s="21"/>
      <c r="I291" s="31" t="s">
        <v>41</v>
      </c>
      <c r="J291" s="21"/>
      <c r="K291" s="31" t="str">
        <f>CONCAT("Close: ", CONCAT(25+(5*FLOOR(Level/2,1)), " ft"))</f>
        <v>Close: 55 ft</v>
      </c>
      <c r="L291" s="21"/>
      <c r="M291" s="31" t="str">
        <f>CONCAT(Level," creatures, 1 creature/level, no 2 of which can be more than 30 ft apart")</f>
        <v>13 creatures, 1 creature/level, no 2 of which can be more than 30 ft apart</v>
      </c>
      <c r="N291" s="21"/>
      <c r="O291" s="31" t="str">
        <f>CONCAT(Level, " minutes
1 minute/level")</f>
        <v>13 minutes
1 minute/level</v>
      </c>
      <c r="P291" s="21"/>
      <c r="Q291" s="31" t="s">
        <v>45</v>
      </c>
      <c r="R291" s="21"/>
      <c r="S291" s="31" t="s">
        <v>371</v>
      </c>
      <c r="T291" s="21"/>
      <c r="U291" s="33" t="str">
        <f>CONCAT("As Eagle's Splendor, affects ",CONCAT(Level, " subjects, 1 subject/level."))</f>
        <v>As Eagle's Splendor, affects 13 subjects, 1 subject/level.</v>
      </c>
      <c r="V291" s="9"/>
      <c r="W291" s="9"/>
      <c r="X291" s="21"/>
    </row>
    <row r="292">
      <c r="B292" s="23">
        <v>6.0</v>
      </c>
      <c r="C292" s="59" t="s">
        <v>823</v>
      </c>
      <c r="D292" s="16"/>
      <c r="E292" s="25" t="s">
        <v>107</v>
      </c>
      <c r="F292" s="16"/>
      <c r="G292" s="25" t="s">
        <v>40</v>
      </c>
      <c r="H292" s="16"/>
      <c r="I292" s="25" t="s">
        <v>41</v>
      </c>
      <c r="J292" s="16"/>
      <c r="K292" s="25" t="str">
        <f>medium</f>
        <v>Medium: 230 ft</v>
      </c>
      <c r="L292" s="16"/>
      <c r="M292" s="26" t="s">
        <v>662</v>
      </c>
      <c r="N292" s="16"/>
      <c r="O292" s="26" t="s">
        <v>52</v>
      </c>
      <c r="P292" s="16"/>
      <c r="Q292" s="26" t="s">
        <v>85</v>
      </c>
      <c r="R292" s="16"/>
      <c r="S292" s="25" t="s">
        <v>371</v>
      </c>
      <c r="T292" s="16"/>
      <c r="U292" s="60" t="s">
        <v>824</v>
      </c>
      <c r="V292" s="3"/>
      <c r="W292" s="3"/>
      <c r="X292" s="16"/>
    </row>
    <row r="293">
      <c r="B293" s="57">
        <v>6.0</v>
      </c>
      <c r="C293" s="30" t="s">
        <v>825</v>
      </c>
      <c r="D293" s="21"/>
      <c r="E293" s="31" t="s">
        <v>107</v>
      </c>
      <c r="F293" s="21"/>
      <c r="G293" s="31" t="s">
        <v>40</v>
      </c>
      <c r="H293" s="21"/>
      <c r="I293" s="31" t="s">
        <v>41</v>
      </c>
      <c r="J293" s="21"/>
      <c r="K293" s="31" t="str">
        <f>CONCAT("Close: ", CONCAT(25+(5*FLOOR(Level/2,1)), " ft"))</f>
        <v>Close: 55 ft</v>
      </c>
      <c r="L293" s="21"/>
      <c r="M293" s="31" t="str">
        <f>CONCAT(Level," creatures, 1 creature/level, no 2 of which can be more than 30 ft apart")</f>
        <v>13 creatures, 1 creature/level, no 2 of which can be more than 30 ft apart</v>
      </c>
      <c r="N293" s="21"/>
      <c r="O293" s="31" t="str">
        <f>CONCAT(Level, " minutes
1 minute/level")</f>
        <v>13 minutes
1 minute/level</v>
      </c>
      <c r="P293" s="21"/>
      <c r="Q293" s="31" t="s">
        <v>45</v>
      </c>
      <c r="R293" s="21"/>
      <c r="S293" s="31" t="s">
        <v>371</v>
      </c>
      <c r="T293" s="21"/>
      <c r="U293" s="33" t="str">
        <f>CONCAT("As Fox's Cunning, affects ",CONCAT(Level, " subjects, 1 subject/level."))</f>
        <v>As Fox's Cunning, affects 13 subjects, 1 subject/level.</v>
      </c>
      <c r="V293" s="9"/>
      <c r="W293" s="9"/>
      <c r="X293" s="21"/>
    </row>
    <row r="294">
      <c r="B294" s="23">
        <v>6.0</v>
      </c>
      <c r="C294" s="59" t="s">
        <v>826</v>
      </c>
      <c r="D294" s="16"/>
      <c r="E294" s="25" t="s">
        <v>107</v>
      </c>
      <c r="F294" s="16"/>
      <c r="G294" s="26" t="s">
        <v>50</v>
      </c>
      <c r="H294" s="16"/>
      <c r="I294" s="25" t="s">
        <v>41</v>
      </c>
      <c r="J294" s="16"/>
      <c r="K294" s="26" t="s">
        <v>66</v>
      </c>
      <c r="L294" s="16"/>
      <c r="M294" s="26" t="s">
        <v>67</v>
      </c>
      <c r="N294" s="16"/>
      <c r="O294" s="26" t="s">
        <v>52</v>
      </c>
      <c r="P294" s="16"/>
      <c r="Q294" s="26" t="s">
        <v>68</v>
      </c>
      <c r="R294" s="16"/>
      <c r="S294" s="26" t="s">
        <v>68</v>
      </c>
      <c r="T294" s="16"/>
      <c r="U294" s="60" t="s">
        <v>827</v>
      </c>
      <c r="V294" s="3"/>
      <c r="W294" s="3"/>
      <c r="X294" s="16"/>
    </row>
    <row r="295">
      <c r="B295" s="57">
        <v>6.0</v>
      </c>
      <c r="C295" s="30" t="s">
        <v>828</v>
      </c>
      <c r="D295" s="21"/>
      <c r="E295" s="32" t="s">
        <v>620</v>
      </c>
      <c r="F295" s="21"/>
      <c r="G295" s="31" t="s">
        <v>40</v>
      </c>
      <c r="H295" s="21"/>
      <c r="I295" s="31" t="s">
        <v>132</v>
      </c>
      <c r="J295" s="21"/>
      <c r="K295" s="31" t="str">
        <f>CONCAT("Long: ", CONCAT(400+(40*Level), " ft"))</f>
        <v>Long: 920 ft</v>
      </c>
      <c r="L295" s="21"/>
      <c r="M295" s="31" t="s">
        <v>829</v>
      </c>
      <c r="N295" s="21"/>
      <c r="O295" s="31" t="s">
        <v>52</v>
      </c>
      <c r="P295" s="21"/>
      <c r="Q295" s="31" t="s">
        <v>53</v>
      </c>
      <c r="R295" s="21"/>
      <c r="S295" s="31" t="s">
        <v>54</v>
      </c>
      <c r="T295" s="21"/>
      <c r="U295" s="33" t="s">
        <v>830</v>
      </c>
      <c r="V295" s="9"/>
      <c r="W295" s="9"/>
      <c r="X295" s="21"/>
    </row>
    <row r="296">
      <c r="B296" s="23">
        <v>6.0</v>
      </c>
      <c r="C296" s="24" t="s">
        <v>831</v>
      </c>
      <c r="D296" s="16"/>
      <c r="E296" s="25" t="s">
        <v>107</v>
      </c>
      <c r="F296" s="16"/>
      <c r="G296" s="26" t="s">
        <v>40</v>
      </c>
      <c r="H296" s="16"/>
      <c r="I296" s="25" t="s">
        <v>41</v>
      </c>
      <c r="J296" s="16"/>
      <c r="K296" s="25" t="str">
        <f>CONCAT("Close: ", CONCAT(25+(5*FLOOR(Level/2,1)), " ft"))</f>
        <v>Close: 55 ft</v>
      </c>
      <c r="L296" s="16"/>
      <c r="M296" s="25" t="str">
        <f>CONCAT(Level," creatures, 1 creature/level, no 2 of which can be more than 30 ft apart")</f>
        <v>13 creatures, 1 creature/level, no 2 of which can be more than 30 ft apart</v>
      </c>
      <c r="N296" s="16"/>
      <c r="O296" s="25" t="str">
        <f>CONCAT(Level, " minutes
1 minute/level")</f>
        <v>13 minutes
1 minute/level</v>
      </c>
      <c r="P296" s="16"/>
      <c r="Q296" s="25" t="s">
        <v>45</v>
      </c>
      <c r="R296" s="16"/>
      <c r="S296" s="25" t="s">
        <v>371</v>
      </c>
      <c r="T296" s="16"/>
      <c r="U296" s="27" t="str">
        <f>CONCAT("As Owl's Wisdom, affects ",CONCAT(Level, " subjects, 1 subject/level."))</f>
        <v>As Owl's Wisdom, affects 13 subjects, 1 subject/level.</v>
      </c>
      <c r="V296" s="3"/>
      <c r="W296" s="3"/>
      <c r="X296" s="16"/>
    </row>
    <row r="297">
      <c r="B297" s="57">
        <v>6.0</v>
      </c>
      <c r="C297" s="58" t="s">
        <v>832</v>
      </c>
      <c r="D297" s="21"/>
      <c r="E297" s="31" t="s">
        <v>107</v>
      </c>
      <c r="F297" s="21"/>
      <c r="G297" s="31" t="s">
        <v>40</v>
      </c>
      <c r="H297" s="21"/>
      <c r="I297" s="31" t="s">
        <v>41</v>
      </c>
      <c r="J297" s="21"/>
      <c r="K297" s="31" t="str">
        <f>medium</f>
        <v>Medium: 230 ft</v>
      </c>
      <c r="L297" s="21"/>
      <c r="M297" s="32" t="s">
        <v>833</v>
      </c>
      <c r="N297" s="21"/>
      <c r="O297" s="32" t="s">
        <v>52</v>
      </c>
      <c r="P297" s="21"/>
      <c r="Q297" s="32" t="s">
        <v>834</v>
      </c>
      <c r="R297" s="21"/>
      <c r="S297" s="32" t="s">
        <v>75</v>
      </c>
      <c r="T297" s="21"/>
      <c r="U297" s="53" t="s">
        <v>835</v>
      </c>
      <c r="V297" s="9"/>
      <c r="W297" s="9"/>
      <c r="X297" s="21"/>
    </row>
    <row r="298">
      <c r="B298" s="23">
        <v>6.0</v>
      </c>
      <c r="C298" s="59" t="s">
        <v>836</v>
      </c>
      <c r="D298" s="16"/>
      <c r="E298" s="25" t="s">
        <v>107</v>
      </c>
      <c r="F298" s="16"/>
      <c r="G298" s="26" t="s">
        <v>837</v>
      </c>
      <c r="H298" s="16"/>
      <c r="I298" s="25" t="s">
        <v>41</v>
      </c>
      <c r="J298" s="16"/>
      <c r="K298" s="26" t="s">
        <v>66</v>
      </c>
      <c r="L298" s="16"/>
      <c r="M298" s="26" t="s">
        <v>67</v>
      </c>
      <c r="N298" s="16"/>
      <c r="O298" s="26" t="str">
        <f>Level&amp;" rounds
1 round/level"</f>
        <v>13 rounds
1 round/level</v>
      </c>
      <c r="P298" s="16"/>
      <c r="Q298" s="26" t="s">
        <v>68</v>
      </c>
      <c r="R298" s="16"/>
      <c r="S298" s="26" t="s">
        <v>68</v>
      </c>
      <c r="T298" s="16"/>
      <c r="U298" s="60" t="s">
        <v>838</v>
      </c>
      <c r="V298" s="3"/>
      <c r="W298" s="3"/>
      <c r="X298" s="16"/>
    </row>
    <row r="299">
      <c r="B299" s="57">
        <v>7.0</v>
      </c>
      <c r="C299" s="58" t="s">
        <v>839</v>
      </c>
      <c r="D299" s="21"/>
      <c r="E299" s="51" t="s">
        <v>39</v>
      </c>
      <c r="F299" s="21"/>
      <c r="G299" s="51" t="s">
        <v>65</v>
      </c>
      <c r="H299" s="21"/>
      <c r="I299" s="52" t="s">
        <v>41</v>
      </c>
      <c r="J299" s="21"/>
      <c r="K299" s="52" t="str">
        <f>close</f>
        <v>Close: 55 ft</v>
      </c>
      <c r="L299" s="21"/>
      <c r="M299" s="32" t="s">
        <v>840</v>
      </c>
      <c r="N299" s="21"/>
      <c r="O299" s="51" t="s">
        <v>52</v>
      </c>
      <c r="P299" s="21"/>
      <c r="Q299" s="52" t="s">
        <v>74</v>
      </c>
      <c r="R299" s="21"/>
      <c r="S299" s="52" t="s">
        <v>75</v>
      </c>
      <c r="T299" s="21"/>
      <c r="U299" s="33" t="str">
        <f>"Banishes "&amp;Level*2&amp;" HD of extraplanar creatures, 2 HD/level"</f>
        <v>Banishes 26 HD of extraplanar creatures, 2 HD/level</v>
      </c>
      <c r="V299" s="9"/>
      <c r="W299" s="9"/>
      <c r="X299" s="21"/>
    </row>
    <row r="300">
      <c r="B300" s="23">
        <v>7.0</v>
      </c>
      <c r="C300" s="59" t="s">
        <v>841</v>
      </c>
      <c r="D300" s="16"/>
      <c r="E300" s="48" t="s">
        <v>39</v>
      </c>
      <c r="F300" s="16"/>
      <c r="G300" s="48" t="s">
        <v>40</v>
      </c>
      <c r="H300" s="16"/>
      <c r="I300" s="47" t="s">
        <v>41</v>
      </c>
      <c r="J300" s="16"/>
      <c r="K300" s="48" t="s">
        <v>42</v>
      </c>
      <c r="L300" s="16"/>
      <c r="M300" s="26" t="str">
        <f>"One willing creature or object (up to "&amp;Level&amp;" two ft cubes, 1 two ft cube/level) touched "</f>
        <v>One willing creature or object (up to 13 two ft cubes, 1 two ft cube/level) touched </v>
      </c>
      <c r="N300" s="16"/>
      <c r="O300" s="48" t="str">
        <f>Level&amp;" days (D)
1 day/level"</f>
        <v>13 days (D)
1 day/level</v>
      </c>
      <c r="P300" s="16"/>
      <c r="Q300" s="48" t="s">
        <v>842</v>
      </c>
      <c r="R300" s="16"/>
      <c r="S300" s="48" t="s">
        <v>843</v>
      </c>
      <c r="T300" s="16"/>
      <c r="U300" s="60" t="s">
        <v>844</v>
      </c>
      <c r="V300" s="3"/>
      <c r="W300" s="3"/>
      <c r="X300" s="16"/>
    </row>
    <row r="301">
      <c r="B301" s="57">
        <v>7.0</v>
      </c>
      <c r="C301" s="58" t="s">
        <v>845</v>
      </c>
      <c r="D301" s="21"/>
      <c r="E301" s="51" t="s">
        <v>39</v>
      </c>
      <c r="F301" s="21"/>
      <c r="G301" s="51" t="s">
        <v>40</v>
      </c>
      <c r="H301" s="21"/>
      <c r="I301" s="52" t="s">
        <v>41</v>
      </c>
      <c r="J301" s="21"/>
      <c r="K301" s="51" t="s">
        <v>66</v>
      </c>
      <c r="L301" s="21"/>
      <c r="M301" s="32" t="s">
        <v>67</v>
      </c>
      <c r="N301" s="21"/>
      <c r="O301" s="32" t="str">
        <f>"Until expended or "&amp;Level*10&amp;" minutes
10 minutes/level"</f>
        <v>Until expended or 130 minutes
10 minutes/level</v>
      </c>
      <c r="P301" s="21"/>
      <c r="Q301" s="51" t="s">
        <v>68</v>
      </c>
      <c r="R301" s="21"/>
      <c r="S301" s="51" t="s">
        <v>68</v>
      </c>
      <c r="T301" s="21"/>
      <c r="U301" s="53" t="s">
        <v>846</v>
      </c>
      <c r="V301" s="9"/>
      <c r="W301" s="9"/>
      <c r="X301" s="21"/>
    </row>
    <row r="302">
      <c r="B302" s="23">
        <v>7.0</v>
      </c>
      <c r="C302" s="59" t="s">
        <v>847</v>
      </c>
      <c r="D302" s="16"/>
      <c r="E302" s="48" t="s">
        <v>163</v>
      </c>
      <c r="F302" s="16"/>
      <c r="G302" s="48" t="s">
        <v>670</v>
      </c>
      <c r="H302" s="16"/>
      <c r="I302" s="47" t="s">
        <v>41</v>
      </c>
      <c r="J302" s="16"/>
      <c r="K302" s="48" t="s">
        <v>132</v>
      </c>
      <c r="L302" s="16"/>
      <c r="M302" s="26" t="s">
        <v>848</v>
      </c>
      <c r="N302" s="16"/>
      <c r="O302" s="26" t="s">
        <v>337</v>
      </c>
      <c r="P302" s="16"/>
      <c r="Q302" s="48" t="s">
        <v>53</v>
      </c>
      <c r="R302" s="16"/>
      <c r="S302" s="48" t="s">
        <v>54</v>
      </c>
      <c r="T302" s="16"/>
      <c r="U302" s="60" t="s">
        <v>849</v>
      </c>
      <c r="V302" s="3"/>
      <c r="W302" s="3"/>
      <c r="X302" s="16"/>
    </row>
    <row r="303">
      <c r="B303" s="57">
        <v>7.0</v>
      </c>
      <c r="C303" s="58" t="s">
        <v>850</v>
      </c>
      <c r="D303" s="21"/>
      <c r="E303" s="51" t="s">
        <v>156</v>
      </c>
      <c r="F303" s="21"/>
      <c r="G303" s="51" t="s">
        <v>851</v>
      </c>
      <c r="H303" s="21"/>
      <c r="I303" s="52" t="s">
        <v>41</v>
      </c>
      <c r="J303" s="21"/>
      <c r="K303" s="51" t="str">
        <f>close</f>
        <v>Close: 55 ft</v>
      </c>
      <c r="L303" s="21"/>
      <c r="M303" s="32" t="str">
        <f>"Extradimensional mansion, up to "&amp;Level*3&amp;" ten ft cubes, 3 ten ft cubes/level"</f>
        <v>Extradimensional mansion, up to 39 ten ft cubes, 3 ten ft cubes/level</v>
      </c>
      <c r="N303" s="21"/>
      <c r="O303" s="32" t="str">
        <f>Level*2&amp;" hours (D)
2 hours/level"</f>
        <v>26 hours (D)
2 hours/level</v>
      </c>
      <c r="P303" s="21"/>
      <c r="Q303" s="51" t="s">
        <v>53</v>
      </c>
      <c r="R303" s="21"/>
      <c r="S303" s="51" t="s">
        <v>54</v>
      </c>
      <c r="T303" s="21"/>
      <c r="U303" s="53" t="s">
        <v>852</v>
      </c>
      <c r="V303" s="9"/>
      <c r="W303" s="9"/>
      <c r="X303" s="21"/>
    </row>
    <row r="304">
      <c r="B304" s="23">
        <v>7.0</v>
      </c>
      <c r="C304" s="59" t="s">
        <v>853</v>
      </c>
      <c r="D304" s="16"/>
      <c r="E304" s="48" t="s">
        <v>156</v>
      </c>
      <c r="F304" s="16"/>
      <c r="G304" s="48" t="s">
        <v>83</v>
      </c>
      <c r="H304" s="16"/>
      <c r="I304" s="47" t="s">
        <v>41</v>
      </c>
      <c r="J304" s="16"/>
      <c r="K304" s="48" t="s">
        <v>127</v>
      </c>
      <c r="L304" s="16"/>
      <c r="M304" s="26" t="str">
        <f>"Ethereal 5 ft by 8 ft opening, "&amp;10+FLOOR(Level/3,1)*5&amp;" ft deep, 10 ft + 5 ft deep per three levels"</f>
        <v>Ethereal 5 ft by 8 ft opening, 30 ft deep, 10 ft + 5 ft deep per three levels</v>
      </c>
      <c r="N304" s="16"/>
      <c r="O304" s="26" t="str">
        <f>MAX(FLOOR(Level/2,1),1)&amp;" usages, 1 usage per 2 levels"</f>
        <v>6 usages, 1 usage per 2 levels</v>
      </c>
      <c r="P304" s="16"/>
      <c r="Q304" s="48" t="s">
        <v>53</v>
      </c>
      <c r="R304" s="16"/>
      <c r="S304" s="48" t="s">
        <v>54</v>
      </c>
      <c r="T304" s="16"/>
      <c r="U304" s="60" t="s">
        <v>854</v>
      </c>
      <c r="V304" s="3"/>
      <c r="W304" s="3"/>
      <c r="X304" s="16"/>
    </row>
    <row r="305">
      <c r="B305" s="57">
        <v>7.0</v>
      </c>
      <c r="C305" s="58" t="s">
        <v>855</v>
      </c>
      <c r="D305" s="21"/>
      <c r="E305" s="51" t="s">
        <v>524</v>
      </c>
      <c r="F305" s="21"/>
      <c r="G305" s="51" t="s">
        <v>65</v>
      </c>
      <c r="H305" s="21"/>
      <c r="I305" s="52" t="s">
        <v>41</v>
      </c>
      <c r="J305" s="21"/>
      <c r="K305" s="51" t="s">
        <v>42</v>
      </c>
      <c r="L305" s="21"/>
      <c r="M305" s="32" t="s">
        <v>856</v>
      </c>
      <c r="N305" s="21"/>
      <c r="O305" s="32" t="s">
        <v>52</v>
      </c>
      <c r="P305" s="21"/>
      <c r="Q305" s="51" t="s">
        <v>74</v>
      </c>
      <c r="R305" s="21"/>
      <c r="S305" s="51" t="s">
        <v>75</v>
      </c>
      <c r="T305" s="21"/>
      <c r="U305" s="53" t="s">
        <v>857</v>
      </c>
      <c r="V305" s="9"/>
      <c r="W305" s="9"/>
      <c r="X305" s="21"/>
    </row>
    <row r="306">
      <c r="B306" s="23">
        <v>7.0</v>
      </c>
      <c r="C306" s="59" t="s">
        <v>858</v>
      </c>
      <c r="D306" s="16"/>
      <c r="E306" s="26" t="s">
        <v>170</v>
      </c>
      <c r="F306" s="16"/>
      <c r="G306" s="25" t="s">
        <v>65</v>
      </c>
      <c r="H306" s="16"/>
      <c r="I306" s="25" t="s">
        <v>73</v>
      </c>
      <c r="J306" s="16"/>
      <c r="K306" s="25" t="str">
        <f>close</f>
        <v>Close: 55 ft</v>
      </c>
      <c r="L306" s="16"/>
      <c r="M306" s="25" t="s">
        <v>171</v>
      </c>
      <c r="N306" s="16"/>
      <c r="O306" s="25" t="str">
        <f>Level&amp;" rounds (D)
1 round/level"</f>
        <v>13 rounds (D)
1 round/level</v>
      </c>
      <c r="P306" s="16"/>
      <c r="Q306" s="25" t="s">
        <v>53</v>
      </c>
      <c r="R306" s="16"/>
      <c r="S306" s="25" t="s">
        <v>54</v>
      </c>
      <c r="T306" s="16"/>
      <c r="U306" s="27" t="s">
        <v>172</v>
      </c>
      <c r="V306" s="3"/>
      <c r="W306" s="3"/>
      <c r="X306" s="16"/>
    </row>
    <row r="307">
      <c r="B307" s="57">
        <v>7.0</v>
      </c>
      <c r="C307" s="58" t="s">
        <v>859</v>
      </c>
      <c r="D307" s="21"/>
      <c r="E307" s="32" t="s">
        <v>524</v>
      </c>
      <c r="F307" s="21"/>
      <c r="G307" s="31" t="s">
        <v>83</v>
      </c>
      <c r="H307" s="21"/>
      <c r="I307" s="31" t="s">
        <v>41</v>
      </c>
      <c r="J307" s="21"/>
      <c r="K307" s="31" t="s">
        <v>647</v>
      </c>
      <c r="L307" s="21"/>
      <c r="M307" s="31" t="s">
        <v>525</v>
      </c>
      <c r="N307" s="21"/>
      <c r="O307" s="31" t="s">
        <v>52</v>
      </c>
      <c r="P307" s="21"/>
      <c r="Q307" s="31" t="s">
        <v>526</v>
      </c>
      <c r="R307" s="21"/>
      <c r="S307" s="31" t="s">
        <v>527</v>
      </c>
      <c r="T307" s="21"/>
      <c r="U307" s="53" t="s">
        <v>860</v>
      </c>
      <c r="V307" s="9"/>
      <c r="W307" s="9"/>
      <c r="X307" s="21"/>
    </row>
    <row r="308">
      <c r="B308" s="23">
        <v>7.0</v>
      </c>
      <c r="C308" s="59" t="s">
        <v>861</v>
      </c>
      <c r="D308" s="16"/>
      <c r="E308" s="26" t="s">
        <v>524</v>
      </c>
      <c r="F308" s="16"/>
      <c r="G308" s="25" t="s">
        <v>83</v>
      </c>
      <c r="H308" s="16"/>
      <c r="I308" s="25" t="s">
        <v>41</v>
      </c>
      <c r="J308" s="16"/>
      <c r="K308" s="26" t="s">
        <v>42</v>
      </c>
      <c r="L308" s="16"/>
      <c r="M308" s="25" t="str">
        <f>"One touched object of up to "&amp;Level*50&amp;" lbs, 50 lbs/level, and "&amp;Level*3&amp;" cu ft, 3 cu ft/level"</f>
        <v>One touched object of up to 650 lbs, 50 lbs/level, and 39 cu ft, 3 cu ft/level</v>
      </c>
      <c r="N308" s="16"/>
      <c r="O308" s="25" t="s">
        <v>52</v>
      </c>
      <c r="P308" s="16"/>
      <c r="Q308" s="26" t="s">
        <v>122</v>
      </c>
      <c r="R308" s="16"/>
      <c r="S308" s="26" t="s">
        <v>123</v>
      </c>
      <c r="T308" s="16"/>
      <c r="U308" s="60" t="s">
        <v>862</v>
      </c>
      <c r="V308" s="3"/>
      <c r="W308" s="3"/>
      <c r="X308" s="16"/>
    </row>
    <row r="309">
      <c r="B309" s="57">
        <v>7.0</v>
      </c>
      <c r="C309" s="58" t="s">
        <v>863</v>
      </c>
      <c r="D309" s="21"/>
      <c r="E309" s="31" t="s">
        <v>57</v>
      </c>
      <c r="F309" s="21"/>
      <c r="G309" s="31" t="s">
        <v>40</v>
      </c>
      <c r="H309" s="21"/>
      <c r="I309" s="32" t="s">
        <v>412</v>
      </c>
      <c r="J309" s="21"/>
      <c r="K309" s="32" t="s">
        <v>540</v>
      </c>
      <c r="L309" s="21"/>
      <c r="M309" s="32" t="s">
        <v>430</v>
      </c>
      <c r="N309" s="21"/>
      <c r="O309" s="31" t="str">
        <f>Level&amp;" minutes (D)
1 minute/level"</f>
        <v>13 minutes (D)
1 minute/level</v>
      </c>
      <c r="P309" s="21"/>
      <c r="Q309" s="31" t="s">
        <v>53</v>
      </c>
      <c r="R309" s="21"/>
      <c r="S309" s="31" t="s">
        <v>54</v>
      </c>
      <c r="T309" s="21"/>
      <c r="U309" s="53" t="s">
        <v>864</v>
      </c>
      <c r="V309" s="9"/>
      <c r="W309" s="9"/>
      <c r="X309" s="21"/>
    </row>
    <row r="310">
      <c r="B310" s="23">
        <v>7.0</v>
      </c>
      <c r="C310" s="24" t="s">
        <v>865</v>
      </c>
      <c r="D310" s="16"/>
      <c r="E310" s="48" t="s">
        <v>429</v>
      </c>
      <c r="F310" s="16"/>
      <c r="G310" s="47" t="s">
        <v>50</v>
      </c>
      <c r="H310" s="16"/>
      <c r="I310" s="47" t="s">
        <v>41</v>
      </c>
      <c r="J310" s="16"/>
      <c r="K310" s="47" t="s">
        <v>132</v>
      </c>
      <c r="L310" s="16"/>
      <c r="M310" s="47" t="s">
        <v>430</v>
      </c>
      <c r="N310" s="16"/>
      <c r="O310" s="47" t="str">
        <f>CONCAT(Level, " hours
1 hour/level")</f>
        <v>13 hours
1 hour/level</v>
      </c>
      <c r="P310" s="16"/>
      <c r="Q310" s="47" t="s">
        <v>74</v>
      </c>
      <c r="R310" s="16"/>
      <c r="S310" s="47" t="s">
        <v>75</v>
      </c>
      <c r="T310" s="16"/>
      <c r="U310" s="27" t="s">
        <v>866</v>
      </c>
      <c r="V310" s="3"/>
      <c r="W310" s="3"/>
      <c r="X310" s="16"/>
    </row>
    <row r="311">
      <c r="B311" s="57">
        <v>7.0</v>
      </c>
      <c r="C311" s="58" t="s">
        <v>867</v>
      </c>
      <c r="D311" s="21"/>
      <c r="E311" s="52" t="s">
        <v>57</v>
      </c>
      <c r="F311" s="21"/>
      <c r="G311" s="51" t="s">
        <v>868</v>
      </c>
      <c r="H311" s="21"/>
      <c r="I311" s="31" t="s">
        <v>132</v>
      </c>
      <c r="J311" s="21"/>
      <c r="K311" s="31" t="s">
        <v>66</v>
      </c>
      <c r="L311" s="21"/>
      <c r="M311" s="31" t="s">
        <v>67</v>
      </c>
      <c r="N311" s="21"/>
      <c r="O311" s="31" t="s">
        <v>132</v>
      </c>
      <c r="P311" s="21"/>
      <c r="Q311" s="31" t="s">
        <v>68</v>
      </c>
      <c r="R311" s="21"/>
      <c r="S311" s="31" t="s">
        <v>68</v>
      </c>
      <c r="T311" s="21"/>
      <c r="U311" s="53" t="s">
        <v>869</v>
      </c>
      <c r="V311" s="9"/>
      <c r="W311" s="9"/>
      <c r="X311" s="21"/>
    </row>
    <row r="312">
      <c r="B312" s="23">
        <v>7.0</v>
      </c>
      <c r="C312" s="59" t="s">
        <v>870</v>
      </c>
      <c r="D312" s="16"/>
      <c r="E312" s="26" t="s">
        <v>71</v>
      </c>
      <c r="F312" s="16"/>
      <c r="G312" s="25" t="s">
        <v>65</v>
      </c>
      <c r="H312" s="16"/>
      <c r="I312" s="25" t="s">
        <v>41</v>
      </c>
      <c r="J312" s="16"/>
      <c r="K312" s="25" t="str">
        <f>medium</f>
        <v>Medium: 230 ft</v>
      </c>
      <c r="L312" s="16"/>
      <c r="M312" s="26" t="s">
        <v>871</v>
      </c>
      <c r="N312" s="16"/>
      <c r="O312" s="25" t="str">
        <f>Level&amp;" rounds (D)
1 round/level, see text"</f>
        <v>13 rounds (D)
1 round/level, see text</v>
      </c>
      <c r="P312" s="16"/>
      <c r="Q312" s="25" t="s">
        <v>288</v>
      </c>
      <c r="R312" s="16"/>
      <c r="S312" s="25" t="s">
        <v>75</v>
      </c>
      <c r="T312" s="16"/>
      <c r="U312" s="60" t="s">
        <v>872</v>
      </c>
      <c r="V312" s="3"/>
      <c r="W312" s="3"/>
      <c r="X312" s="16"/>
    </row>
    <row r="313">
      <c r="B313" s="57">
        <v>7.0</v>
      </c>
      <c r="C313" s="58" t="s">
        <v>873</v>
      </c>
      <c r="D313" s="21"/>
      <c r="E313" s="32" t="s">
        <v>71</v>
      </c>
      <c r="F313" s="21"/>
      <c r="G313" s="32" t="s">
        <v>50</v>
      </c>
      <c r="H313" s="21"/>
      <c r="I313" s="31" t="s">
        <v>41</v>
      </c>
      <c r="J313" s="21"/>
      <c r="K313" s="31" t="str">
        <f>medium</f>
        <v>Medium: 230 ft</v>
      </c>
      <c r="L313" s="21"/>
      <c r="M313" s="32" t="s">
        <v>350</v>
      </c>
      <c r="N313" s="21"/>
      <c r="O313" s="32" t="s">
        <v>52</v>
      </c>
      <c r="P313" s="21"/>
      <c r="Q313" s="32" t="s">
        <v>74</v>
      </c>
      <c r="R313" s="21"/>
      <c r="S313" s="31" t="s">
        <v>75</v>
      </c>
      <c r="T313" s="21"/>
      <c r="U313" s="53" t="s">
        <v>874</v>
      </c>
      <c r="V313" s="9"/>
      <c r="W313" s="9"/>
      <c r="X313" s="21"/>
    </row>
    <row r="314">
      <c r="B314" s="23">
        <v>7.0</v>
      </c>
      <c r="C314" s="59" t="s">
        <v>875</v>
      </c>
      <c r="D314" s="16"/>
      <c r="E314" s="26" t="s">
        <v>71</v>
      </c>
      <c r="F314" s="16"/>
      <c r="G314" s="26" t="s">
        <v>83</v>
      </c>
      <c r="H314" s="16"/>
      <c r="I314" s="25" t="s">
        <v>41</v>
      </c>
      <c r="J314" s="16"/>
      <c r="K314" s="25" t="str">
        <f>close</f>
        <v>Close: 55 ft</v>
      </c>
      <c r="L314" s="16"/>
      <c r="M314" s="26" t="s">
        <v>876</v>
      </c>
      <c r="N314" s="16"/>
      <c r="O314" s="26" t="s">
        <v>132</v>
      </c>
      <c r="P314" s="16"/>
      <c r="Q314" s="26" t="s">
        <v>53</v>
      </c>
      <c r="R314" s="16"/>
      <c r="S314" s="25" t="s">
        <v>75</v>
      </c>
      <c r="T314" s="16"/>
      <c r="U314" s="60" t="s">
        <v>877</v>
      </c>
      <c r="V314" s="3"/>
      <c r="W314" s="3"/>
      <c r="X314" s="16"/>
    </row>
    <row r="315">
      <c r="B315" s="57">
        <v>7.0</v>
      </c>
      <c r="C315" s="58" t="s">
        <v>878</v>
      </c>
      <c r="D315" s="21"/>
      <c r="E315" s="32" t="s">
        <v>71</v>
      </c>
      <c r="F315" s="21"/>
      <c r="G315" s="32" t="s">
        <v>772</v>
      </c>
      <c r="H315" s="21"/>
      <c r="I315" s="32" t="s">
        <v>412</v>
      </c>
      <c r="J315" s="21"/>
      <c r="K315" s="32" t="s">
        <v>671</v>
      </c>
      <c r="L315" s="21"/>
      <c r="M315" s="32" t="s">
        <v>672</v>
      </c>
      <c r="N315" s="21"/>
      <c r="O315" s="32" t="s">
        <v>132</v>
      </c>
      <c r="P315" s="21"/>
      <c r="Q315" s="31" t="s">
        <v>74</v>
      </c>
      <c r="R315" s="21"/>
      <c r="S315" s="32" t="s">
        <v>75</v>
      </c>
      <c r="T315" s="21"/>
      <c r="U315" s="53" t="s">
        <v>879</v>
      </c>
      <c r="V315" s="9"/>
      <c r="W315" s="9"/>
      <c r="X315" s="21"/>
    </row>
    <row r="316">
      <c r="B316" s="23">
        <v>7.0</v>
      </c>
      <c r="C316" s="59" t="s">
        <v>880</v>
      </c>
      <c r="D316" s="16"/>
      <c r="E316" s="26" t="s">
        <v>202</v>
      </c>
      <c r="F316" s="16"/>
      <c r="G316" s="26" t="s">
        <v>40</v>
      </c>
      <c r="H316" s="16"/>
      <c r="I316" s="26" t="s">
        <v>41</v>
      </c>
      <c r="J316" s="16"/>
      <c r="K316" s="26" t="str">
        <f>long</f>
        <v>Long: 920 ft</v>
      </c>
      <c r="L316" s="16"/>
      <c r="M316" s="26" t="s">
        <v>447</v>
      </c>
      <c r="N316" s="16"/>
      <c r="O316" s="26" t="s">
        <v>881</v>
      </c>
      <c r="P316" s="16"/>
      <c r="Q316" s="26" t="s">
        <v>205</v>
      </c>
      <c r="R316" s="16"/>
      <c r="S316" s="26" t="s">
        <v>75</v>
      </c>
      <c r="T316" s="16"/>
      <c r="U316" s="60" t="str">
        <f>MIN(Level, 20)&amp;"d6 fire damage, 1d6/level, you can postpone blast for 5 rounds"</f>
        <v>13d6 fire damage, 1d6/level, you can postpone blast for 5 rounds</v>
      </c>
      <c r="V316" s="3"/>
      <c r="W316" s="3"/>
      <c r="X316" s="16"/>
    </row>
    <row r="317">
      <c r="B317" s="57">
        <v>7.0</v>
      </c>
      <c r="C317" s="58" t="s">
        <v>882</v>
      </c>
      <c r="D317" s="21"/>
      <c r="E317" s="32" t="s">
        <v>207</v>
      </c>
      <c r="F317" s="21"/>
      <c r="G317" s="32" t="s">
        <v>883</v>
      </c>
      <c r="H317" s="21"/>
      <c r="I317" s="32" t="s">
        <v>41</v>
      </c>
      <c r="J317" s="21"/>
      <c r="K317" s="32" t="str">
        <f>close</f>
        <v>Close: 55 ft</v>
      </c>
      <c r="L317" s="21"/>
      <c r="M317" s="32" t="s">
        <v>884</v>
      </c>
      <c r="N317" s="21"/>
      <c r="O317" s="32" t="str">
        <f>Level*2&amp;" hours (D)
2 hours/level"</f>
        <v>26 hours (D)
2 hours/level</v>
      </c>
      <c r="P317" s="21"/>
      <c r="Q317" s="32" t="s">
        <v>53</v>
      </c>
      <c r="R317" s="21"/>
      <c r="S317" s="32" t="s">
        <v>54</v>
      </c>
      <c r="T317" s="21"/>
      <c r="U317" s="53" t="s">
        <v>885</v>
      </c>
      <c r="V317" s="9"/>
      <c r="W317" s="9"/>
      <c r="X317" s="21"/>
    </row>
    <row r="318">
      <c r="B318" s="23">
        <v>7.0</v>
      </c>
      <c r="C318" s="59" t="s">
        <v>886</v>
      </c>
      <c r="D318" s="16"/>
      <c r="E318" s="26" t="s">
        <v>207</v>
      </c>
      <c r="F318" s="16"/>
      <c r="G318" s="26" t="s">
        <v>65</v>
      </c>
      <c r="H318" s="16"/>
      <c r="I318" s="26" t="s">
        <v>41</v>
      </c>
      <c r="J318" s="16"/>
      <c r="K318" s="26" t="str">
        <f>medium</f>
        <v>Medium: 230 ft</v>
      </c>
      <c r="L318" s="16"/>
      <c r="M318" s="26" t="s">
        <v>676</v>
      </c>
      <c r="N318" s="16"/>
      <c r="O318" s="26" t="str">
        <f>Level&amp;" rounds (D)
1 round/level"</f>
        <v>13 rounds (D)
1 round/level</v>
      </c>
      <c r="P318" s="16"/>
      <c r="Q318" s="26" t="s">
        <v>53</v>
      </c>
      <c r="R318" s="16"/>
      <c r="S318" s="26" t="s">
        <v>75</v>
      </c>
      <c r="T318" s="16"/>
      <c r="U318" s="60" t="s">
        <v>887</v>
      </c>
      <c r="V318" s="3"/>
      <c r="W318" s="3"/>
      <c r="X318" s="16"/>
    </row>
    <row r="319">
      <c r="B319" s="57">
        <v>7.0</v>
      </c>
      <c r="C319" s="58" t="s">
        <v>888</v>
      </c>
      <c r="D319" s="21"/>
      <c r="E319" s="32" t="s">
        <v>207</v>
      </c>
      <c r="F319" s="21"/>
      <c r="G319" s="32" t="s">
        <v>889</v>
      </c>
      <c r="H319" s="21"/>
      <c r="I319" s="32" t="s">
        <v>41</v>
      </c>
      <c r="J319" s="21"/>
      <c r="K319" s="32" t="str">
        <f>close</f>
        <v>Close: 55 ft</v>
      </c>
      <c r="L319" s="21"/>
      <c r="M319" s="32" t="s">
        <v>890</v>
      </c>
      <c r="N319" s="21"/>
      <c r="O319" s="32" t="str">
        <f>Level&amp;" rounds (D)
1 round/level"</f>
        <v>13 rounds (D)
1 round/level</v>
      </c>
      <c r="P319" s="21"/>
      <c r="Q319" s="32" t="s">
        <v>53</v>
      </c>
      <c r="R319" s="21"/>
      <c r="S319" s="32" t="s">
        <v>75</v>
      </c>
      <c r="T319" s="21"/>
      <c r="U319" s="53" t="s">
        <v>891</v>
      </c>
      <c r="V319" s="9"/>
      <c r="W319" s="9"/>
      <c r="X319" s="21"/>
    </row>
    <row r="320">
      <c r="B320" s="23">
        <v>7.0</v>
      </c>
      <c r="C320" s="59" t="s">
        <v>892</v>
      </c>
      <c r="D320" s="16"/>
      <c r="E320" s="26" t="s">
        <v>679</v>
      </c>
      <c r="F320" s="16"/>
      <c r="G320" s="26" t="s">
        <v>50</v>
      </c>
      <c r="H320" s="16"/>
      <c r="I320" s="26" t="s">
        <v>41</v>
      </c>
      <c r="J320" s="16"/>
      <c r="K320" s="26" t="s">
        <v>58</v>
      </c>
      <c r="L320" s="16"/>
      <c r="M320" s="26" t="s">
        <v>204</v>
      </c>
      <c r="N320" s="16"/>
      <c r="O320" s="26" t="s">
        <v>52</v>
      </c>
      <c r="P320" s="16"/>
      <c r="Q320" s="26" t="s">
        <v>132</v>
      </c>
      <c r="R320" s="16"/>
      <c r="S320" s="26" t="s">
        <v>75</v>
      </c>
      <c r="T320" s="16"/>
      <c r="U320" s="60" t="s">
        <v>893</v>
      </c>
      <c r="V320" s="3"/>
      <c r="W320" s="3"/>
      <c r="X320" s="16"/>
    </row>
    <row r="321">
      <c r="B321" s="57">
        <v>7.0</v>
      </c>
      <c r="C321" s="58" t="s">
        <v>894</v>
      </c>
      <c r="D321" s="21"/>
      <c r="E321" s="32" t="s">
        <v>217</v>
      </c>
      <c r="F321" s="21"/>
      <c r="G321" s="31" t="s">
        <v>40</v>
      </c>
      <c r="H321" s="21"/>
      <c r="I321" s="31" t="s">
        <v>41</v>
      </c>
      <c r="J321" s="21"/>
      <c r="K321" s="31" t="str">
        <f>long</f>
        <v>Long: 920 ft</v>
      </c>
      <c r="L321" s="21"/>
      <c r="M321" s="32" t="s">
        <v>895</v>
      </c>
      <c r="N321" s="21"/>
      <c r="O321" s="31" t="str">
        <f>Level&amp;" minutes (D)
1 minute/level"</f>
        <v>13 minutes (D)
1 minute/level</v>
      </c>
      <c r="P321" s="21"/>
      <c r="Q321" s="31" t="s">
        <v>332</v>
      </c>
      <c r="R321" s="21"/>
      <c r="S321" s="31" t="s">
        <v>333</v>
      </c>
      <c r="T321" s="21"/>
      <c r="U321" s="53" t="s">
        <v>896</v>
      </c>
      <c r="V321" s="9"/>
      <c r="W321" s="9"/>
      <c r="X321" s="21"/>
    </row>
    <row r="322">
      <c r="B322" s="23">
        <v>7.0</v>
      </c>
      <c r="C322" s="24" t="s">
        <v>897</v>
      </c>
      <c r="D322" s="16"/>
      <c r="E322" s="26" t="s">
        <v>593</v>
      </c>
      <c r="F322" s="16"/>
      <c r="G322" s="25" t="s">
        <v>898</v>
      </c>
      <c r="H322" s="16"/>
      <c r="I322" s="25" t="s">
        <v>41</v>
      </c>
      <c r="J322" s="16"/>
      <c r="K322" s="25" t="str">
        <f>medium</f>
        <v>Medium: 230 ft</v>
      </c>
      <c r="L322" s="16"/>
      <c r="M322" s="25" t="s">
        <v>899</v>
      </c>
      <c r="N322" s="16"/>
      <c r="O322" s="25" t="str">
        <f>"Permanent until triggered, the "&amp;Level&amp;" rounds
1 round/level"</f>
        <v>Permanent until triggered, the 13 rounds
1 round/level</v>
      </c>
      <c r="P322" s="16"/>
      <c r="Q322" s="25" t="s">
        <v>98</v>
      </c>
      <c r="R322" s="16"/>
      <c r="S322" s="25" t="s">
        <v>54</v>
      </c>
      <c r="T322" s="16"/>
      <c r="U322" s="27" t="s">
        <v>900</v>
      </c>
      <c r="V322" s="3"/>
      <c r="W322" s="3"/>
      <c r="X322" s="16"/>
    </row>
    <row r="323">
      <c r="B323" s="57">
        <v>7.0</v>
      </c>
      <c r="C323" s="58" t="s">
        <v>901</v>
      </c>
      <c r="D323" s="21"/>
      <c r="E323" s="32" t="s">
        <v>593</v>
      </c>
      <c r="F323" s="21"/>
      <c r="G323" s="31" t="s">
        <v>50</v>
      </c>
      <c r="H323" s="21"/>
      <c r="I323" s="31" t="s">
        <v>41</v>
      </c>
      <c r="J323" s="21"/>
      <c r="K323" s="31" t="s">
        <v>132</v>
      </c>
      <c r="L323" s="21"/>
      <c r="M323" s="31" t="s">
        <v>132</v>
      </c>
      <c r="N323" s="21"/>
      <c r="O323" s="31" t="s">
        <v>132</v>
      </c>
      <c r="P323" s="21"/>
      <c r="Q323" s="31" t="s">
        <v>594</v>
      </c>
      <c r="R323" s="21"/>
      <c r="S323" s="31" t="s">
        <v>595</v>
      </c>
      <c r="T323" s="21"/>
      <c r="U323" s="53" t="s">
        <v>902</v>
      </c>
      <c r="V323" s="9"/>
      <c r="W323" s="9"/>
      <c r="X323" s="21"/>
    </row>
    <row r="324">
      <c r="B324" s="23">
        <v>7.0</v>
      </c>
      <c r="C324" s="59" t="s">
        <v>903</v>
      </c>
      <c r="D324" s="16"/>
      <c r="E324" s="26" t="s">
        <v>593</v>
      </c>
      <c r="F324" s="16"/>
      <c r="G324" s="26" t="s">
        <v>904</v>
      </c>
      <c r="H324" s="16"/>
      <c r="I324" s="26" t="s">
        <v>905</v>
      </c>
      <c r="J324" s="16"/>
      <c r="K324" s="26" t="s">
        <v>127</v>
      </c>
      <c r="L324" s="16"/>
      <c r="M324" s="26" t="s">
        <v>906</v>
      </c>
      <c r="N324" s="16"/>
      <c r="O324" s="26" t="s">
        <v>52</v>
      </c>
      <c r="P324" s="16"/>
      <c r="Q324" s="26" t="s">
        <v>53</v>
      </c>
      <c r="R324" s="16"/>
      <c r="S324" s="26" t="s">
        <v>54</v>
      </c>
      <c r="T324" s="16"/>
      <c r="U324" s="60" t="s">
        <v>907</v>
      </c>
      <c r="V324" s="3"/>
      <c r="W324" s="3"/>
      <c r="X324" s="16"/>
    </row>
    <row r="325">
      <c r="B325" s="57">
        <v>7.0</v>
      </c>
      <c r="C325" s="58" t="s">
        <v>908</v>
      </c>
      <c r="D325" s="21"/>
      <c r="E325" s="32" t="s">
        <v>101</v>
      </c>
      <c r="F325" s="21"/>
      <c r="G325" s="32" t="s">
        <v>40</v>
      </c>
      <c r="H325" s="21"/>
      <c r="I325" s="32" t="s">
        <v>41</v>
      </c>
      <c r="J325" s="21"/>
      <c r="K325" s="32" t="str">
        <f>close</f>
        <v>Close: 55 ft</v>
      </c>
      <c r="L325" s="21"/>
      <c r="M325" s="32" t="str">
        <f>"Up to "&amp;Level*2&amp;" HD of undead creatures, 2 HD/level, no 2 of which can be more than 30 ft apart"</f>
        <v>Up to 26 HD of undead creatures, 2 HD/level, no 2 of which can be more than 30 ft apart</v>
      </c>
      <c r="N325" s="21"/>
      <c r="O325" s="32" t="str">
        <f>Level&amp;" minutes
1 minute/level"</f>
        <v>13 minutes
1 minute/level</v>
      </c>
      <c r="P325" s="21"/>
      <c r="Q325" s="32" t="s">
        <v>74</v>
      </c>
      <c r="R325" s="21"/>
      <c r="S325" s="32" t="s">
        <v>75</v>
      </c>
      <c r="T325" s="21"/>
      <c r="U325" s="53" t="s">
        <v>909</v>
      </c>
      <c r="V325" s="9"/>
      <c r="W325" s="9"/>
      <c r="X325" s="21"/>
    </row>
    <row r="326">
      <c r="B326" s="23">
        <v>7.0</v>
      </c>
      <c r="C326" s="24" t="s">
        <v>910</v>
      </c>
      <c r="D326" s="16"/>
      <c r="E326" s="26" t="s">
        <v>801</v>
      </c>
      <c r="F326" s="16"/>
      <c r="G326" s="25" t="s">
        <v>50</v>
      </c>
      <c r="H326" s="16"/>
      <c r="I326" s="25" t="s">
        <v>41</v>
      </c>
      <c r="J326" s="16"/>
      <c r="K326" s="25" t="str">
        <f>CONCAT("Close: ", CONCAT(25+(5*FLOOR(Level/2,1)), " ft"))</f>
        <v>Close: 55 ft</v>
      </c>
      <c r="L326" s="16"/>
      <c r="M326" s="25" t="s">
        <v>350</v>
      </c>
      <c r="N326" s="16"/>
      <c r="O326" s="25" t="s">
        <v>52</v>
      </c>
      <c r="P326" s="16"/>
      <c r="Q326" s="25" t="s">
        <v>911</v>
      </c>
      <c r="R326" s="16"/>
      <c r="S326" s="25" t="s">
        <v>75</v>
      </c>
      <c r="T326" s="16"/>
      <c r="U326" s="27" t="s">
        <v>912</v>
      </c>
      <c r="V326" s="3"/>
      <c r="W326" s="3"/>
      <c r="X326" s="16"/>
    </row>
    <row r="327">
      <c r="B327" s="57">
        <v>7.0</v>
      </c>
      <c r="C327" s="58" t="s">
        <v>913</v>
      </c>
      <c r="D327" s="21"/>
      <c r="E327" s="32" t="s">
        <v>101</v>
      </c>
      <c r="F327" s="21"/>
      <c r="G327" s="32" t="s">
        <v>772</v>
      </c>
      <c r="H327" s="21"/>
      <c r="I327" s="32" t="s">
        <v>412</v>
      </c>
      <c r="J327" s="21"/>
      <c r="K327" s="32" t="s">
        <v>671</v>
      </c>
      <c r="L327" s="21"/>
      <c r="M327" s="32" t="s">
        <v>672</v>
      </c>
      <c r="N327" s="21"/>
      <c r="O327" s="32" t="s">
        <v>132</v>
      </c>
      <c r="P327" s="21"/>
      <c r="Q327" s="31" t="s">
        <v>74</v>
      </c>
      <c r="R327" s="21"/>
      <c r="S327" s="32" t="s">
        <v>75</v>
      </c>
      <c r="T327" s="21"/>
      <c r="U327" s="53" t="s">
        <v>914</v>
      </c>
      <c r="V327" s="9"/>
      <c r="W327" s="9"/>
      <c r="X327" s="21"/>
    </row>
    <row r="328">
      <c r="B328" s="23">
        <v>7.0</v>
      </c>
      <c r="C328" s="59" t="s">
        <v>915</v>
      </c>
      <c r="D328" s="16"/>
      <c r="E328" s="26" t="s">
        <v>101</v>
      </c>
      <c r="F328" s="16"/>
      <c r="G328" s="26" t="s">
        <v>50</v>
      </c>
      <c r="H328" s="16"/>
      <c r="I328" s="26" t="s">
        <v>41</v>
      </c>
      <c r="J328" s="16"/>
      <c r="K328" s="26" t="s">
        <v>58</v>
      </c>
      <c r="L328" s="16"/>
      <c r="M328" s="26" t="s">
        <v>204</v>
      </c>
      <c r="N328" s="16"/>
      <c r="O328" s="26" t="s">
        <v>52</v>
      </c>
      <c r="P328" s="16"/>
      <c r="Q328" s="26" t="s">
        <v>53</v>
      </c>
      <c r="R328" s="16"/>
      <c r="S328" s="26" t="s">
        <v>75</v>
      </c>
      <c r="T328" s="16"/>
      <c r="U328" s="60" t="s">
        <v>916</v>
      </c>
      <c r="V328" s="3"/>
      <c r="W328" s="3"/>
      <c r="X328" s="16"/>
    </row>
    <row r="329">
      <c r="B329" s="57">
        <v>7.0</v>
      </c>
      <c r="C329" s="30" t="s">
        <v>917</v>
      </c>
      <c r="D329" s="21"/>
      <c r="E329" s="31" t="s">
        <v>107</v>
      </c>
      <c r="F329" s="21"/>
      <c r="G329" s="31" t="s">
        <v>50</v>
      </c>
      <c r="H329" s="21"/>
      <c r="I329" s="31" t="s">
        <v>918</v>
      </c>
      <c r="J329" s="21"/>
      <c r="K329" s="31" t="s">
        <v>919</v>
      </c>
      <c r="L329" s="21"/>
      <c r="M329" s="31" t="s">
        <v>920</v>
      </c>
      <c r="N329" s="21"/>
      <c r="O329" s="31" t="s">
        <v>921</v>
      </c>
      <c r="P329" s="21"/>
      <c r="Q329" s="31" t="s">
        <v>53</v>
      </c>
      <c r="R329" s="21"/>
      <c r="S329" s="31" t="s">
        <v>54</v>
      </c>
      <c r="T329" s="21"/>
      <c r="U329" s="33" t="s">
        <v>922</v>
      </c>
      <c r="V329" s="9"/>
      <c r="W329" s="9"/>
      <c r="X329" s="21"/>
    </row>
    <row r="330">
      <c r="B330" s="23">
        <v>7.0</v>
      </c>
      <c r="C330" s="59" t="s">
        <v>923</v>
      </c>
      <c r="D330" s="16"/>
      <c r="E330" s="25" t="s">
        <v>107</v>
      </c>
      <c r="F330" s="16"/>
      <c r="G330" s="25" t="s">
        <v>50</v>
      </c>
      <c r="H330" s="16"/>
      <c r="I330" s="26" t="s">
        <v>41</v>
      </c>
      <c r="J330" s="16"/>
      <c r="K330" s="26" t="s">
        <v>66</v>
      </c>
      <c r="L330" s="16"/>
      <c r="M330" s="26" t="s">
        <v>67</v>
      </c>
      <c r="N330" s="16"/>
      <c r="O330" s="25" t="str">
        <f>Level&amp;" rounds (D)
1 round/level"</f>
        <v>13 rounds (D)
1 round/level</v>
      </c>
      <c r="P330" s="16"/>
      <c r="Q330" s="26" t="s">
        <v>68</v>
      </c>
      <c r="R330" s="16"/>
      <c r="S330" s="26" t="s">
        <v>68</v>
      </c>
      <c r="T330" s="16"/>
      <c r="U330" s="27" t="str">
        <f>"You become ethereal for "&amp;Level&amp;" rounds, 1 round/level"</f>
        <v>You become ethereal for 13 rounds, 1 round/level</v>
      </c>
      <c r="V330" s="3"/>
      <c r="W330" s="3"/>
      <c r="X330" s="16"/>
    </row>
    <row r="331">
      <c r="B331" s="57">
        <v>7.0</v>
      </c>
      <c r="C331" s="30" t="s">
        <v>924</v>
      </c>
      <c r="D331" s="21"/>
      <c r="E331" s="31" t="s">
        <v>107</v>
      </c>
      <c r="F331" s="21"/>
      <c r="G331" s="32" t="s">
        <v>40</v>
      </c>
      <c r="H331" s="21"/>
      <c r="I331" s="31" t="s">
        <v>41</v>
      </c>
      <c r="J331" s="21"/>
      <c r="K331" s="31" t="str">
        <f>CONCAT("Medium: ", CONCAT(100+(10*Level), " ft"))</f>
        <v>Medium: 230 ft</v>
      </c>
      <c r="L331" s="21"/>
      <c r="M331" s="31" t="str">
        <f>CONCAT("Up to ",CONCAT(MAX(FLOOR(Level/2,1),1), " ten ft cubes, 1 cube per 2 levels"))</f>
        <v>Up to 6 ten ft cubes, 1 cube per 2 levels</v>
      </c>
      <c r="N331" s="21"/>
      <c r="O331" s="31" t="str">
        <f>CONCAT(Level, " rounds (D)
1 round/level")</f>
        <v>13 rounds (D)
1 round/level</v>
      </c>
      <c r="P331" s="21"/>
      <c r="Q331" s="31" t="s">
        <v>220</v>
      </c>
      <c r="R331" s="21"/>
      <c r="S331" s="31" t="s">
        <v>54</v>
      </c>
      <c r="T331" s="21"/>
      <c r="U331" s="33" t="s">
        <v>925</v>
      </c>
      <c r="V331" s="9"/>
      <c r="W331" s="9"/>
      <c r="X331" s="21"/>
    </row>
    <row r="332">
      <c r="B332" s="23">
        <v>7.0</v>
      </c>
      <c r="C332" s="59" t="s">
        <v>926</v>
      </c>
      <c r="D332" s="16"/>
      <c r="E332" s="25" t="s">
        <v>107</v>
      </c>
      <c r="F332" s="16"/>
      <c r="G332" s="26" t="s">
        <v>40</v>
      </c>
      <c r="H332" s="16"/>
      <c r="I332" s="26" t="s">
        <v>73</v>
      </c>
      <c r="J332" s="16"/>
      <c r="K332" s="26" t="s">
        <v>42</v>
      </c>
      <c r="L332" s="16"/>
      <c r="M332" s="26" t="s">
        <v>104</v>
      </c>
      <c r="N332" s="16"/>
      <c r="O332" s="25" t="str">
        <f>CONCAT(Level, " hours (D)
1 round/level")</f>
        <v>13 hours (D)
1 round/level</v>
      </c>
      <c r="P332" s="16"/>
      <c r="Q332" s="26" t="s">
        <v>45</v>
      </c>
      <c r="R332" s="16"/>
      <c r="S332" s="26" t="s">
        <v>46</v>
      </c>
      <c r="T332" s="16"/>
      <c r="U332" s="60" t="s">
        <v>927</v>
      </c>
      <c r="V332" s="3"/>
      <c r="W332" s="3"/>
      <c r="X332" s="16"/>
    </row>
    <row r="333">
      <c r="B333" s="57">
        <v>7.0</v>
      </c>
      <c r="C333" s="58" t="s">
        <v>928</v>
      </c>
      <c r="D333" s="21"/>
      <c r="E333" s="32" t="s">
        <v>126</v>
      </c>
      <c r="F333" s="21"/>
      <c r="G333" s="32" t="s">
        <v>730</v>
      </c>
      <c r="H333" s="21"/>
      <c r="I333" s="32" t="s">
        <v>41</v>
      </c>
      <c r="J333" s="21"/>
      <c r="K333" s="32" t="s">
        <v>132</v>
      </c>
      <c r="L333" s="21"/>
      <c r="M333" s="32" t="s">
        <v>132</v>
      </c>
      <c r="N333" s="21"/>
      <c r="O333" s="32" t="s">
        <v>132</v>
      </c>
      <c r="P333" s="21"/>
      <c r="Q333" s="32" t="s">
        <v>220</v>
      </c>
      <c r="R333" s="21"/>
      <c r="S333" s="32" t="s">
        <v>75</v>
      </c>
      <c r="T333" s="21"/>
      <c r="U333" s="53" t="s">
        <v>929</v>
      </c>
      <c r="V333" s="9"/>
      <c r="W333" s="9"/>
      <c r="X333" s="21"/>
    </row>
    <row r="334">
      <c r="B334" s="23">
        <v>8.0</v>
      </c>
      <c r="C334" s="59" t="s">
        <v>930</v>
      </c>
      <c r="D334" s="16"/>
      <c r="E334" s="26" t="s">
        <v>39</v>
      </c>
      <c r="F334" s="16"/>
      <c r="G334" s="26" t="s">
        <v>50</v>
      </c>
      <c r="H334" s="16"/>
      <c r="I334" s="26" t="s">
        <v>41</v>
      </c>
      <c r="J334" s="16"/>
      <c r="K334" s="25" t="str">
        <f>medium</f>
        <v>Medium: 230 ft</v>
      </c>
      <c r="L334" s="16"/>
      <c r="M334" s="26" t="s">
        <v>136</v>
      </c>
      <c r="N334" s="16"/>
      <c r="O334" s="25" t="str">
        <f>CONCAT(Level, " days
1 day/level")</f>
        <v>13 days
1 day/level</v>
      </c>
      <c r="P334" s="16"/>
      <c r="Q334" s="26" t="s">
        <v>53</v>
      </c>
      <c r="R334" s="16"/>
      <c r="S334" s="25" t="s">
        <v>75</v>
      </c>
      <c r="T334" s="16"/>
      <c r="U334" s="27" t="str">
        <f>"Teleportation and interplanar travel blocked for "&amp;Level&amp;" days, 1 day/level"</f>
        <v>Teleportation and interplanar travel blocked for 13 days, 1 day/level</v>
      </c>
      <c r="V334" s="3"/>
      <c r="W334" s="3"/>
      <c r="X334" s="16"/>
    </row>
    <row r="335">
      <c r="B335" s="57">
        <v>8.0</v>
      </c>
      <c r="C335" s="58" t="s">
        <v>931</v>
      </c>
      <c r="D335" s="21"/>
      <c r="E335" s="32" t="s">
        <v>39</v>
      </c>
      <c r="F335" s="21"/>
      <c r="G335" s="32" t="s">
        <v>50</v>
      </c>
      <c r="H335" s="21"/>
      <c r="I335" s="32" t="s">
        <v>41</v>
      </c>
      <c r="J335" s="21"/>
      <c r="K335" s="31" t="str">
        <f>close</f>
        <v>Close: 55 ft</v>
      </c>
      <c r="L335" s="21"/>
      <c r="M335" s="32" t="s">
        <v>662</v>
      </c>
      <c r="N335" s="21"/>
      <c r="O335" s="32" t="s">
        <v>138</v>
      </c>
      <c r="P335" s="21"/>
      <c r="Q335" s="32" t="s">
        <v>45</v>
      </c>
      <c r="R335" s="21"/>
      <c r="S335" s="32" t="s">
        <v>46</v>
      </c>
      <c r="T335" s="21"/>
      <c r="U335" s="53" t="s">
        <v>932</v>
      </c>
      <c r="V335" s="9"/>
      <c r="W335" s="9"/>
      <c r="X335" s="21"/>
    </row>
    <row r="336">
      <c r="B336" s="23">
        <v>8.0</v>
      </c>
      <c r="C336" s="59" t="s">
        <v>933</v>
      </c>
      <c r="D336" s="16"/>
      <c r="E336" s="26" t="s">
        <v>39</v>
      </c>
      <c r="F336" s="16"/>
      <c r="G336" s="26" t="s">
        <v>50</v>
      </c>
      <c r="H336" s="16"/>
      <c r="I336" s="26" t="s">
        <v>41</v>
      </c>
      <c r="J336" s="16"/>
      <c r="K336" s="25" t="str">
        <f>close</f>
        <v>Close: 55 ft</v>
      </c>
      <c r="L336" s="16"/>
      <c r="M336" s="26" t="str">
        <f>"Wall "&amp;Level*4&amp;" ft wide, 4 ft/level, "&amp;Level*2&amp;" ft high, 2 ft/level"</f>
        <v>Wall 52 ft wide, 4 ft/level, 26 ft high, 2 ft/level</v>
      </c>
      <c r="N336" s="16"/>
      <c r="O336" s="26" t="str">
        <f>Level*10&amp;" minutes (D)
10 minutes/level"</f>
        <v>130 minutes (D)
10 minutes/level</v>
      </c>
      <c r="P336" s="16"/>
      <c r="Q336" s="26" t="s">
        <v>132</v>
      </c>
      <c r="R336" s="16"/>
      <c r="S336" s="26" t="s">
        <v>132</v>
      </c>
      <c r="T336" s="16"/>
      <c r="U336" s="60" t="s">
        <v>934</v>
      </c>
      <c r="V336" s="3"/>
      <c r="W336" s="3"/>
      <c r="X336" s="16"/>
    </row>
    <row r="337">
      <c r="B337" s="57">
        <v>8.0</v>
      </c>
      <c r="C337" s="58" t="s">
        <v>935</v>
      </c>
      <c r="D337" s="21"/>
      <c r="E337" s="32" t="s">
        <v>39</v>
      </c>
      <c r="F337" s="21"/>
      <c r="G337" s="32" t="s">
        <v>936</v>
      </c>
      <c r="H337" s="21"/>
      <c r="I337" s="32" t="s">
        <v>41</v>
      </c>
      <c r="J337" s="21"/>
      <c r="K337" s="32" t="s">
        <v>42</v>
      </c>
      <c r="L337" s="21"/>
      <c r="M337" s="32" t="str">
        <f>"Up to "&amp;MAX(FLOOR(Level/4,1),1)&amp;" creatures touched, 1 creature per 4 levels"</f>
        <v>Up to 3 creatures touched, 1 creature per 4 levels</v>
      </c>
      <c r="N337" s="21"/>
      <c r="O337" s="32" t="str">
        <f>Level*10&amp;" minutes (D)
10 minutes/level"</f>
        <v>130 minutes (D)
10 minutes/level</v>
      </c>
      <c r="P337" s="21"/>
      <c r="Q337" s="32" t="s">
        <v>45</v>
      </c>
      <c r="R337" s="21"/>
      <c r="S337" s="32" t="s">
        <v>46</v>
      </c>
      <c r="T337" s="21"/>
      <c r="U337" s="53" t="s">
        <v>937</v>
      </c>
      <c r="V337" s="9"/>
      <c r="W337" s="9"/>
      <c r="X337" s="21"/>
    </row>
    <row r="338">
      <c r="B338" s="23">
        <v>8.0</v>
      </c>
      <c r="C338" s="59" t="s">
        <v>938</v>
      </c>
      <c r="D338" s="16"/>
      <c r="E338" s="26" t="s">
        <v>939</v>
      </c>
      <c r="F338" s="16"/>
      <c r="G338" s="26" t="s">
        <v>50</v>
      </c>
      <c r="H338" s="16"/>
      <c r="I338" s="26" t="s">
        <v>41</v>
      </c>
      <c r="J338" s="16"/>
      <c r="K338" s="25" t="str">
        <f>medium</f>
        <v>Medium: 230 ft</v>
      </c>
      <c r="L338" s="16"/>
      <c r="M338" s="26" t="s">
        <v>940</v>
      </c>
      <c r="N338" s="16"/>
      <c r="O338" s="26" t="str">
        <f>Level&amp;" rounds
1 round/level"</f>
        <v>13 rounds
1 round/level</v>
      </c>
      <c r="P338" s="16"/>
      <c r="Q338" s="26" t="s">
        <v>511</v>
      </c>
      <c r="R338" s="16"/>
      <c r="S338" s="26" t="s">
        <v>54</v>
      </c>
      <c r="T338" s="16"/>
      <c r="U338" s="60" t="s">
        <v>941</v>
      </c>
      <c r="V338" s="3"/>
      <c r="W338" s="3"/>
      <c r="X338" s="16"/>
    </row>
    <row r="339">
      <c r="B339" s="57">
        <v>8.0</v>
      </c>
      <c r="C339" s="58" t="s">
        <v>942</v>
      </c>
      <c r="D339" s="21"/>
      <c r="E339" s="32" t="s">
        <v>524</v>
      </c>
      <c r="F339" s="21"/>
      <c r="G339" s="32" t="s">
        <v>50</v>
      </c>
      <c r="H339" s="21"/>
      <c r="I339" s="32" t="s">
        <v>41</v>
      </c>
      <c r="J339" s="21"/>
      <c r="K339" s="31" t="str">
        <f>close</f>
        <v>Close: 55 ft</v>
      </c>
      <c r="L339" s="21"/>
      <c r="M339" s="32" t="s">
        <v>662</v>
      </c>
      <c r="N339" s="21"/>
      <c r="O339" s="32" t="s">
        <v>132</v>
      </c>
      <c r="P339" s="21"/>
      <c r="Q339" s="32" t="s">
        <v>53</v>
      </c>
      <c r="R339" s="21"/>
      <c r="S339" s="32" t="s">
        <v>75</v>
      </c>
      <c r="T339" s="21"/>
      <c r="U339" s="53" t="s">
        <v>943</v>
      </c>
      <c r="V339" s="9"/>
      <c r="W339" s="9"/>
      <c r="X339" s="21"/>
    </row>
    <row r="340">
      <c r="B340" s="23">
        <v>8.0</v>
      </c>
      <c r="C340" s="59" t="s">
        <v>944</v>
      </c>
      <c r="D340" s="16"/>
      <c r="E340" s="26" t="s">
        <v>638</v>
      </c>
      <c r="F340" s="16"/>
      <c r="G340" s="26" t="s">
        <v>50</v>
      </c>
      <c r="H340" s="16"/>
      <c r="I340" s="26" t="s">
        <v>412</v>
      </c>
      <c r="J340" s="16"/>
      <c r="K340" s="25" t="str">
        <f>close</f>
        <v>Close: 55 ft</v>
      </c>
      <c r="L340" s="16"/>
      <c r="M340" s="26" t="s">
        <v>945</v>
      </c>
      <c r="N340" s="16"/>
      <c r="O340" s="26" t="s">
        <v>52</v>
      </c>
      <c r="P340" s="16"/>
      <c r="Q340" s="26" t="s">
        <v>74</v>
      </c>
      <c r="R340" s="16"/>
      <c r="S340" s="26" t="s">
        <v>640</v>
      </c>
      <c r="T340" s="16"/>
      <c r="U340" s="60" t="s">
        <v>946</v>
      </c>
      <c r="V340" s="3"/>
      <c r="W340" s="3"/>
      <c r="X340" s="16"/>
    </row>
    <row r="341">
      <c r="B341" s="57">
        <v>8.0</v>
      </c>
      <c r="C341" s="58" t="s">
        <v>947</v>
      </c>
      <c r="D341" s="21"/>
      <c r="E341" s="32" t="s">
        <v>170</v>
      </c>
      <c r="F341" s="21"/>
      <c r="G341" s="31" t="s">
        <v>65</v>
      </c>
      <c r="H341" s="21"/>
      <c r="I341" s="31" t="s">
        <v>73</v>
      </c>
      <c r="J341" s="21"/>
      <c r="K341" s="31" t="str">
        <f>close</f>
        <v>Close: 55 ft</v>
      </c>
      <c r="L341" s="21"/>
      <c r="M341" s="31" t="s">
        <v>171</v>
      </c>
      <c r="N341" s="21"/>
      <c r="O341" s="31" t="str">
        <f>Level&amp;" rounds (D)
1 round/level"</f>
        <v>13 rounds (D)
1 round/level</v>
      </c>
      <c r="P341" s="21"/>
      <c r="Q341" s="31" t="s">
        <v>53</v>
      </c>
      <c r="R341" s="21"/>
      <c r="S341" s="31" t="s">
        <v>54</v>
      </c>
      <c r="T341" s="21"/>
      <c r="U341" s="33" t="s">
        <v>172</v>
      </c>
      <c r="V341" s="9"/>
      <c r="W341" s="9"/>
      <c r="X341" s="21"/>
    </row>
    <row r="342">
      <c r="B342" s="23">
        <v>8.0</v>
      </c>
      <c r="C342" s="59" t="s">
        <v>948</v>
      </c>
      <c r="D342" s="16"/>
      <c r="E342" s="26" t="s">
        <v>163</v>
      </c>
      <c r="F342" s="16"/>
      <c r="G342" s="26" t="s">
        <v>949</v>
      </c>
      <c r="H342" s="16"/>
      <c r="I342" s="26" t="s">
        <v>950</v>
      </c>
      <c r="J342" s="16"/>
      <c r="K342" s="25" t="str">
        <f>close</f>
        <v>Close: 55 ft</v>
      </c>
      <c r="L342" s="16"/>
      <c r="M342" s="26" t="s">
        <v>662</v>
      </c>
      <c r="N342" s="16"/>
      <c r="O342" s="26" t="s">
        <v>951</v>
      </c>
      <c r="P342" s="16"/>
      <c r="Q342" s="26" t="s">
        <v>132</v>
      </c>
      <c r="R342" s="16"/>
      <c r="S342" s="26" t="s">
        <v>595</v>
      </c>
      <c r="T342" s="16"/>
      <c r="U342" s="60" t="s">
        <v>952</v>
      </c>
      <c r="V342" s="3"/>
      <c r="W342" s="3"/>
      <c r="X342" s="16"/>
    </row>
    <row r="343">
      <c r="B343" s="57">
        <v>8.0</v>
      </c>
      <c r="C343" s="58" t="s">
        <v>953</v>
      </c>
      <c r="D343" s="21"/>
      <c r="E343" s="32" t="s">
        <v>57</v>
      </c>
      <c r="F343" s="21"/>
      <c r="G343" s="32" t="s">
        <v>50</v>
      </c>
      <c r="H343" s="21"/>
      <c r="I343" s="32" t="s">
        <v>412</v>
      </c>
      <c r="J343" s="21"/>
      <c r="K343" s="32" t="s">
        <v>540</v>
      </c>
      <c r="L343" s="21"/>
      <c r="M343" s="32" t="s">
        <v>336</v>
      </c>
      <c r="N343" s="21"/>
      <c r="O343" s="32" t="s">
        <v>52</v>
      </c>
      <c r="P343" s="21"/>
      <c r="Q343" s="32" t="s">
        <v>53</v>
      </c>
      <c r="R343" s="21"/>
      <c r="S343" s="32" t="s">
        <v>54</v>
      </c>
      <c r="T343" s="21"/>
      <c r="U343" s="53" t="s">
        <v>954</v>
      </c>
      <c r="V343" s="9"/>
      <c r="W343" s="9"/>
      <c r="X343" s="21"/>
    </row>
    <row r="344">
      <c r="B344" s="23">
        <v>8.0</v>
      </c>
      <c r="C344" s="59" t="s">
        <v>955</v>
      </c>
      <c r="D344" s="16"/>
      <c r="E344" s="26" t="s">
        <v>57</v>
      </c>
      <c r="F344" s="16"/>
      <c r="G344" s="26" t="s">
        <v>50</v>
      </c>
      <c r="H344" s="16"/>
      <c r="I344" s="26" t="s">
        <v>41</v>
      </c>
      <c r="J344" s="16"/>
      <c r="K344" s="26" t="s">
        <v>66</v>
      </c>
      <c r="L344" s="16"/>
      <c r="M344" s="26" t="s">
        <v>67</v>
      </c>
      <c r="N344" s="16"/>
      <c r="O344" s="26" t="str">
        <f>Level&amp;" hours or until discharged
1 hour/level"</f>
        <v>13 hours or until discharged
1 hour/level</v>
      </c>
      <c r="P344" s="16"/>
      <c r="Q344" s="26" t="s">
        <v>68</v>
      </c>
      <c r="R344" s="16"/>
      <c r="S344" s="26" t="s">
        <v>68</v>
      </c>
      <c r="T344" s="16"/>
      <c r="U344" s="60" t="s">
        <v>956</v>
      </c>
      <c r="V344" s="3"/>
      <c r="W344" s="3"/>
      <c r="X344" s="16"/>
    </row>
    <row r="345">
      <c r="B345" s="57">
        <v>8.0</v>
      </c>
      <c r="C345" s="58" t="s">
        <v>957</v>
      </c>
      <c r="D345" s="21"/>
      <c r="E345" s="32" t="s">
        <v>57</v>
      </c>
      <c r="F345" s="21"/>
      <c r="G345" s="32" t="s">
        <v>40</v>
      </c>
      <c r="H345" s="21"/>
      <c r="I345" s="32" t="s">
        <v>44</v>
      </c>
      <c r="J345" s="21"/>
      <c r="K345" s="32" t="s">
        <v>654</v>
      </c>
      <c r="L345" s="21"/>
      <c r="M345" s="32" t="s">
        <v>655</v>
      </c>
      <c r="N345" s="21"/>
      <c r="O345" s="32" t="str">
        <f>Level&amp;" hours (D), see text
1 hour/level"</f>
        <v>13 hours (D), see text
1 hour/level</v>
      </c>
      <c r="P345" s="21"/>
      <c r="Q345" s="32" t="s">
        <v>53</v>
      </c>
      <c r="R345" s="21"/>
      <c r="S345" s="32" t="s">
        <v>54</v>
      </c>
      <c r="T345" s="21"/>
      <c r="U345" s="53" t="s">
        <v>958</v>
      </c>
      <c r="V345" s="9"/>
      <c r="W345" s="9"/>
      <c r="X345" s="21"/>
    </row>
    <row r="346">
      <c r="B346" s="23">
        <v>8.0</v>
      </c>
      <c r="C346" s="24" t="s">
        <v>959</v>
      </c>
      <c r="D346" s="16"/>
      <c r="E346" s="26" t="s">
        <v>71</v>
      </c>
      <c r="F346" s="16"/>
      <c r="G346" s="26" t="s">
        <v>40</v>
      </c>
      <c r="H346" s="16"/>
      <c r="I346" s="25" t="s">
        <v>133</v>
      </c>
      <c r="J346" s="16"/>
      <c r="K346" s="25" t="str">
        <f>CONCAT("Close: ", CONCAT(25+(5*FLOOR(Level/2,1)), " ft"))</f>
        <v>Close: 55 ft</v>
      </c>
      <c r="L346" s="16"/>
      <c r="M346" s="25" t="str">
        <f>CONCAT("One location (up to ",CONCAT(Level, " ten ft cubes, 1 cube/level) or one object"))</f>
        <v>One location (up to 13 ten ft cubes, 1 cube/level) or one object</v>
      </c>
      <c r="N346" s="16"/>
      <c r="O346" s="25" t="str">
        <f>CONCAT(Level*2, " hours (D)
2 hours/level")</f>
        <v>26 hours (D)
2 hours/level</v>
      </c>
      <c r="P346" s="16"/>
      <c r="Q346" s="25" t="s">
        <v>230</v>
      </c>
      <c r="R346" s="16"/>
      <c r="S346" s="25" t="s">
        <v>75</v>
      </c>
      <c r="T346" s="16"/>
      <c r="U346" s="27" t="s">
        <v>960</v>
      </c>
      <c r="V346" s="3"/>
      <c r="W346" s="3"/>
      <c r="X346" s="16"/>
    </row>
    <row r="347">
      <c r="B347" s="57">
        <v>8.0</v>
      </c>
      <c r="C347" s="58" t="s">
        <v>961</v>
      </c>
      <c r="D347" s="21"/>
      <c r="E347" s="32" t="s">
        <v>71</v>
      </c>
      <c r="F347" s="21"/>
      <c r="G347" s="32" t="s">
        <v>962</v>
      </c>
      <c r="H347" s="21"/>
      <c r="I347" s="32" t="s">
        <v>44</v>
      </c>
      <c r="J347" s="21"/>
      <c r="K347" s="31" t="str">
        <f>CONCAT("Close: ", CONCAT(25+(5*FLOOR(Level/2,1)), " ft"))</f>
        <v>Close: 55 ft</v>
      </c>
      <c r="L347" s="21"/>
      <c r="M347" s="32" t="s">
        <v>350</v>
      </c>
      <c r="N347" s="21"/>
      <c r="O347" s="32" t="s">
        <v>963</v>
      </c>
      <c r="P347" s="21"/>
      <c r="Q347" s="32" t="s">
        <v>288</v>
      </c>
      <c r="R347" s="21"/>
      <c r="S347" s="31" t="s">
        <v>75</v>
      </c>
      <c r="T347" s="21"/>
      <c r="U347" s="53" t="s">
        <v>964</v>
      </c>
      <c r="V347" s="9"/>
      <c r="W347" s="9"/>
      <c r="X347" s="21"/>
    </row>
    <row r="348">
      <c r="B348" s="23">
        <v>8.0</v>
      </c>
      <c r="C348" s="24" t="s">
        <v>965</v>
      </c>
      <c r="D348" s="16"/>
      <c r="E348" s="26" t="s">
        <v>191</v>
      </c>
      <c r="F348" s="16"/>
      <c r="G348" s="25" t="s">
        <v>83</v>
      </c>
      <c r="H348" s="16"/>
      <c r="I348" s="25" t="s">
        <v>41</v>
      </c>
      <c r="J348" s="16"/>
      <c r="K348" s="25" t="str">
        <f>close</f>
        <v>Close: 55 ft</v>
      </c>
      <c r="L348" s="16"/>
      <c r="M348" s="25" t="s">
        <v>966</v>
      </c>
      <c r="N348" s="16"/>
      <c r="O348" s="25" t="str">
        <f>Level&amp;" days
1 day/level"</f>
        <v>13 days
1 day/level</v>
      </c>
      <c r="P348" s="16"/>
      <c r="Q348" s="25" t="s">
        <v>74</v>
      </c>
      <c r="R348" s="16"/>
      <c r="S348" s="25" t="s">
        <v>75</v>
      </c>
      <c r="T348" s="16"/>
      <c r="U348" s="27" t="s">
        <v>552</v>
      </c>
      <c r="V348" s="3"/>
      <c r="W348" s="3"/>
      <c r="X348" s="16"/>
    </row>
    <row r="349">
      <c r="B349" s="57">
        <v>8.0</v>
      </c>
      <c r="C349" s="58" t="s">
        <v>967</v>
      </c>
      <c r="D349" s="21"/>
      <c r="E349" s="32" t="s">
        <v>71</v>
      </c>
      <c r="F349" s="21"/>
      <c r="G349" s="32" t="s">
        <v>40</v>
      </c>
      <c r="H349" s="21"/>
      <c r="I349" s="32" t="s">
        <v>412</v>
      </c>
      <c r="J349" s="21"/>
      <c r="K349" s="32" t="s">
        <v>132</v>
      </c>
      <c r="L349" s="21"/>
      <c r="M349" s="32" t="s">
        <v>662</v>
      </c>
      <c r="N349" s="21"/>
      <c r="O349" s="32" t="s">
        <v>680</v>
      </c>
      <c r="P349" s="21"/>
      <c r="Q349" s="32" t="s">
        <v>230</v>
      </c>
      <c r="R349" s="21"/>
      <c r="S349" s="32" t="s">
        <v>75</v>
      </c>
      <c r="T349" s="21"/>
      <c r="U349" s="53" t="s">
        <v>968</v>
      </c>
      <c r="V349" s="9"/>
      <c r="W349" s="9"/>
      <c r="X349" s="21"/>
    </row>
    <row r="350">
      <c r="B350" s="23">
        <v>8.0</v>
      </c>
      <c r="C350" s="24" t="s">
        <v>969</v>
      </c>
      <c r="D350" s="16"/>
      <c r="E350" s="26" t="s">
        <v>71</v>
      </c>
      <c r="F350" s="16"/>
      <c r="G350" s="25" t="s">
        <v>83</v>
      </c>
      <c r="H350" s="16"/>
      <c r="I350" s="25" t="s">
        <v>41</v>
      </c>
      <c r="J350" s="16"/>
      <c r="K350" s="25" t="s">
        <v>42</v>
      </c>
      <c r="L350" s="16"/>
      <c r="M350" s="25" t="s">
        <v>970</v>
      </c>
      <c r="N350" s="16"/>
      <c r="O350" s="25" t="s">
        <v>971</v>
      </c>
      <c r="P350" s="16"/>
      <c r="Q350" s="25" t="s">
        <v>53</v>
      </c>
      <c r="R350" s="16"/>
      <c r="S350" s="25" t="s">
        <v>75</v>
      </c>
      <c r="T350" s="16"/>
      <c r="U350" s="27" t="s">
        <v>972</v>
      </c>
      <c r="V350" s="3"/>
      <c r="W350" s="3"/>
      <c r="X350" s="16"/>
    </row>
    <row r="351">
      <c r="B351" s="57">
        <v>8.0</v>
      </c>
      <c r="C351" s="58" t="s">
        <v>973</v>
      </c>
      <c r="D351" s="21"/>
      <c r="E351" s="32" t="s">
        <v>71</v>
      </c>
      <c r="F351" s="21"/>
      <c r="G351" s="32" t="s">
        <v>83</v>
      </c>
      <c r="H351" s="21"/>
      <c r="I351" s="31" t="s">
        <v>41</v>
      </c>
      <c r="J351" s="21"/>
      <c r="K351" s="31" t="str">
        <f>close</f>
        <v>Close: 55 ft</v>
      </c>
      <c r="L351" s="21"/>
      <c r="M351" s="32" t="s">
        <v>974</v>
      </c>
      <c r="N351" s="21"/>
      <c r="O351" s="32" t="s">
        <v>132</v>
      </c>
      <c r="P351" s="21"/>
      <c r="Q351" s="32" t="s">
        <v>53</v>
      </c>
      <c r="R351" s="21"/>
      <c r="S351" s="31" t="s">
        <v>75</v>
      </c>
      <c r="T351" s="21"/>
      <c r="U351" s="53" t="s">
        <v>975</v>
      </c>
      <c r="V351" s="9"/>
      <c r="W351" s="9"/>
      <c r="X351" s="21"/>
    </row>
    <row r="352">
      <c r="B352" s="23">
        <v>8.0</v>
      </c>
      <c r="C352" s="59" t="s">
        <v>976</v>
      </c>
      <c r="D352" s="16"/>
      <c r="E352" s="26" t="s">
        <v>71</v>
      </c>
      <c r="F352" s="16"/>
      <c r="G352" s="26" t="s">
        <v>772</v>
      </c>
      <c r="H352" s="16"/>
      <c r="I352" s="26" t="s">
        <v>412</v>
      </c>
      <c r="J352" s="16"/>
      <c r="K352" s="26" t="s">
        <v>671</v>
      </c>
      <c r="L352" s="16"/>
      <c r="M352" s="26" t="s">
        <v>672</v>
      </c>
      <c r="N352" s="16"/>
      <c r="O352" s="26" t="s">
        <v>132</v>
      </c>
      <c r="P352" s="16"/>
      <c r="Q352" s="25" t="s">
        <v>74</v>
      </c>
      <c r="R352" s="16"/>
      <c r="S352" s="26" t="s">
        <v>75</v>
      </c>
      <c r="T352" s="16"/>
      <c r="U352" s="60" t="s">
        <v>977</v>
      </c>
      <c r="V352" s="3"/>
      <c r="W352" s="3"/>
      <c r="X352" s="16"/>
    </row>
    <row r="353">
      <c r="B353" s="57">
        <v>8.0</v>
      </c>
      <c r="C353" s="30" t="s">
        <v>978</v>
      </c>
      <c r="D353" s="21"/>
      <c r="E353" s="32" t="s">
        <v>71</v>
      </c>
      <c r="F353" s="21"/>
      <c r="G353" s="31" t="s">
        <v>883</v>
      </c>
      <c r="H353" s="21"/>
      <c r="I353" s="31" t="s">
        <v>133</v>
      </c>
      <c r="J353" s="21"/>
      <c r="K353" s="31" t="str">
        <f>CONCAT("Close: ", CONCAT(25+(5*FLOOR(Level/2,1)), " ft"))</f>
        <v>Close: 55 ft</v>
      </c>
      <c r="L353" s="21"/>
      <c r="M353" s="31" t="str">
        <f>CONCAT("One location (up to ",CONCAT(Level, " ten ft cubes, 1 cube/level) or one object"))</f>
        <v>One location (up to 13 ten ft cubes, 1 cube/level) or one object</v>
      </c>
      <c r="N353" s="21"/>
      <c r="O353" s="31" t="str">
        <f>CONCAT(Level*2, " hours (D)
2 hours/level")</f>
        <v>26 hours (D)
2 hours/level</v>
      </c>
      <c r="P353" s="21"/>
      <c r="Q353" s="31" t="s">
        <v>288</v>
      </c>
      <c r="R353" s="21"/>
      <c r="S353" s="31" t="s">
        <v>75</v>
      </c>
      <c r="T353" s="21"/>
      <c r="U353" s="33" t="s">
        <v>979</v>
      </c>
      <c r="V353" s="9"/>
      <c r="W353" s="9"/>
      <c r="X353" s="21"/>
    </row>
    <row r="354">
      <c r="B354" s="23">
        <v>8.0</v>
      </c>
      <c r="C354" s="59" t="s">
        <v>980</v>
      </c>
      <c r="D354" s="16"/>
      <c r="E354" s="26" t="s">
        <v>207</v>
      </c>
      <c r="F354" s="16"/>
      <c r="G354" s="26" t="s">
        <v>65</v>
      </c>
      <c r="H354" s="16"/>
      <c r="I354" s="26" t="s">
        <v>41</v>
      </c>
      <c r="J354" s="16"/>
      <c r="K354" s="26" t="str">
        <f>medium</f>
        <v>Medium: 230 ft</v>
      </c>
      <c r="L354" s="16"/>
      <c r="M354" s="26" t="s">
        <v>676</v>
      </c>
      <c r="N354" s="16"/>
      <c r="O354" s="26" t="str">
        <f>Level&amp;" rounds (D)
1 round/level"</f>
        <v>13 rounds (D)
1 round/level</v>
      </c>
      <c r="P354" s="16"/>
      <c r="Q354" s="26" t="s">
        <v>53</v>
      </c>
      <c r="R354" s="16"/>
      <c r="S354" s="26" t="s">
        <v>75</v>
      </c>
      <c r="T354" s="16"/>
      <c r="U354" s="60" t="s">
        <v>981</v>
      </c>
      <c r="V354" s="3"/>
      <c r="W354" s="3"/>
      <c r="X354" s="16"/>
    </row>
    <row r="355">
      <c r="B355" s="57">
        <v>8.0</v>
      </c>
      <c r="C355" s="58" t="s">
        <v>982</v>
      </c>
      <c r="D355" s="21"/>
      <c r="E355" s="32" t="s">
        <v>92</v>
      </c>
      <c r="F355" s="21"/>
      <c r="G355" s="32" t="s">
        <v>65</v>
      </c>
      <c r="H355" s="21"/>
      <c r="I355" s="32" t="s">
        <v>41</v>
      </c>
      <c r="J355" s="21"/>
      <c r="K355" s="32" t="str">
        <f>close</f>
        <v>Close: 55 ft</v>
      </c>
      <c r="L355" s="21"/>
      <c r="M355" s="32" t="s">
        <v>93</v>
      </c>
      <c r="N355" s="21"/>
      <c r="O355" s="32" t="s">
        <v>52</v>
      </c>
      <c r="P355" s="21"/>
      <c r="Q355" s="32" t="s">
        <v>53</v>
      </c>
      <c r="R355" s="21"/>
      <c r="S355" s="32" t="s">
        <v>75</v>
      </c>
      <c r="T355" s="21"/>
      <c r="U355" s="53" t="str">
        <f>"Ranged touch attack deals "&amp;MIN(Level,25)&amp;"d6 cold damage,1d6/level"</f>
        <v>Ranged touch attack deals 13d6 cold damage,1d6/level</v>
      </c>
      <c r="V355" s="9"/>
      <c r="W355" s="9"/>
      <c r="X355" s="21"/>
    </row>
    <row r="356">
      <c r="B356" s="23">
        <v>8.0</v>
      </c>
      <c r="C356" s="24" t="s">
        <v>983</v>
      </c>
      <c r="D356" s="16"/>
      <c r="E356" s="26" t="s">
        <v>320</v>
      </c>
      <c r="F356" s="16"/>
      <c r="G356" s="25" t="s">
        <v>65</v>
      </c>
      <c r="H356" s="16"/>
      <c r="I356" s="25" t="s">
        <v>41</v>
      </c>
      <c r="J356" s="16"/>
      <c r="K356" s="25" t="s">
        <v>58</v>
      </c>
      <c r="L356" s="16"/>
      <c r="M356" s="25" t="s">
        <v>204</v>
      </c>
      <c r="N356" s="16"/>
      <c r="O356" s="25" t="s">
        <v>52</v>
      </c>
      <c r="P356" s="16"/>
      <c r="Q356" s="25" t="s">
        <v>571</v>
      </c>
      <c r="R356" s="16"/>
      <c r="S356" s="25" t="s">
        <v>123</v>
      </c>
      <c r="T356" s="16"/>
      <c r="U356" s="27" t="s">
        <v>984</v>
      </c>
      <c r="V356" s="3"/>
      <c r="W356" s="3"/>
      <c r="X356" s="16"/>
    </row>
    <row r="357">
      <c r="B357" s="57">
        <v>8.0</v>
      </c>
      <c r="C357" s="30" t="s">
        <v>985</v>
      </c>
      <c r="D357" s="21"/>
      <c r="E357" s="32" t="s">
        <v>78</v>
      </c>
      <c r="F357" s="21"/>
      <c r="G357" s="32" t="s">
        <v>40</v>
      </c>
      <c r="H357" s="21"/>
      <c r="I357" s="31" t="s">
        <v>41</v>
      </c>
      <c r="J357" s="21"/>
      <c r="K357" s="31" t="str">
        <f>CONCAT("Long: ", CONCAT(400+(40*Level), " ft"))</f>
        <v>Long: 920 ft</v>
      </c>
      <c r="L357" s="21"/>
      <c r="M357" s="31" t="s">
        <v>986</v>
      </c>
      <c r="N357" s="21"/>
      <c r="O357" s="31" t="s">
        <v>52</v>
      </c>
      <c r="P357" s="21"/>
      <c r="Q357" s="31" t="s">
        <v>987</v>
      </c>
      <c r="R357" s="21"/>
      <c r="S357" s="31" t="s">
        <v>75</v>
      </c>
      <c r="T357" s="21"/>
      <c r="U357" s="33" t="s">
        <v>988</v>
      </c>
      <c r="V357" s="9"/>
      <c r="W357" s="9"/>
      <c r="X357" s="21"/>
    </row>
    <row r="358">
      <c r="B358" s="23">
        <v>8.0</v>
      </c>
      <c r="C358" s="59" t="s">
        <v>989</v>
      </c>
      <c r="D358" s="16"/>
      <c r="E358" s="26" t="s">
        <v>207</v>
      </c>
      <c r="F358" s="16"/>
      <c r="G358" s="26" t="s">
        <v>40</v>
      </c>
      <c r="H358" s="16"/>
      <c r="I358" s="25" t="s">
        <v>41</v>
      </c>
      <c r="J358" s="16"/>
      <c r="K358" s="25" t="str">
        <f>close</f>
        <v>Close: 55 ft</v>
      </c>
      <c r="L358" s="16"/>
      <c r="M358" s="25" t="str">
        <f>Level&amp;" ft diameter sphere, 1 ft/level, centered around creatures or objects"</f>
        <v>13 ft diameter sphere, 1 ft/level, centered around creatures or objects</v>
      </c>
      <c r="N358" s="16"/>
      <c r="O358" s="25" t="str">
        <f>Level&amp;" minutes (D)
1 minute/level"</f>
        <v>13 minutes (D)
1 minute/level</v>
      </c>
      <c r="P358" s="16"/>
      <c r="Q358" s="26" t="s">
        <v>990</v>
      </c>
      <c r="R358" s="16"/>
      <c r="S358" s="26" t="s">
        <v>123</v>
      </c>
      <c r="T358" s="16"/>
      <c r="U358" s="60" t="s">
        <v>991</v>
      </c>
      <c r="V358" s="3"/>
      <c r="W358" s="3"/>
      <c r="X358" s="16"/>
    </row>
    <row r="359">
      <c r="B359" s="57">
        <v>8.0</v>
      </c>
      <c r="C359" s="58" t="s">
        <v>992</v>
      </c>
      <c r="D359" s="21"/>
      <c r="E359" s="32" t="s">
        <v>213</v>
      </c>
      <c r="F359" s="21"/>
      <c r="G359" s="32" t="s">
        <v>40</v>
      </c>
      <c r="H359" s="21"/>
      <c r="I359" s="31" t="s">
        <v>41</v>
      </c>
      <c r="J359" s="21"/>
      <c r="K359" s="31" t="str">
        <f>close</f>
        <v>Close: 55 ft</v>
      </c>
      <c r="L359" s="21"/>
      <c r="M359" s="32" t="s">
        <v>993</v>
      </c>
      <c r="N359" s="21"/>
      <c r="O359" s="32" t="s">
        <v>329</v>
      </c>
      <c r="P359" s="21"/>
      <c r="Q359" s="32" t="s">
        <v>53</v>
      </c>
      <c r="R359" s="21"/>
      <c r="S359" s="32" t="s">
        <v>75</v>
      </c>
      <c r="T359" s="21"/>
      <c r="U359" s="53" t="s">
        <v>994</v>
      </c>
      <c r="V359" s="9"/>
      <c r="W359" s="9"/>
      <c r="X359" s="21"/>
    </row>
    <row r="360">
      <c r="B360" s="23">
        <v>8.0</v>
      </c>
      <c r="C360" s="59" t="s">
        <v>995</v>
      </c>
      <c r="D360" s="16"/>
      <c r="E360" s="26" t="s">
        <v>217</v>
      </c>
      <c r="F360" s="16"/>
      <c r="G360" s="26" t="s">
        <v>50</v>
      </c>
      <c r="H360" s="16"/>
      <c r="I360" s="26" t="s">
        <v>412</v>
      </c>
      <c r="J360" s="16"/>
      <c r="K360" s="25" t="str">
        <f>close</f>
        <v>Close: 55 ft</v>
      </c>
      <c r="L360" s="16"/>
      <c r="M360" s="26" t="str">
        <f>Level&amp;" thirty ft cubes, 1 cube/level"</f>
        <v>13 thirty ft cubes, 1 cube/level</v>
      </c>
      <c r="N360" s="16"/>
      <c r="O360" s="26" t="s">
        <v>138</v>
      </c>
      <c r="P360" s="16"/>
      <c r="Q360" s="26" t="s">
        <v>787</v>
      </c>
      <c r="R360" s="16"/>
      <c r="S360" s="26" t="s">
        <v>54</v>
      </c>
      <c r="T360" s="16"/>
      <c r="U360" s="60" t="s">
        <v>996</v>
      </c>
      <c r="V360" s="3"/>
      <c r="W360" s="3"/>
      <c r="X360" s="16"/>
    </row>
    <row r="361">
      <c r="B361" s="57">
        <v>8.0</v>
      </c>
      <c r="C361" s="58" t="s">
        <v>997</v>
      </c>
      <c r="D361" s="21"/>
      <c r="E361" s="32" t="s">
        <v>593</v>
      </c>
      <c r="F361" s="21"/>
      <c r="G361" s="31" t="s">
        <v>50</v>
      </c>
      <c r="H361" s="21"/>
      <c r="I361" s="31" t="s">
        <v>41</v>
      </c>
      <c r="J361" s="21"/>
      <c r="K361" s="31" t="s">
        <v>132</v>
      </c>
      <c r="L361" s="21"/>
      <c r="M361" s="31" t="s">
        <v>132</v>
      </c>
      <c r="N361" s="21"/>
      <c r="O361" s="31" t="s">
        <v>132</v>
      </c>
      <c r="P361" s="21"/>
      <c r="Q361" s="31" t="s">
        <v>98</v>
      </c>
      <c r="R361" s="21"/>
      <c r="S361" s="31" t="s">
        <v>75</v>
      </c>
      <c r="T361" s="21"/>
      <c r="U361" s="53" t="s">
        <v>998</v>
      </c>
      <c r="V361" s="9"/>
      <c r="W361" s="9"/>
      <c r="X361" s="21"/>
    </row>
    <row r="362">
      <c r="B362" s="23">
        <v>8.0</v>
      </c>
      <c r="C362" s="59" t="s">
        <v>999</v>
      </c>
      <c r="D362" s="16"/>
      <c r="E362" s="26" t="s">
        <v>101</v>
      </c>
      <c r="F362" s="16"/>
      <c r="G362" s="26" t="s">
        <v>1000</v>
      </c>
      <c r="H362" s="16"/>
      <c r="I362" s="26" t="s">
        <v>412</v>
      </c>
      <c r="J362" s="16"/>
      <c r="K362" s="26" t="s">
        <v>127</v>
      </c>
      <c r="L362" s="16"/>
      <c r="M362" s="26" t="s">
        <v>1001</v>
      </c>
      <c r="N362" s="16"/>
      <c r="O362" s="26" t="s">
        <v>52</v>
      </c>
      <c r="P362" s="16"/>
      <c r="Q362" s="26" t="s">
        <v>53</v>
      </c>
      <c r="R362" s="16"/>
      <c r="S362" s="26" t="s">
        <v>54</v>
      </c>
      <c r="T362" s="16"/>
      <c r="U362" s="60" t="s">
        <v>1002</v>
      </c>
      <c r="V362" s="3"/>
      <c r="W362" s="3"/>
      <c r="X362" s="16"/>
    </row>
    <row r="363">
      <c r="B363" s="57">
        <v>8.0</v>
      </c>
      <c r="C363" s="58" t="s">
        <v>1003</v>
      </c>
      <c r="D363" s="21"/>
      <c r="E363" s="32" t="s">
        <v>598</v>
      </c>
      <c r="F363" s="21"/>
      <c r="G363" s="32" t="s">
        <v>804</v>
      </c>
      <c r="H363" s="21"/>
      <c r="I363" s="32" t="s">
        <v>133</v>
      </c>
      <c r="J363" s="21"/>
      <c r="K363" s="31" t="str">
        <f>close</f>
        <v>Close: 55 ft</v>
      </c>
      <c r="L363" s="21"/>
      <c r="M363" s="32" t="s">
        <v>805</v>
      </c>
      <c r="N363" s="21"/>
      <c r="O363" s="32" t="s">
        <v>52</v>
      </c>
      <c r="P363" s="21"/>
      <c r="Q363" s="32" t="s">
        <v>53</v>
      </c>
      <c r="R363" s="21"/>
      <c r="S363" s="32" t="s">
        <v>54</v>
      </c>
      <c r="T363" s="21"/>
      <c r="U363" s="53" t="s">
        <v>1004</v>
      </c>
      <c r="V363" s="9"/>
      <c r="W363" s="9"/>
      <c r="X363" s="21"/>
    </row>
    <row r="364">
      <c r="B364" s="23">
        <v>8.0</v>
      </c>
      <c r="C364" s="59" t="s">
        <v>1005</v>
      </c>
      <c r="D364" s="16"/>
      <c r="E364" s="26" t="s">
        <v>101</v>
      </c>
      <c r="F364" s="16"/>
      <c r="G364" s="26" t="s">
        <v>40</v>
      </c>
      <c r="H364" s="16"/>
      <c r="I364" s="26" t="s">
        <v>41</v>
      </c>
      <c r="J364" s="16"/>
      <c r="K364" s="25" t="str">
        <f>long</f>
        <v>Long: 920 ft</v>
      </c>
      <c r="L364" s="16"/>
      <c r="M364" s="26" t="s">
        <v>1006</v>
      </c>
      <c r="N364" s="16"/>
      <c r="O364" s="26" t="s">
        <v>52</v>
      </c>
      <c r="P364" s="16"/>
      <c r="Q364" s="26" t="s">
        <v>1007</v>
      </c>
      <c r="R364" s="16"/>
      <c r="S364" s="26" t="s">
        <v>75</v>
      </c>
      <c r="T364" s="16"/>
      <c r="U364" s="60" t="str">
        <f>"Deals "&amp;MIN(Level, 20)&amp;"d6 damage within 30 ft, 1d6/level"</f>
        <v>Deals 13d6 damage within 30 ft, 1d6/level</v>
      </c>
      <c r="V364" s="3"/>
      <c r="W364" s="3"/>
      <c r="X364" s="16"/>
    </row>
    <row r="365">
      <c r="B365" s="57">
        <v>8.0</v>
      </c>
      <c r="C365" s="58" t="s">
        <v>1008</v>
      </c>
      <c r="D365" s="21"/>
      <c r="E365" s="32" t="s">
        <v>801</v>
      </c>
      <c r="F365" s="21"/>
      <c r="G365" s="32" t="s">
        <v>772</v>
      </c>
      <c r="H365" s="21"/>
      <c r="I365" s="32" t="s">
        <v>412</v>
      </c>
      <c r="J365" s="21"/>
      <c r="K365" s="32" t="s">
        <v>671</v>
      </c>
      <c r="L365" s="21"/>
      <c r="M365" s="32" t="s">
        <v>672</v>
      </c>
      <c r="N365" s="21"/>
      <c r="O365" s="32" t="s">
        <v>132</v>
      </c>
      <c r="P365" s="21"/>
      <c r="Q365" s="32" t="s">
        <v>85</v>
      </c>
      <c r="R365" s="21"/>
      <c r="S365" s="32" t="s">
        <v>75</v>
      </c>
      <c r="T365" s="21"/>
      <c r="U365" s="53" t="s">
        <v>1009</v>
      </c>
      <c r="V365" s="9"/>
      <c r="W365" s="9"/>
      <c r="X365" s="21"/>
    </row>
    <row r="366">
      <c r="B366" s="23">
        <v>8.0</v>
      </c>
      <c r="C366" s="59" t="s">
        <v>1010</v>
      </c>
      <c r="D366" s="16"/>
      <c r="E366" s="26" t="s">
        <v>107</v>
      </c>
      <c r="F366" s="16"/>
      <c r="G366" s="26" t="s">
        <v>40</v>
      </c>
      <c r="H366" s="16"/>
      <c r="I366" s="26" t="s">
        <v>41</v>
      </c>
      <c r="J366" s="16"/>
      <c r="K366" s="26" t="s">
        <v>66</v>
      </c>
      <c r="L366" s="16"/>
      <c r="M366" s="26" t="s">
        <v>67</v>
      </c>
      <c r="N366" s="16"/>
      <c r="O366" s="26" t="str">
        <f>Level&amp;" minutes (D)
1 minute/level"</f>
        <v>13 minutes (D)
1 minute/level</v>
      </c>
      <c r="P366" s="16"/>
      <c r="Q366" s="26" t="s">
        <v>68</v>
      </c>
      <c r="R366" s="16"/>
      <c r="S366" s="26" t="s">
        <v>68</v>
      </c>
      <c r="T366" s="16"/>
      <c r="U366" s="60" t="s">
        <v>1011</v>
      </c>
      <c r="V366" s="3"/>
      <c r="W366" s="3"/>
      <c r="X366" s="16"/>
    </row>
    <row r="367">
      <c r="B367" s="57">
        <v>8.0</v>
      </c>
      <c r="C367" s="58" t="s">
        <v>1012</v>
      </c>
      <c r="D367" s="21"/>
      <c r="E367" s="32" t="s">
        <v>107</v>
      </c>
      <c r="F367" s="21"/>
      <c r="G367" s="32" t="s">
        <v>40</v>
      </c>
      <c r="H367" s="21"/>
      <c r="I367" s="32" t="s">
        <v>41</v>
      </c>
      <c r="J367" s="21"/>
      <c r="K367" s="32" t="str">
        <f>close</f>
        <v>Close: 55 ft</v>
      </c>
      <c r="L367" s="21"/>
      <c r="M367" s="32" t="str">
        <f>"One creature, or one nonmagical object of up to "&amp;Level*100&amp;" cu ft, 100 cu ft/level"</f>
        <v>One creature, or one nonmagical object of up to 1300 cu ft, 100 cu ft/level</v>
      </c>
      <c r="N367" s="21"/>
      <c r="O367" s="32" t="s">
        <v>132</v>
      </c>
      <c r="P367" s="21"/>
      <c r="Q367" s="32" t="s">
        <v>1013</v>
      </c>
      <c r="R367" s="21"/>
      <c r="S367" s="32" t="s">
        <v>1014</v>
      </c>
      <c r="T367" s="21"/>
      <c r="U367" s="53" t="s">
        <v>1015</v>
      </c>
      <c r="V367" s="9"/>
      <c r="W367" s="9"/>
      <c r="X367" s="21"/>
    </row>
    <row r="368">
      <c r="B368" s="23">
        <v>8.0</v>
      </c>
      <c r="C368" s="59" t="s">
        <v>1016</v>
      </c>
      <c r="D368" s="16"/>
      <c r="E368" s="26" t="s">
        <v>107</v>
      </c>
      <c r="F368" s="16"/>
      <c r="G368" s="26" t="s">
        <v>772</v>
      </c>
      <c r="H368" s="16"/>
      <c r="I368" s="26" t="s">
        <v>41</v>
      </c>
      <c r="J368" s="16"/>
      <c r="K368" s="26" t="s">
        <v>42</v>
      </c>
      <c r="L368" s="16"/>
      <c r="M368" s="26" t="s">
        <v>104</v>
      </c>
      <c r="N368" s="16"/>
      <c r="O368" s="26" t="s">
        <v>129</v>
      </c>
      <c r="P368" s="16"/>
      <c r="Q368" s="26" t="s">
        <v>85</v>
      </c>
      <c r="R368" s="16"/>
      <c r="S368" s="26" t="s">
        <v>75</v>
      </c>
      <c r="T368" s="16"/>
      <c r="U368" s="60" t="s">
        <v>1017</v>
      </c>
      <c r="V368" s="3"/>
      <c r="W368" s="3"/>
      <c r="X368" s="16"/>
    </row>
    <row r="369">
      <c r="B369" s="57">
        <v>9.0</v>
      </c>
      <c r="C369" s="58" t="s">
        <v>1018</v>
      </c>
      <c r="D369" s="21"/>
      <c r="E369" s="32" t="s">
        <v>39</v>
      </c>
      <c r="F369" s="21"/>
      <c r="G369" s="32" t="s">
        <v>50</v>
      </c>
      <c r="H369" s="21"/>
      <c r="I369" s="31" t="s">
        <v>41</v>
      </c>
      <c r="J369" s="21"/>
      <c r="K369" s="31" t="str">
        <f>close</f>
        <v>Close: 55 ft</v>
      </c>
      <c r="L369" s="21"/>
      <c r="M369" s="32" t="s">
        <v>662</v>
      </c>
      <c r="N369" s="21"/>
      <c r="O369" s="32" t="s">
        <v>52</v>
      </c>
      <c r="P369" s="21"/>
      <c r="Q369" s="32" t="s">
        <v>45</v>
      </c>
      <c r="R369" s="21"/>
      <c r="S369" s="32" t="s">
        <v>75</v>
      </c>
      <c r="T369" s="21"/>
      <c r="U369" s="53" t="s">
        <v>1019</v>
      </c>
      <c r="V369" s="9"/>
      <c r="W369" s="9"/>
      <c r="X369" s="21"/>
    </row>
    <row r="370">
      <c r="B370" s="23">
        <v>9.0</v>
      </c>
      <c r="C370" s="59" t="s">
        <v>1020</v>
      </c>
      <c r="D370" s="16"/>
      <c r="E370" s="26" t="s">
        <v>39</v>
      </c>
      <c r="F370" s="16"/>
      <c r="G370" s="26" t="s">
        <v>50</v>
      </c>
      <c r="H370" s="16"/>
      <c r="I370" s="25" t="s">
        <v>41</v>
      </c>
      <c r="J370" s="16"/>
      <c r="K370" s="26" t="s">
        <v>42</v>
      </c>
      <c r="L370" s="16"/>
      <c r="M370" s="26" t="s">
        <v>104</v>
      </c>
      <c r="N370" s="16"/>
      <c r="O370" s="26" t="s">
        <v>52</v>
      </c>
      <c r="P370" s="16"/>
      <c r="Q370" s="26" t="s">
        <v>288</v>
      </c>
      <c r="R370" s="16"/>
      <c r="S370" s="26" t="s">
        <v>75</v>
      </c>
      <c r="T370" s="16"/>
      <c r="U370" s="60" t="s">
        <v>1021</v>
      </c>
      <c r="V370" s="3"/>
      <c r="W370" s="3"/>
      <c r="X370" s="16"/>
    </row>
    <row r="371">
      <c r="B371" s="57">
        <v>9.0</v>
      </c>
      <c r="C371" s="58" t="s">
        <v>1022</v>
      </c>
      <c r="D371" s="21"/>
      <c r="E371" s="32" t="s">
        <v>39</v>
      </c>
      <c r="F371" s="21"/>
      <c r="G371" s="32" t="s">
        <v>83</v>
      </c>
      <c r="H371" s="21"/>
      <c r="I371" s="31" t="s">
        <v>41</v>
      </c>
      <c r="J371" s="21"/>
      <c r="K371" s="32" t="str">
        <f>close</f>
        <v>Close: 55 ft</v>
      </c>
      <c r="L371" s="21"/>
      <c r="M371" s="32" t="s">
        <v>1023</v>
      </c>
      <c r="N371" s="21"/>
      <c r="O371" s="32" t="s">
        <v>52</v>
      </c>
      <c r="P371" s="21"/>
      <c r="Q371" s="32" t="s">
        <v>122</v>
      </c>
      <c r="R371" s="21"/>
      <c r="S371" s="32" t="s">
        <v>54</v>
      </c>
      <c r="T371" s="21"/>
      <c r="U371" s="53" t="s">
        <v>1024</v>
      </c>
      <c r="V371" s="9"/>
      <c r="W371" s="9"/>
      <c r="X371" s="21"/>
    </row>
    <row r="372">
      <c r="B372" s="23">
        <v>9.0</v>
      </c>
      <c r="C372" s="59" t="s">
        <v>1025</v>
      </c>
      <c r="D372" s="16"/>
      <c r="E372" s="26" t="s">
        <v>39</v>
      </c>
      <c r="F372" s="16"/>
      <c r="G372" s="26" t="s">
        <v>83</v>
      </c>
      <c r="H372" s="16"/>
      <c r="I372" s="26" t="s">
        <v>41</v>
      </c>
      <c r="J372" s="16"/>
      <c r="K372" s="26" t="s">
        <v>112</v>
      </c>
      <c r="L372" s="16"/>
      <c r="M372" s="26" t="s">
        <v>1026</v>
      </c>
      <c r="N372" s="16"/>
      <c r="O372" s="26" t="str">
        <f>Level*10&amp;" minutes (D)
10 minutes/level"</f>
        <v>130 minutes (D)
10 minutes/level</v>
      </c>
      <c r="P372" s="16"/>
      <c r="Q372" s="26" t="s">
        <v>132</v>
      </c>
      <c r="R372" s="16"/>
      <c r="S372" s="26" t="s">
        <v>132</v>
      </c>
      <c r="T372" s="16"/>
      <c r="U372" s="60" t="s">
        <v>1027</v>
      </c>
      <c r="V372" s="3"/>
      <c r="W372" s="3"/>
      <c r="X372" s="16"/>
    </row>
    <row r="373">
      <c r="B373" s="57">
        <v>9.0</v>
      </c>
      <c r="C373" s="58" t="s">
        <v>1028</v>
      </c>
      <c r="D373" s="21"/>
      <c r="E373" s="32" t="s">
        <v>1029</v>
      </c>
      <c r="F373" s="21"/>
      <c r="G373" s="32" t="s">
        <v>1030</v>
      </c>
      <c r="H373" s="21"/>
      <c r="I373" s="32" t="s">
        <v>41</v>
      </c>
      <c r="J373" s="21"/>
      <c r="K373" s="32" t="str">
        <f>medium</f>
        <v>Medium: 230 ft</v>
      </c>
      <c r="L373" s="21"/>
      <c r="M373" s="32" t="s">
        <v>132</v>
      </c>
      <c r="N373" s="21"/>
      <c r="O373" s="32" t="str">
        <f>"Instantaneous
or
Concentration (up to "&amp;Level&amp;" rounds, 1 round/level), see text"</f>
        <v>Instantaneous
or
Concentration (up to 13 rounds, 1 round/level), see text</v>
      </c>
      <c r="P373" s="21"/>
      <c r="Q373" s="32" t="s">
        <v>53</v>
      </c>
      <c r="R373" s="21"/>
      <c r="S373" s="32" t="s">
        <v>54</v>
      </c>
      <c r="T373" s="21"/>
      <c r="U373" s="53" t="s">
        <v>1031</v>
      </c>
      <c r="V373" s="9"/>
      <c r="W373" s="9"/>
      <c r="X373" s="21"/>
    </row>
    <row r="374">
      <c r="B374" s="23">
        <v>9.0</v>
      </c>
      <c r="C374" s="59" t="s">
        <v>1032</v>
      </c>
      <c r="D374" s="16"/>
      <c r="E374" s="26" t="s">
        <v>524</v>
      </c>
      <c r="F374" s="16"/>
      <c r="G374" s="26" t="s">
        <v>883</v>
      </c>
      <c r="H374" s="16"/>
      <c r="I374" s="26" t="s">
        <v>41</v>
      </c>
      <c r="J374" s="16"/>
      <c r="K374" s="26" t="s">
        <v>42</v>
      </c>
      <c r="L374" s="16"/>
      <c r="M374" s="26" t="s">
        <v>1033</v>
      </c>
      <c r="N374" s="16"/>
      <c r="O374" s="26" t="s">
        <v>337</v>
      </c>
      <c r="P374" s="16"/>
      <c r="Q374" s="26" t="s">
        <v>53</v>
      </c>
      <c r="R374" s="16"/>
      <c r="S374" s="26" t="s">
        <v>54</v>
      </c>
      <c r="T374" s="16"/>
      <c r="U374" s="60" t="s">
        <v>1034</v>
      </c>
      <c r="V374" s="3"/>
      <c r="W374" s="3"/>
      <c r="X374" s="16"/>
    </row>
    <row r="375">
      <c r="B375" s="57">
        <v>9.0</v>
      </c>
      <c r="C375" s="58" t="s">
        <v>1035</v>
      </c>
      <c r="D375" s="21"/>
      <c r="E375" s="32" t="s">
        <v>170</v>
      </c>
      <c r="F375" s="21"/>
      <c r="G375" s="31" t="s">
        <v>65</v>
      </c>
      <c r="H375" s="21"/>
      <c r="I375" s="31" t="s">
        <v>73</v>
      </c>
      <c r="J375" s="21"/>
      <c r="K375" s="31" t="str">
        <f>close</f>
        <v>Close: 55 ft</v>
      </c>
      <c r="L375" s="21"/>
      <c r="M375" s="31" t="s">
        <v>171</v>
      </c>
      <c r="N375" s="21"/>
      <c r="O375" s="31" t="str">
        <f>Level&amp;" rounds (D)
1 round/level"</f>
        <v>13 rounds (D)
1 round/level</v>
      </c>
      <c r="P375" s="21"/>
      <c r="Q375" s="31" t="s">
        <v>53</v>
      </c>
      <c r="R375" s="21"/>
      <c r="S375" s="31" t="s">
        <v>54</v>
      </c>
      <c r="T375" s="21"/>
      <c r="U375" s="33" t="s">
        <v>172</v>
      </c>
      <c r="V375" s="9"/>
      <c r="W375" s="9"/>
      <c r="X375" s="21"/>
    </row>
    <row r="376">
      <c r="B376" s="23">
        <v>9.0</v>
      </c>
      <c r="C376" s="59" t="s">
        <v>1036</v>
      </c>
      <c r="D376" s="16"/>
      <c r="E376" s="26" t="s">
        <v>524</v>
      </c>
      <c r="F376" s="16"/>
      <c r="G376" s="26" t="s">
        <v>1037</v>
      </c>
      <c r="H376" s="16"/>
      <c r="I376" s="26" t="s">
        <v>412</v>
      </c>
      <c r="J376" s="16"/>
      <c r="K376" s="26" t="s">
        <v>127</v>
      </c>
      <c r="L376" s="16"/>
      <c r="M376" s="26" t="s">
        <v>1038</v>
      </c>
      <c r="N376" s="16"/>
      <c r="O376" s="25" t="str">
        <f>Level*10&amp;" minutes (D)
10 minutes/level"</f>
        <v>130 minutes (D)
10 minutes/level</v>
      </c>
      <c r="P376" s="16"/>
      <c r="Q376" s="25" t="s">
        <v>53</v>
      </c>
      <c r="R376" s="16"/>
      <c r="S376" s="26" t="s">
        <v>75</v>
      </c>
      <c r="T376" s="16"/>
      <c r="U376" s="60" t="s">
        <v>1039</v>
      </c>
      <c r="V376" s="3"/>
      <c r="W376" s="3"/>
      <c r="X376" s="16"/>
    </row>
    <row r="377">
      <c r="B377" s="57">
        <v>9.0</v>
      </c>
      <c r="C377" s="30" t="s">
        <v>1040</v>
      </c>
      <c r="D377" s="21"/>
      <c r="E377" s="31" t="s">
        <v>57</v>
      </c>
      <c r="F377" s="21"/>
      <c r="G377" s="32" t="s">
        <v>40</v>
      </c>
      <c r="H377" s="21"/>
      <c r="I377" s="31" t="s">
        <v>41</v>
      </c>
      <c r="J377" s="21"/>
      <c r="K377" s="31" t="s">
        <v>331</v>
      </c>
      <c r="L377" s="21"/>
      <c r="M377" s="31" t="s">
        <v>132</v>
      </c>
      <c r="N377" s="21"/>
      <c r="O377" s="31" t="str">
        <f>CONCAT(Level*10, " minutes
10 minutes/level")</f>
        <v>130 minutes
10 minutes/level</v>
      </c>
      <c r="P377" s="21"/>
      <c r="Q377" s="31" t="s">
        <v>1041</v>
      </c>
      <c r="R377" s="21"/>
      <c r="S377" s="31" t="s">
        <v>1042</v>
      </c>
      <c r="T377" s="21"/>
      <c r="U377" s="33" t="s">
        <v>1043</v>
      </c>
      <c r="V377" s="9"/>
      <c r="W377" s="9"/>
      <c r="X377" s="21"/>
    </row>
    <row r="378">
      <c r="B378" s="23">
        <v>9.0</v>
      </c>
      <c r="C378" s="59" t="s">
        <v>1044</v>
      </c>
      <c r="D378" s="16"/>
      <c r="E378" s="26" t="s">
        <v>71</v>
      </c>
      <c r="F378" s="16"/>
      <c r="G378" s="25" t="s">
        <v>50</v>
      </c>
      <c r="H378" s="16"/>
      <c r="I378" s="25" t="s">
        <v>73</v>
      </c>
      <c r="J378" s="16"/>
      <c r="K378" s="25" t="str">
        <f>close</f>
        <v>Close: 55 ft</v>
      </c>
      <c r="L378" s="16"/>
      <c r="M378" s="26" t="s">
        <v>662</v>
      </c>
      <c r="N378" s="16"/>
      <c r="O378" s="25" t="str">
        <f>Level&amp;" days (D)
1 day/level"</f>
        <v>13 days (D)
1 day/level</v>
      </c>
      <c r="P378" s="16"/>
      <c r="Q378" s="25" t="s">
        <v>74</v>
      </c>
      <c r="R378" s="16"/>
      <c r="S378" s="25" t="s">
        <v>75</v>
      </c>
      <c r="T378" s="16"/>
      <c r="U378" s="60" t="s">
        <v>1045</v>
      </c>
      <c r="V378" s="3"/>
      <c r="W378" s="3"/>
      <c r="X378" s="16"/>
    </row>
    <row r="379">
      <c r="B379" s="57">
        <v>9.0</v>
      </c>
      <c r="C379" s="58" t="s">
        <v>1046</v>
      </c>
      <c r="D379" s="21"/>
      <c r="E379" s="32" t="s">
        <v>71</v>
      </c>
      <c r="F379" s="21"/>
      <c r="G379" s="31" t="s">
        <v>40</v>
      </c>
      <c r="H379" s="21"/>
      <c r="I379" s="31" t="s">
        <v>41</v>
      </c>
      <c r="J379" s="21"/>
      <c r="K379" s="31" t="str">
        <f>medium</f>
        <v>Medium: 230 ft</v>
      </c>
      <c r="L379" s="21"/>
      <c r="M379" s="32" t="s">
        <v>798</v>
      </c>
      <c r="N379" s="21"/>
      <c r="O379" s="31" t="str">
        <f>Level&amp;" rounds, see text (D)
1 round/level"</f>
        <v>13 rounds, see text (D)
1 round/level</v>
      </c>
      <c r="P379" s="21"/>
      <c r="Q379" s="31" t="s">
        <v>288</v>
      </c>
      <c r="R379" s="21"/>
      <c r="S379" s="31" t="s">
        <v>75</v>
      </c>
      <c r="T379" s="21"/>
      <c r="U379" s="53" t="s">
        <v>1047</v>
      </c>
      <c r="V379" s="9"/>
      <c r="W379" s="9"/>
      <c r="X379" s="21"/>
    </row>
    <row r="380">
      <c r="B380" s="23">
        <v>9.0</v>
      </c>
      <c r="C380" s="59" t="s">
        <v>1048</v>
      </c>
      <c r="D380" s="16"/>
      <c r="E380" s="26" t="s">
        <v>71</v>
      </c>
      <c r="F380" s="16"/>
      <c r="G380" s="26" t="s">
        <v>83</v>
      </c>
      <c r="H380" s="16"/>
      <c r="I380" s="25" t="s">
        <v>41</v>
      </c>
      <c r="J380" s="16"/>
      <c r="K380" s="25" t="str">
        <f>close</f>
        <v>Close: 55 ft</v>
      </c>
      <c r="L380" s="16"/>
      <c r="M380" s="26" t="s">
        <v>1049</v>
      </c>
      <c r="N380" s="16"/>
      <c r="O380" s="26" t="s">
        <v>52</v>
      </c>
      <c r="P380" s="16"/>
      <c r="Q380" s="26" t="s">
        <v>53</v>
      </c>
      <c r="R380" s="16"/>
      <c r="S380" s="25" t="s">
        <v>75</v>
      </c>
      <c r="T380" s="16"/>
      <c r="U380" s="60" t="s">
        <v>1050</v>
      </c>
      <c r="V380" s="3"/>
      <c r="W380" s="3"/>
      <c r="X380" s="16"/>
    </row>
    <row r="381">
      <c r="B381" s="57">
        <v>9.0</v>
      </c>
      <c r="C381" s="58" t="s">
        <v>1051</v>
      </c>
      <c r="D381" s="21"/>
      <c r="E381" s="32" t="s">
        <v>207</v>
      </c>
      <c r="F381" s="21"/>
      <c r="G381" s="32" t="s">
        <v>267</v>
      </c>
      <c r="H381" s="21"/>
      <c r="I381" s="32" t="s">
        <v>41</v>
      </c>
      <c r="J381" s="21"/>
      <c r="K381" s="32" t="str">
        <f>medium</f>
        <v>Medium: 230 ft</v>
      </c>
      <c r="L381" s="21"/>
      <c r="M381" s="32" t="s">
        <v>676</v>
      </c>
      <c r="N381" s="21"/>
      <c r="O381" s="32" t="str">
        <f>Level&amp;" rounds (D)
1 round/level"</f>
        <v>13 rounds (D)
1 round/level</v>
      </c>
      <c r="P381" s="21"/>
      <c r="Q381" s="32" t="s">
        <v>53</v>
      </c>
      <c r="R381" s="21"/>
      <c r="S381" s="32" t="s">
        <v>75</v>
      </c>
      <c r="T381" s="21"/>
      <c r="U381" s="53" t="s">
        <v>1052</v>
      </c>
      <c r="V381" s="9"/>
      <c r="W381" s="9"/>
      <c r="X381" s="21"/>
    </row>
    <row r="382">
      <c r="B382" s="23">
        <v>9.0</v>
      </c>
      <c r="C382" s="59" t="s">
        <v>1053</v>
      </c>
      <c r="D382" s="16"/>
      <c r="E382" s="26" t="s">
        <v>202</v>
      </c>
      <c r="F382" s="16"/>
      <c r="G382" s="26" t="s">
        <v>50</v>
      </c>
      <c r="H382" s="16"/>
      <c r="I382" s="26" t="s">
        <v>41</v>
      </c>
      <c r="J382" s="16"/>
      <c r="K382" s="26" t="str">
        <f>long</f>
        <v>Long: 920 ft</v>
      </c>
      <c r="L382" s="16"/>
      <c r="M382" s="26" t="s">
        <v>1054</v>
      </c>
      <c r="N382" s="16"/>
      <c r="O382" s="26" t="s">
        <v>52</v>
      </c>
      <c r="P382" s="16"/>
      <c r="Q382" s="26" t="s">
        <v>1055</v>
      </c>
      <c r="R382" s="16"/>
      <c r="S382" s="26" t="s">
        <v>75</v>
      </c>
      <c r="T382" s="16"/>
      <c r="U382" s="60" t="s">
        <v>1056</v>
      </c>
      <c r="V382" s="3"/>
      <c r="W382" s="3"/>
      <c r="X382" s="16"/>
    </row>
    <row r="383">
      <c r="B383" s="57">
        <v>9.0</v>
      </c>
      <c r="C383" s="58" t="s">
        <v>1057</v>
      </c>
      <c r="D383" s="21"/>
      <c r="E383" s="32" t="s">
        <v>593</v>
      </c>
      <c r="F383" s="21"/>
      <c r="G383" s="31" t="s">
        <v>50</v>
      </c>
      <c r="H383" s="21"/>
      <c r="I383" s="31" t="s">
        <v>41</v>
      </c>
      <c r="J383" s="21"/>
      <c r="K383" s="31" t="s">
        <v>132</v>
      </c>
      <c r="L383" s="21"/>
      <c r="M383" s="31" t="s">
        <v>132</v>
      </c>
      <c r="N383" s="21"/>
      <c r="O383" s="31" t="s">
        <v>132</v>
      </c>
      <c r="P383" s="21"/>
      <c r="Q383" s="31" t="s">
        <v>594</v>
      </c>
      <c r="R383" s="21"/>
      <c r="S383" s="31" t="s">
        <v>595</v>
      </c>
      <c r="T383" s="21"/>
      <c r="U383" s="53" t="s">
        <v>1058</v>
      </c>
      <c r="V383" s="9"/>
      <c r="W383" s="9"/>
      <c r="X383" s="21"/>
    </row>
    <row r="384">
      <c r="B384" s="23">
        <v>9.0</v>
      </c>
      <c r="C384" s="59" t="s">
        <v>1059</v>
      </c>
      <c r="D384" s="16"/>
      <c r="E384" s="26" t="s">
        <v>585</v>
      </c>
      <c r="F384" s="16"/>
      <c r="G384" s="25" t="s">
        <v>50</v>
      </c>
      <c r="H384" s="16"/>
      <c r="I384" s="25" t="s">
        <v>41</v>
      </c>
      <c r="J384" s="16"/>
      <c r="K384" s="25" t="str">
        <f>medium</f>
        <v>Medium: 230 ft</v>
      </c>
      <c r="L384" s="16"/>
      <c r="M384" s="26" t="s">
        <v>1060</v>
      </c>
      <c r="N384" s="16"/>
      <c r="O384" s="25" t="s">
        <v>52</v>
      </c>
      <c r="P384" s="16"/>
      <c r="Q384" s="25" t="s">
        <v>586</v>
      </c>
      <c r="R384" s="16"/>
      <c r="S384" s="25" t="s">
        <v>46</v>
      </c>
      <c r="T384" s="16"/>
      <c r="U384" s="60" t="s">
        <v>1061</v>
      </c>
      <c r="V384" s="3"/>
      <c r="W384" s="3"/>
      <c r="X384" s="16"/>
    </row>
    <row r="385">
      <c r="B385" s="57">
        <v>9.0</v>
      </c>
      <c r="C385" s="58" t="s">
        <v>1062</v>
      </c>
      <c r="D385" s="21"/>
      <c r="E385" s="32" t="s">
        <v>101</v>
      </c>
      <c r="F385" s="21"/>
      <c r="G385" s="32" t="s">
        <v>1063</v>
      </c>
      <c r="H385" s="21"/>
      <c r="I385" s="32" t="s">
        <v>742</v>
      </c>
      <c r="J385" s="21"/>
      <c r="K385" s="32" t="s">
        <v>42</v>
      </c>
      <c r="L385" s="21"/>
      <c r="M385" s="32" t="str">
        <f>"You plus "&amp;MIN(FLOOR(Level/2,1))&amp;" willing creatures touched, 1 additional creature per 2 caster levels"</f>
        <v>You plus 6 willing creatures touched, 1 additional creature per 2 caster levels</v>
      </c>
      <c r="N385" s="21"/>
      <c r="O385" s="32" t="s">
        <v>132</v>
      </c>
      <c r="P385" s="21"/>
      <c r="Q385" s="32" t="s">
        <v>53</v>
      </c>
      <c r="R385" s="21"/>
      <c r="S385" s="32" t="s">
        <v>75</v>
      </c>
      <c r="T385" s="21"/>
      <c r="U385" s="53" t="s">
        <v>1064</v>
      </c>
      <c r="V385" s="9"/>
      <c r="W385" s="9"/>
      <c r="X385" s="21"/>
    </row>
    <row r="386">
      <c r="B386" s="23">
        <v>9.0</v>
      </c>
      <c r="C386" s="59" t="s">
        <v>1065</v>
      </c>
      <c r="D386" s="16"/>
      <c r="E386" s="26" t="s">
        <v>101</v>
      </c>
      <c r="F386" s="16"/>
      <c r="G386" s="25" t="s">
        <v>50</v>
      </c>
      <c r="H386" s="16"/>
      <c r="I386" s="25" t="s">
        <v>41</v>
      </c>
      <c r="J386" s="16"/>
      <c r="K386" s="25" t="str">
        <f>close</f>
        <v>Close: 55 ft</v>
      </c>
      <c r="L386" s="16"/>
      <c r="M386" s="26" t="s">
        <v>607</v>
      </c>
      <c r="N386" s="16"/>
      <c r="O386" s="25" t="s">
        <v>52</v>
      </c>
      <c r="P386" s="16"/>
      <c r="Q386" s="26" t="s">
        <v>1066</v>
      </c>
      <c r="R386" s="16"/>
      <c r="S386" s="26" t="s">
        <v>75</v>
      </c>
      <c r="T386" s="16"/>
      <c r="U386" s="60" t="s">
        <v>1067</v>
      </c>
      <c r="V386" s="3"/>
      <c r="W386" s="3"/>
      <c r="X386" s="16"/>
    </row>
    <row r="387">
      <c r="B387" s="57">
        <v>9.0</v>
      </c>
      <c r="C387" s="58" t="s">
        <v>1068</v>
      </c>
      <c r="D387" s="21"/>
      <c r="E387" s="32" t="s">
        <v>101</v>
      </c>
      <c r="F387" s="21"/>
      <c r="G387" s="32" t="s">
        <v>1069</v>
      </c>
      <c r="H387" s="21"/>
      <c r="I387" s="31" t="s">
        <v>41</v>
      </c>
      <c r="J387" s="21"/>
      <c r="K387" s="31" t="str">
        <f>close</f>
        <v>Close: 55 ft</v>
      </c>
      <c r="L387" s="21"/>
      <c r="M387" s="32" t="s">
        <v>1070</v>
      </c>
      <c r="N387" s="21"/>
      <c r="O387" s="32" t="s">
        <v>129</v>
      </c>
      <c r="P387" s="21"/>
      <c r="Q387" s="32" t="s">
        <v>74</v>
      </c>
      <c r="R387" s="21"/>
      <c r="S387" s="32" t="s">
        <v>54</v>
      </c>
      <c r="T387" s="21"/>
      <c r="U387" s="53" t="s">
        <v>1071</v>
      </c>
      <c r="V387" s="9"/>
      <c r="W387" s="9"/>
      <c r="X387" s="21"/>
    </row>
    <row r="388">
      <c r="B388" s="23">
        <v>9.0</v>
      </c>
      <c r="C388" s="59" t="s">
        <v>1072</v>
      </c>
      <c r="D388" s="16"/>
      <c r="E388" s="26" t="s">
        <v>1073</v>
      </c>
      <c r="F388" s="16"/>
      <c r="G388" s="26" t="s">
        <v>83</v>
      </c>
      <c r="H388" s="16"/>
      <c r="I388" s="25" t="s">
        <v>41</v>
      </c>
      <c r="J388" s="16"/>
      <c r="K388" s="25" t="str">
        <f>close</f>
        <v>Close: 55 ft</v>
      </c>
      <c r="L388" s="16"/>
      <c r="M388" s="26" t="str">
        <f>Level&amp;" living creatures, 1 creature/level, within a 40 ft radius spread"</f>
        <v>13 living creatures, 1 creature/level, within a 40 ft radius spread</v>
      </c>
      <c r="N388" s="16"/>
      <c r="O388" s="26" t="s">
        <v>52</v>
      </c>
      <c r="P388" s="16"/>
      <c r="Q388" s="26" t="s">
        <v>85</v>
      </c>
      <c r="R388" s="16"/>
      <c r="S388" s="26" t="s">
        <v>75</v>
      </c>
      <c r="T388" s="16"/>
      <c r="U388" s="60" t="str">
        <f>"Kills "&amp;Level&amp;" creatures, 1 creature/level"</f>
        <v>Kills 13 creatures, 1 creature/level</v>
      </c>
      <c r="V388" s="3"/>
      <c r="W388" s="3"/>
      <c r="X388" s="16"/>
    </row>
    <row r="389">
      <c r="B389" s="57">
        <v>9.0</v>
      </c>
      <c r="C389" s="58" t="s">
        <v>1074</v>
      </c>
      <c r="D389" s="21"/>
      <c r="E389" s="31" t="s">
        <v>107</v>
      </c>
      <c r="F389" s="21"/>
      <c r="G389" s="32" t="s">
        <v>50</v>
      </c>
      <c r="H389" s="21"/>
      <c r="I389" s="32" t="s">
        <v>41</v>
      </c>
      <c r="J389" s="21"/>
      <c r="K389" s="32" t="s">
        <v>1075</v>
      </c>
      <c r="L389" s="21"/>
      <c r="M389" s="31" t="str">
        <f>"You and "&amp;MAX(FLOOR(Level/3,1),1)&amp;" other touched creatures, 1 creature per 3 levels"</f>
        <v>You and 4 other touched creatures, 1 creature per 3 levels</v>
      </c>
      <c r="N389" s="21"/>
      <c r="O389" s="31" t="str">
        <f>CONCAT(Level, " minutes (D)
1 minute/level")</f>
        <v>13 minutes (D)
1 minute/level</v>
      </c>
      <c r="P389" s="21"/>
      <c r="Q389" s="32" t="s">
        <v>68</v>
      </c>
      <c r="R389" s="21"/>
      <c r="S389" s="32" t="s">
        <v>75</v>
      </c>
      <c r="T389" s="21"/>
      <c r="U389" s="53" t="s">
        <v>1076</v>
      </c>
      <c r="V389" s="9"/>
      <c r="W389" s="9"/>
      <c r="X389" s="21"/>
    </row>
    <row r="390">
      <c r="B390" s="23">
        <v>9.0</v>
      </c>
      <c r="C390" s="24" t="s">
        <v>1077</v>
      </c>
      <c r="D390" s="16"/>
      <c r="E390" s="25" t="s">
        <v>107</v>
      </c>
      <c r="F390" s="16"/>
      <c r="G390" s="26" t="s">
        <v>757</v>
      </c>
      <c r="H390" s="16"/>
      <c r="I390" s="25" t="s">
        <v>41</v>
      </c>
      <c r="J390" s="16"/>
      <c r="K390" s="25" t="s">
        <v>66</v>
      </c>
      <c r="L390" s="16"/>
      <c r="M390" s="25" t="s">
        <v>67</v>
      </c>
      <c r="N390" s="16"/>
      <c r="O390" s="25" t="str">
        <f>CONCAT(Level*10, " minutes (D)
10 minutes/level")</f>
        <v>130 minutes (D)
10 minutes/level</v>
      </c>
      <c r="P390" s="16"/>
      <c r="Q390" s="25" t="s">
        <v>68</v>
      </c>
      <c r="R390" s="16"/>
      <c r="S390" s="25" t="s">
        <v>68</v>
      </c>
      <c r="T390" s="16"/>
      <c r="U390" s="27" t="s">
        <v>1078</v>
      </c>
      <c r="V390" s="3"/>
      <c r="W390" s="3"/>
      <c r="X390" s="16"/>
    </row>
    <row r="391">
      <c r="B391" s="57">
        <v>9.0</v>
      </c>
      <c r="C391" s="58" t="s">
        <v>1079</v>
      </c>
      <c r="D391" s="21"/>
      <c r="E391" s="31" t="s">
        <v>107</v>
      </c>
      <c r="F391" s="21"/>
      <c r="G391" s="32" t="s">
        <v>83</v>
      </c>
      <c r="H391" s="21"/>
      <c r="I391" s="32" t="s">
        <v>41</v>
      </c>
      <c r="J391" s="21"/>
      <c r="K391" s="32" t="s">
        <v>66</v>
      </c>
      <c r="L391" s="21"/>
      <c r="M391" s="32" t="s">
        <v>67</v>
      </c>
      <c r="N391" s="21"/>
      <c r="O391" s="32" t="s">
        <v>1080</v>
      </c>
      <c r="P391" s="21"/>
      <c r="Q391" s="32" t="s">
        <v>68</v>
      </c>
      <c r="R391" s="21"/>
      <c r="S391" s="32" t="s">
        <v>68</v>
      </c>
      <c r="T391" s="21"/>
      <c r="U391" s="53" t="s">
        <v>1081</v>
      </c>
      <c r="V391" s="9"/>
      <c r="W391" s="9"/>
      <c r="X391" s="21"/>
    </row>
    <row r="392">
      <c r="B392" s="23">
        <v>9.0</v>
      </c>
      <c r="C392" s="59" t="s">
        <v>1082</v>
      </c>
      <c r="D392" s="16"/>
      <c r="E392" s="26" t="s">
        <v>126</v>
      </c>
      <c r="F392" s="16"/>
      <c r="G392" s="26" t="s">
        <v>1083</v>
      </c>
      <c r="H392" s="16"/>
      <c r="I392" s="26" t="s">
        <v>41</v>
      </c>
      <c r="J392" s="16"/>
      <c r="K392" s="26" t="s">
        <v>132</v>
      </c>
      <c r="L392" s="16"/>
      <c r="M392" s="26" t="s">
        <v>132</v>
      </c>
      <c r="N392" s="16"/>
      <c r="O392" s="26" t="s">
        <v>132</v>
      </c>
      <c r="P392" s="16"/>
      <c r="Q392" s="26" t="s">
        <v>132</v>
      </c>
      <c r="R392" s="16"/>
      <c r="S392" s="26" t="s">
        <v>75</v>
      </c>
      <c r="T392" s="16"/>
      <c r="U392" s="60" t="s">
        <v>1084</v>
      </c>
      <c r="V392" s="3"/>
      <c r="W392" s="3"/>
      <c r="X392" s="16"/>
    </row>
  </sheetData>
  <mergeCells count="3792">
    <mergeCell ref="I15:J15"/>
    <mergeCell ref="K15:L15"/>
    <mergeCell ref="M15:N15"/>
    <mergeCell ref="O15:P15"/>
    <mergeCell ref="Q15:R15"/>
    <mergeCell ref="S15:T15"/>
    <mergeCell ref="B9:D9"/>
    <mergeCell ref="B10:D10"/>
    <mergeCell ref="B11:D11"/>
    <mergeCell ref="B12:D12"/>
    <mergeCell ref="B14:X14"/>
    <mergeCell ref="E15:F15"/>
    <mergeCell ref="G15:H15"/>
    <mergeCell ref="U15:X15"/>
    <mergeCell ref="B2:D2"/>
    <mergeCell ref="B3:D3"/>
    <mergeCell ref="B4:D4"/>
    <mergeCell ref="B5:D5"/>
    <mergeCell ref="B6:D6"/>
    <mergeCell ref="B7:D7"/>
    <mergeCell ref="B8:D8"/>
    <mergeCell ref="O16:P16"/>
    <mergeCell ref="Q16:R16"/>
    <mergeCell ref="S16:T16"/>
    <mergeCell ref="U16:X16"/>
    <mergeCell ref="C15:D15"/>
    <mergeCell ref="C16:D16"/>
    <mergeCell ref="E16:F16"/>
    <mergeCell ref="G16:H16"/>
    <mergeCell ref="I16:J16"/>
    <mergeCell ref="K16:L16"/>
    <mergeCell ref="M16:N16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60:R60"/>
    <mergeCell ref="S60:T60"/>
    <mergeCell ref="U60:X60"/>
    <mergeCell ref="C60:D60"/>
    <mergeCell ref="E60:F60"/>
    <mergeCell ref="G60:H60"/>
    <mergeCell ref="I60:J60"/>
    <mergeCell ref="K60:L60"/>
    <mergeCell ref="M60:N60"/>
    <mergeCell ref="O60:P60"/>
    <mergeCell ref="Q61:R61"/>
    <mergeCell ref="S61:T61"/>
    <mergeCell ref="U61:X61"/>
    <mergeCell ref="C61:D61"/>
    <mergeCell ref="E61:F61"/>
    <mergeCell ref="G61:H61"/>
    <mergeCell ref="I61:J61"/>
    <mergeCell ref="K61:L61"/>
    <mergeCell ref="M61:N61"/>
    <mergeCell ref="O61:P61"/>
    <mergeCell ref="Q62:R62"/>
    <mergeCell ref="S62:T62"/>
    <mergeCell ref="U62:X62"/>
    <mergeCell ref="C62:D62"/>
    <mergeCell ref="E62:F62"/>
    <mergeCell ref="G62:H62"/>
    <mergeCell ref="I62:J62"/>
    <mergeCell ref="K62:L62"/>
    <mergeCell ref="M62:N62"/>
    <mergeCell ref="O62:P62"/>
    <mergeCell ref="Q63:R63"/>
    <mergeCell ref="S63:T63"/>
    <mergeCell ref="U63:X63"/>
    <mergeCell ref="C63:D63"/>
    <mergeCell ref="E63:F63"/>
    <mergeCell ref="G63:H63"/>
    <mergeCell ref="I63:J63"/>
    <mergeCell ref="K63:L63"/>
    <mergeCell ref="M63:N63"/>
    <mergeCell ref="O63:P63"/>
    <mergeCell ref="Q64:R64"/>
    <mergeCell ref="S64:T64"/>
    <mergeCell ref="U64:X64"/>
    <mergeCell ref="C64:D64"/>
    <mergeCell ref="E64:F64"/>
    <mergeCell ref="G64:H64"/>
    <mergeCell ref="I64:J64"/>
    <mergeCell ref="K64:L64"/>
    <mergeCell ref="M64:N64"/>
    <mergeCell ref="O64:P64"/>
    <mergeCell ref="Q65:R65"/>
    <mergeCell ref="S65:T65"/>
    <mergeCell ref="U65:X65"/>
    <mergeCell ref="C65:D65"/>
    <mergeCell ref="E65:F65"/>
    <mergeCell ref="G65:H65"/>
    <mergeCell ref="I65:J65"/>
    <mergeCell ref="K65:L65"/>
    <mergeCell ref="M65:N65"/>
    <mergeCell ref="O65:P65"/>
    <mergeCell ref="Q66:R66"/>
    <mergeCell ref="S66:T66"/>
    <mergeCell ref="U66:X66"/>
    <mergeCell ref="C66:D66"/>
    <mergeCell ref="E66:F66"/>
    <mergeCell ref="G66:H66"/>
    <mergeCell ref="I66:J66"/>
    <mergeCell ref="K66:L66"/>
    <mergeCell ref="M66:N66"/>
    <mergeCell ref="O66:P66"/>
    <mergeCell ref="Q67:R67"/>
    <mergeCell ref="S67:T67"/>
    <mergeCell ref="U67:X67"/>
    <mergeCell ref="C67:D67"/>
    <mergeCell ref="E67:F67"/>
    <mergeCell ref="G67:H67"/>
    <mergeCell ref="I67:J67"/>
    <mergeCell ref="K67:L67"/>
    <mergeCell ref="M67:N67"/>
    <mergeCell ref="O67:P67"/>
    <mergeCell ref="Q68:R68"/>
    <mergeCell ref="S68:T68"/>
    <mergeCell ref="U68:X68"/>
    <mergeCell ref="C68:D68"/>
    <mergeCell ref="E68:F68"/>
    <mergeCell ref="G68:H68"/>
    <mergeCell ref="I68:J68"/>
    <mergeCell ref="K68:L68"/>
    <mergeCell ref="M68:N68"/>
    <mergeCell ref="O68:P68"/>
    <mergeCell ref="Q69:R69"/>
    <mergeCell ref="S69:T69"/>
    <mergeCell ref="U69:X69"/>
    <mergeCell ref="C69:D69"/>
    <mergeCell ref="E69:F69"/>
    <mergeCell ref="G69:H69"/>
    <mergeCell ref="I69:J69"/>
    <mergeCell ref="K69:L69"/>
    <mergeCell ref="M69:N69"/>
    <mergeCell ref="O69:P69"/>
    <mergeCell ref="Q70:R70"/>
    <mergeCell ref="S70:T70"/>
    <mergeCell ref="U70:X70"/>
    <mergeCell ref="C70:D70"/>
    <mergeCell ref="E70:F70"/>
    <mergeCell ref="G70:H70"/>
    <mergeCell ref="I70:J70"/>
    <mergeCell ref="K70:L70"/>
    <mergeCell ref="M70:N70"/>
    <mergeCell ref="O70:P70"/>
    <mergeCell ref="Q71:R71"/>
    <mergeCell ref="S71:T71"/>
    <mergeCell ref="U71:X71"/>
    <mergeCell ref="C71:D71"/>
    <mergeCell ref="E71:F71"/>
    <mergeCell ref="G71:H71"/>
    <mergeCell ref="I71:J71"/>
    <mergeCell ref="K71:L71"/>
    <mergeCell ref="M71:N71"/>
    <mergeCell ref="O71:P71"/>
    <mergeCell ref="Q72:R72"/>
    <mergeCell ref="S72:T72"/>
    <mergeCell ref="U72:X72"/>
    <mergeCell ref="C72:D72"/>
    <mergeCell ref="E72:F72"/>
    <mergeCell ref="G72:H72"/>
    <mergeCell ref="I72:J72"/>
    <mergeCell ref="K72:L72"/>
    <mergeCell ref="M72:N72"/>
    <mergeCell ref="O72:P72"/>
    <mergeCell ref="Q73:R73"/>
    <mergeCell ref="S73:T73"/>
    <mergeCell ref="U73:X73"/>
    <mergeCell ref="C73:D73"/>
    <mergeCell ref="E73:F73"/>
    <mergeCell ref="G73:H73"/>
    <mergeCell ref="I73:J73"/>
    <mergeCell ref="K73:L73"/>
    <mergeCell ref="M73:N73"/>
    <mergeCell ref="O73:P73"/>
    <mergeCell ref="Q74:R74"/>
    <mergeCell ref="S74:T74"/>
    <mergeCell ref="U74:X74"/>
    <mergeCell ref="C74:D74"/>
    <mergeCell ref="E74:F74"/>
    <mergeCell ref="G74:H74"/>
    <mergeCell ref="I74:J74"/>
    <mergeCell ref="K74:L74"/>
    <mergeCell ref="M74:N74"/>
    <mergeCell ref="O74:P74"/>
    <mergeCell ref="Q75:R75"/>
    <mergeCell ref="S75:T75"/>
    <mergeCell ref="U75:X75"/>
    <mergeCell ref="C75:D75"/>
    <mergeCell ref="E75:F75"/>
    <mergeCell ref="G75:H75"/>
    <mergeCell ref="I75:J75"/>
    <mergeCell ref="K75:L75"/>
    <mergeCell ref="M75:N75"/>
    <mergeCell ref="O75:P75"/>
    <mergeCell ref="Q76:R76"/>
    <mergeCell ref="S76:T76"/>
    <mergeCell ref="U76:X76"/>
    <mergeCell ref="C76:D76"/>
    <mergeCell ref="E76:F76"/>
    <mergeCell ref="G76:H76"/>
    <mergeCell ref="I76:J76"/>
    <mergeCell ref="K76:L76"/>
    <mergeCell ref="M76:N76"/>
    <mergeCell ref="O76:P76"/>
    <mergeCell ref="Q77:R77"/>
    <mergeCell ref="S77:T77"/>
    <mergeCell ref="U77:X77"/>
    <mergeCell ref="C77:D77"/>
    <mergeCell ref="E77:F77"/>
    <mergeCell ref="G77:H77"/>
    <mergeCell ref="I77:J77"/>
    <mergeCell ref="K77:L77"/>
    <mergeCell ref="M77:N77"/>
    <mergeCell ref="O77:P77"/>
    <mergeCell ref="Q78:R78"/>
    <mergeCell ref="S78:T78"/>
    <mergeCell ref="U78:X78"/>
    <mergeCell ref="C78:D78"/>
    <mergeCell ref="E78:F78"/>
    <mergeCell ref="G78:H78"/>
    <mergeCell ref="I78:J78"/>
    <mergeCell ref="K78:L78"/>
    <mergeCell ref="M78:N78"/>
    <mergeCell ref="O78:P78"/>
    <mergeCell ref="Q79:R79"/>
    <mergeCell ref="S79:T79"/>
    <mergeCell ref="U79:X79"/>
    <mergeCell ref="C79:D79"/>
    <mergeCell ref="E79:F79"/>
    <mergeCell ref="G79:H79"/>
    <mergeCell ref="I79:J79"/>
    <mergeCell ref="K79:L79"/>
    <mergeCell ref="M79:N79"/>
    <mergeCell ref="O79:P79"/>
    <mergeCell ref="Q80:R80"/>
    <mergeCell ref="S80:T80"/>
    <mergeCell ref="U80:X80"/>
    <mergeCell ref="C80:D80"/>
    <mergeCell ref="E80:F80"/>
    <mergeCell ref="G80:H80"/>
    <mergeCell ref="I80:J80"/>
    <mergeCell ref="K80:L80"/>
    <mergeCell ref="M80:N80"/>
    <mergeCell ref="O80:P80"/>
    <mergeCell ref="Q81:R81"/>
    <mergeCell ref="S81:T81"/>
    <mergeCell ref="U81:X81"/>
    <mergeCell ref="C81:D81"/>
    <mergeCell ref="E81:F81"/>
    <mergeCell ref="G81:H81"/>
    <mergeCell ref="I81:J81"/>
    <mergeCell ref="K81:L81"/>
    <mergeCell ref="M81:N81"/>
    <mergeCell ref="O81:P81"/>
    <mergeCell ref="Q82:R82"/>
    <mergeCell ref="S82:T82"/>
    <mergeCell ref="U82:X82"/>
    <mergeCell ref="C82:D82"/>
    <mergeCell ref="E82:F82"/>
    <mergeCell ref="G82:H82"/>
    <mergeCell ref="I82:J82"/>
    <mergeCell ref="K82:L82"/>
    <mergeCell ref="M82:N82"/>
    <mergeCell ref="O82:P82"/>
    <mergeCell ref="Q83:R83"/>
    <mergeCell ref="S83:T83"/>
    <mergeCell ref="U83:X83"/>
    <mergeCell ref="C83:D83"/>
    <mergeCell ref="E83:F83"/>
    <mergeCell ref="G83:H83"/>
    <mergeCell ref="I83:J83"/>
    <mergeCell ref="K83:L83"/>
    <mergeCell ref="M83:N83"/>
    <mergeCell ref="O83:P83"/>
    <mergeCell ref="Q84:R84"/>
    <mergeCell ref="S84:T84"/>
    <mergeCell ref="U84:X84"/>
    <mergeCell ref="C84:D84"/>
    <mergeCell ref="E84:F84"/>
    <mergeCell ref="G84:H84"/>
    <mergeCell ref="I84:J84"/>
    <mergeCell ref="K84:L84"/>
    <mergeCell ref="M84:N84"/>
    <mergeCell ref="O84:P84"/>
    <mergeCell ref="Q85:R85"/>
    <mergeCell ref="S85:T85"/>
    <mergeCell ref="U85:X85"/>
    <mergeCell ref="C85:D85"/>
    <mergeCell ref="E85:F85"/>
    <mergeCell ref="G85:H85"/>
    <mergeCell ref="I85:J85"/>
    <mergeCell ref="K85:L85"/>
    <mergeCell ref="M85:N85"/>
    <mergeCell ref="O85:P85"/>
    <mergeCell ref="Q86:R86"/>
    <mergeCell ref="S86:T86"/>
    <mergeCell ref="U86:X86"/>
    <mergeCell ref="C86:D86"/>
    <mergeCell ref="E86:F86"/>
    <mergeCell ref="G86:H86"/>
    <mergeCell ref="I86:J86"/>
    <mergeCell ref="K86:L86"/>
    <mergeCell ref="M86:N86"/>
    <mergeCell ref="O86:P86"/>
    <mergeCell ref="Q87:R87"/>
    <mergeCell ref="S87:T87"/>
    <mergeCell ref="U87:X87"/>
    <mergeCell ref="C87:D87"/>
    <mergeCell ref="E87:F87"/>
    <mergeCell ref="G87:H87"/>
    <mergeCell ref="I87:J87"/>
    <mergeCell ref="K87:L87"/>
    <mergeCell ref="M87:N87"/>
    <mergeCell ref="O87:P87"/>
    <mergeCell ref="Q88:R88"/>
    <mergeCell ref="S88:T88"/>
    <mergeCell ref="U88:X88"/>
    <mergeCell ref="C88:D88"/>
    <mergeCell ref="E88:F88"/>
    <mergeCell ref="G88:H88"/>
    <mergeCell ref="I88:J88"/>
    <mergeCell ref="K88:L88"/>
    <mergeCell ref="M88:N88"/>
    <mergeCell ref="O88:P88"/>
    <mergeCell ref="Q89:R89"/>
    <mergeCell ref="S89:T89"/>
    <mergeCell ref="U89:X89"/>
    <mergeCell ref="C89:D89"/>
    <mergeCell ref="E89:F89"/>
    <mergeCell ref="G89:H89"/>
    <mergeCell ref="I89:J89"/>
    <mergeCell ref="K89:L89"/>
    <mergeCell ref="M89:N89"/>
    <mergeCell ref="O89:P89"/>
    <mergeCell ref="Q90:R90"/>
    <mergeCell ref="S90:T90"/>
    <mergeCell ref="U90:X90"/>
    <mergeCell ref="C90:D90"/>
    <mergeCell ref="E90:F90"/>
    <mergeCell ref="G90:H90"/>
    <mergeCell ref="I90:J90"/>
    <mergeCell ref="K90:L90"/>
    <mergeCell ref="M90:N90"/>
    <mergeCell ref="O90:P90"/>
    <mergeCell ref="Q91:R91"/>
    <mergeCell ref="S91:T91"/>
    <mergeCell ref="U91:X91"/>
    <mergeCell ref="C91:D91"/>
    <mergeCell ref="E91:F91"/>
    <mergeCell ref="G91:H91"/>
    <mergeCell ref="I91:J91"/>
    <mergeCell ref="K91:L91"/>
    <mergeCell ref="M91:N91"/>
    <mergeCell ref="O91:P91"/>
    <mergeCell ref="Q92:R92"/>
    <mergeCell ref="S92:T92"/>
    <mergeCell ref="U92:X92"/>
    <mergeCell ref="C92:D92"/>
    <mergeCell ref="E92:F92"/>
    <mergeCell ref="G92:H92"/>
    <mergeCell ref="I92:J92"/>
    <mergeCell ref="K92:L92"/>
    <mergeCell ref="M92:N92"/>
    <mergeCell ref="O92:P92"/>
    <mergeCell ref="Q93:R93"/>
    <mergeCell ref="S93:T93"/>
    <mergeCell ref="U93:X93"/>
    <mergeCell ref="C93:D93"/>
    <mergeCell ref="E93:F93"/>
    <mergeCell ref="G93:H93"/>
    <mergeCell ref="I93:J93"/>
    <mergeCell ref="K93:L93"/>
    <mergeCell ref="M93:N93"/>
    <mergeCell ref="O93:P93"/>
    <mergeCell ref="Q94:R94"/>
    <mergeCell ref="S94:T94"/>
    <mergeCell ref="U94:X94"/>
    <mergeCell ref="C94:D94"/>
    <mergeCell ref="E94:F94"/>
    <mergeCell ref="G94:H94"/>
    <mergeCell ref="I94:J94"/>
    <mergeCell ref="K94:L94"/>
    <mergeCell ref="M94:N94"/>
    <mergeCell ref="O94:P94"/>
    <mergeCell ref="Q95:R95"/>
    <mergeCell ref="S95:T95"/>
    <mergeCell ref="U95:X95"/>
    <mergeCell ref="C95:D95"/>
    <mergeCell ref="E95:F95"/>
    <mergeCell ref="G95:H95"/>
    <mergeCell ref="I95:J95"/>
    <mergeCell ref="K95:L95"/>
    <mergeCell ref="M95:N95"/>
    <mergeCell ref="O95:P95"/>
    <mergeCell ref="Q96:R96"/>
    <mergeCell ref="S96:T96"/>
    <mergeCell ref="U96:X96"/>
    <mergeCell ref="C96:D96"/>
    <mergeCell ref="E96:F96"/>
    <mergeCell ref="G96:H96"/>
    <mergeCell ref="I96:J96"/>
    <mergeCell ref="K96:L96"/>
    <mergeCell ref="M96:N96"/>
    <mergeCell ref="O96:P96"/>
    <mergeCell ref="Q97:R97"/>
    <mergeCell ref="S97:T97"/>
    <mergeCell ref="U97:X97"/>
    <mergeCell ref="C97:D97"/>
    <mergeCell ref="E97:F97"/>
    <mergeCell ref="G97:H97"/>
    <mergeCell ref="I97:J97"/>
    <mergeCell ref="K97:L97"/>
    <mergeCell ref="M97:N97"/>
    <mergeCell ref="O97:P97"/>
    <mergeCell ref="Q98:R98"/>
    <mergeCell ref="S98:T98"/>
    <mergeCell ref="U98:X98"/>
    <mergeCell ref="C98:D98"/>
    <mergeCell ref="E98:F98"/>
    <mergeCell ref="G98:H98"/>
    <mergeCell ref="I98:J98"/>
    <mergeCell ref="K98:L98"/>
    <mergeCell ref="M98:N98"/>
    <mergeCell ref="O98:P98"/>
    <mergeCell ref="Q99:R99"/>
    <mergeCell ref="S99:T99"/>
    <mergeCell ref="U99:X99"/>
    <mergeCell ref="C99:D99"/>
    <mergeCell ref="E99:F99"/>
    <mergeCell ref="G99:H99"/>
    <mergeCell ref="I99:J99"/>
    <mergeCell ref="K99:L99"/>
    <mergeCell ref="M99:N99"/>
    <mergeCell ref="O99:P99"/>
    <mergeCell ref="Q100:R100"/>
    <mergeCell ref="S100:T100"/>
    <mergeCell ref="U100:X100"/>
    <mergeCell ref="C100:D100"/>
    <mergeCell ref="E100:F100"/>
    <mergeCell ref="G100:H100"/>
    <mergeCell ref="I100:J100"/>
    <mergeCell ref="K100:L100"/>
    <mergeCell ref="M100:N100"/>
    <mergeCell ref="O100:P100"/>
    <mergeCell ref="Q101:R101"/>
    <mergeCell ref="S101:T101"/>
    <mergeCell ref="U101:X101"/>
    <mergeCell ref="C101:D101"/>
    <mergeCell ref="E101:F101"/>
    <mergeCell ref="G101:H101"/>
    <mergeCell ref="I101:J101"/>
    <mergeCell ref="K101:L101"/>
    <mergeCell ref="M101:N101"/>
    <mergeCell ref="O101:P101"/>
    <mergeCell ref="Q102:R102"/>
    <mergeCell ref="S102:T102"/>
    <mergeCell ref="U102:X102"/>
    <mergeCell ref="C102:D102"/>
    <mergeCell ref="E102:F102"/>
    <mergeCell ref="G102:H102"/>
    <mergeCell ref="I102:J102"/>
    <mergeCell ref="K102:L102"/>
    <mergeCell ref="M102:N102"/>
    <mergeCell ref="O102:P102"/>
    <mergeCell ref="Q103:R103"/>
    <mergeCell ref="S103:T103"/>
    <mergeCell ref="U103:X103"/>
    <mergeCell ref="C103:D103"/>
    <mergeCell ref="E103:F103"/>
    <mergeCell ref="G103:H103"/>
    <mergeCell ref="I103:J103"/>
    <mergeCell ref="K103:L103"/>
    <mergeCell ref="M103:N103"/>
    <mergeCell ref="O103:P103"/>
    <mergeCell ref="Q104:R104"/>
    <mergeCell ref="S104:T104"/>
    <mergeCell ref="U104:X104"/>
    <mergeCell ref="C104:D104"/>
    <mergeCell ref="E104:F104"/>
    <mergeCell ref="G104:H104"/>
    <mergeCell ref="I104:J104"/>
    <mergeCell ref="K104:L104"/>
    <mergeCell ref="M104:N104"/>
    <mergeCell ref="O104:P104"/>
    <mergeCell ref="Q105:R105"/>
    <mergeCell ref="S105:T105"/>
    <mergeCell ref="U105:X105"/>
    <mergeCell ref="C105:D105"/>
    <mergeCell ref="E105:F105"/>
    <mergeCell ref="G105:H105"/>
    <mergeCell ref="I105:J105"/>
    <mergeCell ref="K105:L105"/>
    <mergeCell ref="M105:N105"/>
    <mergeCell ref="O105:P105"/>
    <mergeCell ref="Q106:R106"/>
    <mergeCell ref="S106:T106"/>
    <mergeCell ref="U106:X106"/>
    <mergeCell ref="C106:D106"/>
    <mergeCell ref="E106:F106"/>
    <mergeCell ref="G106:H106"/>
    <mergeCell ref="I106:J106"/>
    <mergeCell ref="K106:L106"/>
    <mergeCell ref="M106:N106"/>
    <mergeCell ref="O106:P106"/>
    <mergeCell ref="Q107:R107"/>
    <mergeCell ref="S107:T107"/>
    <mergeCell ref="U107:X107"/>
    <mergeCell ref="C107:D107"/>
    <mergeCell ref="E107:F107"/>
    <mergeCell ref="G107:H107"/>
    <mergeCell ref="I107:J107"/>
    <mergeCell ref="K107:L107"/>
    <mergeCell ref="M107:N107"/>
    <mergeCell ref="O107:P107"/>
    <mergeCell ref="Q108:R108"/>
    <mergeCell ref="S108:T108"/>
    <mergeCell ref="U108:X108"/>
    <mergeCell ref="C108:D108"/>
    <mergeCell ref="E108:F108"/>
    <mergeCell ref="G108:H108"/>
    <mergeCell ref="I108:J108"/>
    <mergeCell ref="K108:L108"/>
    <mergeCell ref="M108:N108"/>
    <mergeCell ref="O108:P108"/>
    <mergeCell ref="Q109:R109"/>
    <mergeCell ref="S109:T109"/>
    <mergeCell ref="U109:X109"/>
    <mergeCell ref="C109:D109"/>
    <mergeCell ref="E109:F109"/>
    <mergeCell ref="G109:H109"/>
    <mergeCell ref="I109:J109"/>
    <mergeCell ref="K109:L109"/>
    <mergeCell ref="M109:N109"/>
    <mergeCell ref="O109:P109"/>
    <mergeCell ref="Q110:R110"/>
    <mergeCell ref="S110:T110"/>
    <mergeCell ref="U110:X110"/>
    <mergeCell ref="C110:D110"/>
    <mergeCell ref="E110:F110"/>
    <mergeCell ref="G110:H110"/>
    <mergeCell ref="I110:J110"/>
    <mergeCell ref="K110:L110"/>
    <mergeCell ref="M110:N110"/>
    <mergeCell ref="O110:P110"/>
    <mergeCell ref="Q111:R111"/>
    <mergeCell ref="S111:T111"/>
    <mergeCell ref="U111:X111"/>
    <mergeCell ref="C111:D111"/>
    <mergeCell ref="E111:F111"/>
    <mergeCell ref="G111:H111"/>
    <mergeCell ref="I111:J111"/>
    <mergeCell ref="K111:L111"/>
    <mergeCell ref="M111:N111"/>
    <mergeCell ref="O111:P111"/>
    <mergeCell ref="Q112:R112"/>
    <mergeCell ref="S112:T112"/>
    <mergeCell ref="U112:X112"/>
    <mergeCell ref="C112:D112"/>
    <mergeCell ref="E112:F112"/>
    <mergeCell ref="G112:H112"/>
    <mergeCell ref="I112:J112"/>
    <mergeCell ref="K112:L112"/>
    <mergeCell ref="M112:N112"/>
    <mergeCell ref="O112:P112"/>
    <mergeCell ref="Q113:R113"/>
    <mergeCell ref="S113:T113"/>
    <mergeCell ref="U113:X113"/>
    <mergeCell ref="C113:D113"/>
    <mergeCell ref="E113:F113"/>
    <mergeCell ref="G113:H113"/>
    <mergeCell ref="I113:J113"/>
    <mergeCell ref="K113:L113"/>
    <mergeCell ref="M113:N113"/>
    <mergeCell ref="O113:P113"/>
    <mergeCell ref="Q114:R114"/>
    <mergeCell ref="S114:T114"/>
    <mergeCell ref="U114:X114"/>
    <mergeCell ref="C114:D114"/>
    <mergeCell ref="E114:F114"/>
    <mergeCell ref="G114:H114"/>
    <mergeCell ref="I114:J114"/>
    <mergeCell ref="K114:L114"/>
    <mergeCell ref="M114:N114"/>
    <mergeCell ref="O114:P114"/>
    <mergeCell ref="Q115:R115"/>
    <mergeCell ref="S115:T115"/>
    <mergeCell ref="U115:X115"/>
    <mergeCell ref="C115:D115"/>
    <mergeCell ref="E115:F115"/>
    <mergeCell ref="G115:H115"/>
    <mergeCell ref="I115:J115"/>
    <mergeCell ref="K115:L115"/>
    <mergeCell ref="M115:N115"/>
    <mergeCell ref="O115:P115"/>
    <mergeCell ref="Q116:R116"/>
    <mergeCell ref="S116:T116"/>
    <mergeCell ref="U116:X116"/>
    <mergeCell ref="C116:D116"/>
    <mergeCell ref="E116:F116"/>
    <mergeCell ref="G116:H116"/>
    <mergeCell ref="I116:J116"/>
    <mergeCell ref="K116:L116"/>
    <mergeCell ref="M116:N116"/>
    <mergeCell ref="O116:P116"/>
    <mergeCell ref="Q117:R117"/>
    <mergeCell ref="S117:T117"/>
    <mergeCell ref="U117:X117"/>
    <mergeCell ref="C117:D117"/>
    <mergeCell ref="E117:F117"/>
    <mergeCell ref="G117:H117"/>
    <mergeCell ref="I117:J117"/>
    <mergeCell ref="K117:L117"/>
    <mergeCell ref="M117:N117"/>
    <mergeCell ref="O117:P117"/>
    <mergeCell ref="Q118:R118"/>
    <mergeCell ref="S118:T118"/>
    <mergeCell ref="U118:X118"/>
    <mergeCell ref="C118:D118"/>
    <mergeCell ref="E118:F118"/>
    <mergeCell ref="G118:H118"/>
    <mergeCell ref="I118:J118"/>
    <mergeCell ref="K118:L118"/>
    <mergeCell ref="M118:N118"/>
    <mergeCell ref="O118:P118"/>
    <mergeCell ref="Q119:R119"/>
    <mergeCell ref="S119:T119"/>
    <mergeCell ref="U119:X119"/>
    <mergeCell ref="C119:D119"/>
    <mergeCell ref="E119:F119"/>
    <mergeCell ref="G119:H119"/>
    <mergeCell ref="I119:J119"/>
    <mergeCell ref="K119:L119"/>
    <mergeCell ref="M119:N119"/>
    <mergeCell ref="O119:P119"/>
    <mergeCell ref="Q120:R120"/>
    <mergeCell ref="S120:T120"/>
    <mergeCell ref="U120:X120"/>
    <mergeCell ref="C120:D120"/>
    <mergeCell ref="E120:F120"/>
    <mergeCell ref="G120:H120"/>
    <mergeCell ref="I120:J120"/>
    <mergeCell ref="K120:L120"/>
    <mergeCell ref="M120:N120"/>
    <mergeCell ref="O120:P120"/>
    <mergeCell ref="Q121:R121"/>
    <mergeCell ref="S121:T121"/>
    <mergeCell ref="U121:X121"/>
    <mergeCell ref="C121:D121"/>
    <mergeCell ref="E121:F121"/>
    <mergeCell ref="G121:H121"/>
    <mergeCell ref="I121:J121"/>
    <mergeCell ref="K121:L121"/>
    <mergeCell ref="M121:N121"/>
    <mergeCell ref="O121:P121"/>
    <mergeCell ref="Q122:R122"/>
    <mergeCell ref="S122:T122"/>
    <mergeCell ref="U122:X122"/>
    <mergeCell ref="C122:D122"/>
    <mergeCell ref="E122:F122"/>
    <mergeCell ref="G122:H122"/>
    <mergeCell ref="I122:J122"/>
    <mergeCell ref="K122:L122"/>
    <mergeCell ref="M122:N122"/>
    <mergeCell ref="O122:P122"/>
    <mergeCell ref="Q123:R123"/>
    <mergeCell ref="S123:T123"/>
    <mergeCell ref="U123:X123"/>
    <mergeCell ref="C123:D123"/>
    <mergeCell ref="E123:F123"/>
    <mergeCell ref="G123:H123"/>
    <mergeCell ref="I123:J123"/>
    <mergeCell ref="K123:L123"/>
    <mergeCell ref="M123:N123"/>
    <mergeCell ref="O123:P123"/>
    <mergeCell ref="Q124:R124"/>
    <mergeCell ref="S124:T124"/>
    <mergeCell ref="U124:X124"/>
    <mergeCell ref="C124:D124"/>
    <mergeCell ref="E124:F124"/>
    <mergeCell ref="G124:H124"/>
    <mergeCell ref="I124:J124"/>
    <mergeCell ref="K124:L124"/>
    <mergeCell ref="M124:N124"/>
    <mergeCell ref="O124:P124"/>
    <mergeCell ref="Q125:R125"/>
    <mergeCell ref="S125:T125"/>
    <mergeCell ref="U125:X125"/>
    <mergeCell ref="C125:D125"/>
    <mergeCell ref="E125:F125"/>
    <mergeCell ref="G125:H125"/>
    <mergeCell ref="I125:J125"/>
    <mergeCell ref="K125:L125"/>
    <mergeCell ref="M125:N125"/>
    <mergeCell ref="O125:P125"/>
    <mergeCell ref="Q126:R126"/>
    <mergeCell ref="S126:T126"/>
    <mergeCell ref="U126:X126"/>
    <mergeCell ref="C126:D126"/>
    <mergeCell ref="E126:F126"/>
    <mergeCell ref="G126:H126"/>
    <mergeCell ref="I126:J126"/>
    <mergeCell ref="K126:L126"/>
    <mergeCell ref="M126:N126"/>
    <mergeCell ref="O126:P126"/>
    <mergeCell ref="Q127:R127"/>
    <mergeCell ref="S127:T127"/>
    <mergeCell ref="U127:X127"/>
    <mergeCell ref="C127:D127"/>
    <mergeCell ref="E127:F127"/>
    <mergeCell ref="G127:H127"/>
    <mergeCell ref="I127:J127"/>
    <mergeCell ref="K127:L127"/>
    <mergeCell ref="M127:N127"/>
    <mergeCell ref="O127:P127"/>
    <mergeCell ref="Q128:R128"/>
    <mergeCell ref="S128:T128"/>
    <mergeCell ref="U128:X128"/>
    <mergeCell ref="C128:D128"/>
    <mergeCell ref="E128:F128"/>
    <mergeCell ref="G128:H128"/>
    <mergeCell ref="I128:J128"/>
    <mergeCell ref="K128:L128"/>
    <mergeCell ref="M128:N128"/>
    <mergeCell ref="O128:P128"/>
    <mergeCell ref="Q129:R129"/>
    <mergeCell ref="S129:T129"/>
    <mergeCell ref="U129:X129"/>
    <mergeCell ref="C129:D129"/>
    <mergeCell ref="E129:F129"/>
    <mergeCell ref="G129:H129"/>
    <mergeCell ref="I129:J129"/>
    <mergeCell ref="K129:L129"/>
    <mergeCell ref="M129:N129"/>
    <mergeCell ref="O129:P129"/>
    <mergeCell ref="Q130:R130"/>
    <mergeCell ref="S130:T130"/>
    <mergeCell ref="U130:X130"/>
    <mergeCell ref="C130:D130"/>
    <mergeCell ref="E130:F130"/>
    <mergeCell ref="G130:H130"/>
    <mergeCell ref="I130:J130"/>
    <mergeCell ref="K130:L130"/>
    <mergeCell ref="M130:N130"/>
    <mergeCell ref="O130:P130"/>
    <mergeCell ref="Q131:R131"/>
    <mergeCell ref="S131:T131"/>
    <mergeCell ref="U131:X131"/>
    <mergeCell ref="C131:D131"/>
    <mergeCell ref="E131:F131"/>
    <mergeCell ref="G131:H131"/>
    <mergeCell ref="I131:J131"/>
    <mergeCell ref="K131:L131"/>
    <mergeCell ref="M131:N131"/>
    <mergeCell ref="O131:P131"/>
    <mergeCell ref="Q132:R132"/>
    <mergeCell ref="S132:T132"/>
    <mergeCell ref="U132:X132"/>
    <mergeCell ref="C132:D132"/>
    <mergeCell ref="E132:F132"/>
    <mergeCell ref="G132:H132"/>
    <mergeCell ref="I132:J132"/>
    <mergeCell ref="K132:L132"/>
    <mergeCell ref="M132:N132"/>
    <mergeCell ref="O132:P132"/>
    <mergeCell ref="Q133:R133"/>
    <mergeCell ref="S133:T133"/>
    <mergeCell ref="U133:X133"/>
    <mergeCell ref="C133:D133"/>
    <mergeCell ref="E133:F133"/>
    <mergeCell ref="G133:H133"/>
    <mergeCell ref="I133:J133"/>
    <mergeCell ref="K133:L133"/>
    <mergeCell ref="M133:N133"/>
    <mergeCell ref="O133:P133"/>
    <mergeCell ref="Q134:R134"/>
    <mergeCell ref="S134:T134"/>
    <mergeCell ref="U134:X134"/>
    <mergeCell ref="C134:D134"/>
    <mergeCell ref="E134:F134"/>
    <mergeCell ref="G134:H134"/>
    <mergeCell ref="I134:J134"/>
    <mergeCell ref="K134:L134"/>
    <mergeCell ref="M134:N134"/>
    <mergeCell ref="O134:P134"/>
    <mergeCell ref="Q135:R135"/>
    <mergeCell ref="S135:T135"/>
    <mergeCell ref="U135:X135"/>
    <mergeCell ref="C135:D135"/>
    <mergeCell ref="E135:F135"/>
    <mergeCell ref="G135:H135"/>
    <mergeCell ref="I135:J135"/>
    <mergeCell ref="K135:L135"/>
    <mergeCell ref="M135:N135"/>
    <mergeCell ref="O135:P135"/>
    <mergeCell ref="Q136:R136"/>
    <mergeCell ref="S136:T136"/>
    <mergeCell ref="U136:X136"/>
    <mergeCell ref="C136:D136"/>
    <mergeCell ref="E136:F136"/>
    <mergeCell ref="G136:H136"/>
    <mergeCell ref="I136:J136"/>
    <mergeCell ref="K136:L136"/>
    <mergeCell ref="M136:N136"/>
    <mergeCell ref="O136:P136"/>
    <mergeCell ref="Q137:R137"/>
    <mergeCell ref="S137:T137"/>
    <mergeCell ref="U137:X137"/>
    <mergeCell ref="C137:D137"/>
    <mergeCell ref="E137:F137"/>
    <mergeCell ref="G137:H137"/>
    <mergeCell ref="I137:J137"/>
    <mergeCell ref="K137:L137"/>
    <mergeCell ref="M137:N137"/>
    <mergeCell ref="O137:P137"/>
    <mergeCell ref="Q138:R138"/>
    <mergeCell ref="S138:T138"/>
    <mergeCell ref="U138:X138"/>
    <mergeCell ref="C138:D138"/>
    <mergeCell ref="E138:F138"/>
    <mergeCell ref="G138:H138"/>
    <mergeCell ref="I138:J138"/>
    <mergeCell ref="K138:L138"/>
    <mergeCell ref="M138:N138"/>
    <mergeCell ref="O138:P138"/>
    <mergeCell ref="Q139:R139"/>
    <mergeCell ref="S139:T139"/>
    <mergeCell ref="U139:X139"/>
    <mergeCell ref="C139:D139"/>
    <mergeCell ref="E139:F139"/>
    <mergeCell ref="G139:H139"/>
    <mergeCell ref="I139:J139"/>
    <mergeCell ref="K139:L139"/>
    <mergeCell ref="M139:N139"/>
    <mergeCell ref="O139:P139"/>
    <mergeCell ref="Q140:R140"/>
    <mergeCell ref="S140:T140"/>
    <mergeCell ref="U140:X140"/>
    <mergeCell ref="C140:D140"/>
    <mergeCell ref="E140:F140"/>
    <mergeCell ref="G140:H140"/>
    <mergeCell ref="I140:J140"/>
    <mergeCell ref="K140:L140"/>
    <mergeCell ref="M140:N140"/>
    <mergeCell ref="O140:P140"/>
    <mergeCell ref="Q141:R141"/>
    <mergeCell ref="S141:T141"/>
    <mergeCell ref="U141:X141"/>
    <mergeCell ref="C141:D141"/>
    <mergeCell ref="E141:F141"/>
    <mergeCell ref="G141:H141"/>
    <mergeCell ref="I141:J141"/>
    <mergeCell ref="K141:L141"/>
    <mergeCell ref="M141:N141"/>
    <mergeCell ref="O141:P141"/>
    <mergeCell ref="Q142:R142"/>
    <mergeCell ref="S142:T142"/>
    <mergeCell ref="U142:X142"/>
    <mergeCell ref="C142:D142"/>
    <mergeCell ref="E142:F142"/>
    <mergeCell ref="G142:H142"/>
    <mergeCell ref="I142:J142"/>
    <mergeCell ref="K142:L142"/>
    <mergeCell ref="M142:N142"/>
    <mergeCell ref="O142:P142"/>
    <mergeCell ref="Q143:R143"/>
    <mergeCell ref="S143:T143"/>
    <mergeCell ref="U143:X143"/>
    <mergeCell ref="C143:D143"/>
    <mergeCell ref="E143:F143"/>
    <mergeCell ref="G143:H143"/>
    <mergeCell ref="I143:J143"/>
    <mergeCell ref="K143:L143"/>
    <mergeCell ref="M143:N143"/>
    <mergeCell ref="O143:P143"/>
    <mergeCell ref="Q144:R144"/>
    <mergeCell ref="S144:T144"/>
    <mergeCell ref="U144:X144"/>
    <mergeCell ref="C144:D144"/>
    <mergeCell ref="E144:F144"/>
    <mergeCell ref="G144:H144"/>
    <mergeCell ref="I144:J144"/>
    <mergeCell ref="K144:L144"/>
    <mergeCell ref="M144:N144"/>
    <mergeCell ref="O144:P144"/>
    <mergeCell ref="Q145:R145"/>
    <mergeCell ref="S145:T145"/>
    <mergeCell ref="U145:X145"/>
    <mergeCell ref="C145:D145"/>
    <mergeCell ref="E145:F145"/>
    <mergeCell ref="G145:H145"/>
    <mergeCell ref="I145:J145"/>
    <mergeCell ref="K145:L145"/>
    <mergeCell ref="M145:N145"/>
    <mergeCell ref="O145:P145"/>
    <mergeCell ref="Q146:R146"/>
    <mergeCell ref="S146:T146"/>
    <mergeCell ref="U146:X146"/>
    <mergeCell ref="C146:D146"/>
    <mergeCell ref="E146:F146"/>
    <mergeCell ref="G146:H146"/>
    <mergeCell ref="I146:J146"/>
    <mergeCell ref="K146:L146"/>
    <mergeCell ref="M146:N146"/>
    <mergeCell ref="O146:P146"/>
    <mergeCell ref="Q147:R147"/>
    <mergeCell ref="S147:T147"/>
    <mergeCell ref="U147:X147"/>
    <mergeCell ref="C147:D147"/>
    <mergeCell ref="E147:F147"/>
    <mergeCell ref="G147:H147"/>
    <mergeCell ref="I147:J147"/>
    <mergeCell ref="K147:L147"/>
    <mergeCell ref="M147:N147"/>
    <mergeCell ref="O147:P147"/>
    <mergeCell ref="Q148:R148"/>
    <mergeCell ref="S148:T148"/>
    <mergeCell ref="U148:X148"/>
    <mergeCell ref="C148:D148"/>
    <mergeCell ref="E148:F148"/>
    <mergeCell ref="G148:H148"/>
    <mergeCell ref="I148:J148"/>
    <mergeCell ref="K148:L148"/>
    <mergeCell ref="M148:N148"/>
    <mergeCell ref="O148:P148"/>
    <mergeCell ref="Q149:R149"/>
    <mergeCell ref="S149:T149"/>
    <mergeCell ref="U149:X149"/>
    <mergeCell ref="C149:D149"/>
    <mergeCell ref="E149:F149"/>
    <mergeCell ref="G149:H149"/>
    <mergeCell ref="I149:J149"/>
    <mergeCell ref="K149:L149"/>
    <mergeCell ref="M149:N149"/>
    <mergeCell ref="O149:P149"/>
    <mergeCell ref="Q150:R150"/>
    <mergeCell ref="S150:T150"/>
    <mergeCell ref="U150:X150"/>
    <mergeCell ref="C150:D150"/>
    <mergeCell ref="E150:F150"/>
    <mergeCell ref="G150:H150"/>
    <mergeCell ref="I150:J150"/>
    <mergeCell ref="K150:L150"/>
    <mergeCell ref="M150:N150"/>
    <mergeCell ref="O150:P150"/>
    <mergeCell ref="Q151:R151"/>
    <mergeCell ref="S151:T151"/>
    <mergeCell ref="U151:X151"/>
    <mergeCell ref="C151:D151"/>
    <mergeCell ref="E151:F151"/>
    <mergeCell ref="G151:H151"/>
    <mergeCell ref="I151:J151"/>
    <mergeCell ref="K151:L151"/>
    <mergeCell ref="M151:N151"/>
    <mergeCell ref="O151:P151"/>
    <mergeCell ref="Q152:R152"/>
    <mergeCell ref="S152:T152"/>
    <mergeCell ref="U152:X152"/>
    <mergeCell ref="C152:D152"/>
    <mergeCell ref="E152:F152"/>
    <mergeCell ref="G152:H152"/>
    <mergeCell ref="I152:J152"/>
    <mergeCell ref="K152:L152"/>
    <mergeCell ref="M152:N152"/>
    <mergeCell ref="O152:P152"/>
    <mergeCell ref="Q153:R153"/>
    <mergeCell ref="S153:T153"/>
    <mergeCell ref="U153:X153"/>
    <mergeCell ref="C153:D153"/>
    <mergeCell ref="E153:F153"/>
    <mergeCell ref="G153:H153"/>
    <mergeCell ref="I153:J153"/>
    <mergeCell ref="K153:L153"/>
    <mergeCell ref="M153:N153"/>
    <mergeCell ref="O153:P153"/>
    <mergeCell ref="Q154:R154"/>
    <mergeCell ref="S154:T154"/>
    <mergeCell ref="U154:X154"/>
    <mergeCell ref="C154:D154"/>
    <mergeCell ref="E154:F154"/>
    <mergeCell ref="G154:H154"/>
    <mergeCell ref="I154:J154"/>
    <mergeCell ref="K154:L154"/>
    <mergeCell ref="M154:N154"/>
    <mergeCell ref="O154:P154"/>
    <mergeCell ref="Q155:R155"/>
    <mergeCell ref="S155:T155"/>
    <mergeCell ref="U155:X155"/>
    <mergeCell ref="C155:D155"/>
    <mergeCell ref="E155:F155"/>
    <mergeCell ref="G155:H155"/>
    <mergeCell ref="I155:J155"/>
    <mergeCell ref="K155:L155"/>
    <mergeCell ref="M155:N155"/>
    <mergeCell ref="O155:P155"/>
    <mergeCell ref="Q156:R156"/>
    <mergeCell ref="S156:T156"/>
    <mergeCell ref="U156:X156"/>
    <mergeCell ref="C156:D156"/>
    <mergeCell ref="E156:F156"/>
    <mergeCell ref="G156:H156"/>
    <mergeCell ref="I156:J156"/>
    <mergeCell ref="K156:L156"/>
    <mergeCell ref="M156:N156"/>
    <mergeCell ref="O156:P156"/>
    <mergeCell ref="Q157:R157"/>
    <mergeCell ref="S157:T157"/>
    <mergeCell ref="U157:X157"/>
    <mergeCell ref="C157:D157"/>
    <mergeCell ref="E157:F157"/>
    <mergeCell ref="G157:H157"/>
    <mergeCell ref="I157:J157"/>
    <mergeCell ref="K157:L157"/>
    <mergeCell ref="M157:N157"/>
    <mergeCell ref="O157:P157"/>
    <mergeCell ref="Q158:R158"/>
    <mergeCell ref="S158:T158"/>
    <mergeCell ref="U158:X158"/>
    <mergeCell ref="C158:D158"/>
    <mergeCell ref="E158:F158"/>
    <mergeCell ref="G158:H158"/>
    <mergeCell ref="I158:J158"/>
    <mergeCell ref="K158:L158"/>
    <mergeCell ref="M158:N158"/>
    <mergeCell ref="O158:P158"/>
    <mergeCell ref="Q159:R159"/>
    <mergeCell ref="S159:T159"/>
    <mergeCell ref="U159:X159"/>
    <mergeCell ref="C159:D159"/>
    <mergeCell ref="E159:F159"/>
    <mergeCell ref="G159:H159"/>
    <mergeCell ref="I159:J159"/>
    <mergeCell ref="K159:L159"/>
    <mergeCell ref="M159:N159"/>
    <mergeCell ref="O159:P159"/>
    <mergeCell ref="Q160:R160"/>
    <mergeCell ref="S160:T160"/>
    <mergeCell ref="U160:X160"/>
    <mergeCell ref="C160:D160"/>
    <mergeCell ref="E160:F160"/>
    <mergeCell ref="G160:H160"/>
    <mergeCell ref="I160:J160"/>
    <mergeCell ref="K160:L160"/>
    <mergeCell ref="M160:N160"/>
    <mergeCell ref="O160:P160"/>
    <mergeCell ref="Q161:R161"/>
    <mergeCell ref="S161:T161"/>
    <mergeCell ref="U161:X161"/>
    <mergeCell ref="C161:D161"/>
    <mergeCell ref="E161:F161"/>
    <mergeCell ref="G161:H161"/>
    <mergeCell ref="I161:J161"/>
    <mergeCell ref="K161:L161"/>
    <mergeCell ref="M161:N161"/>
    <mergeCell ref="O161:P161"/>
    <mergeCell ref="Q162:R162"/>
    <mergeCell ref="S162:T162"/>
    <mergeCell ref="U162:X162"/>
    <mergeCell ref="C162:D162"/>
    <mergeCell ref="E162:F162"/>
    <mergeCell ref="G162:H162"/>
    <mergeCell ref="I162:J162"/>
    <mergeCell ref="K162:L162"/>
    <mergeCell ref="M162:N162"/>
    <mergeCell ref="O162:P162"/>
    <mergeCell ref="Q163:R163"/>
    <mergeCell ref="S163:T163"/>
    <mergeCell ref="U163:X163"/>
    <mergeCell ref="C163:D163"/>
    <mergeCell ref="E163:F163"/>
    <mergeCell ref="G163:H163"/>
    <mergeCell ref="I163:J163"/>
    <mergeCell ref="K163:L163"/>
    <mergeCell ref="M163:N163"/>
    <mergeCell ref="O163:P163"/>
    <mergeCell ref="Q164:R164"/>
    <mergeCell ref="S164:T164"/>
    <mergeCell ref="U164:X164"/>
    <mergeCell ref="C164:D164"/>
    <mergeCell ref="E164:F164"/>
    <mergeCell ref="G164:H164"/>
    <mergeCell ref="I164:J164"/>
    <mergeCell ref="K164:L164"/>
    <mergeCell ref="M164:N164"/>
    <mergeCell ref="O164:P164"/>
    <mergeCell ref="Q165:R165"/>
    <mergeCell ref="S165:T165"/>
    <mergeCell ref="U165:X165"/>
    <mergeCell ref="C165:D165"/>
    <mergeCell ref="E165:F165"/>
    <mergeCell ref="G165:H165"/>
    <mergeCell ref="I165:J165"/>
    <mergeCell ref="K165:L165"/>
    <mergeCell ref="M165:N165"/>
    <mergeCell ref="O165:P165"/>
    <mergeCell ref="Q166:R166"/>
    <mergeCell ref="S166:T166"/>
    <mergeCell ref="U166:X166"/>
    <mergeCell ref="C166:D166"/>
    <mergeCell ref="E166:F166"/>
    <mergeCell ref="G166:H166"/>
    <mergeCell ref="I166:J166"/>
    <mergeCell ref="K166:L166"/>
    <mergeCell ref="M166:N166"/>
    <mergeCell ref="O166:P166"/>
    <mergeCell ref="Q167:R167"/>
    <mergeCell ref="S167:T167"/>
    <mergeCell ref="U167:X167"/>
    <mergeCell ref="C167:D167"/>
    <mergeCell ref="E167:F167"/>
    <mergeCell ref="G167:H167"/>
    <mergeCell ref="I167:J167"/>
    <mergeCell ref="K167:L167"/>
    <mergeCell ref="M167:N167"/>
    <mergeCell ref="O167:P167"/>
    <mergeCell ref="Q168:R168"/>
    <mergeCell ref="S168:T168"/>
    <mergeCell ref="U168:X168"/>
    <mergeCell ref="C168:D168"/>
    <mergeCell ref="E168:F168"/>
    <mergeCell ref="G168:H168"/>
    <mergeCell ref="I168:J168"/>
    <mergeCell ref="K168:L168"/>
    <mergeCell ref="M168:N168"/>
    <mergeCell ref="O168:P168"/>
    <mergeCell ref="Q169:R169"/>
    <mergeCell ref="S169:T169"/>
    <mergeCell ref="U169:X169"/>
    <mergeCell ref="C169:D169"/>
    <mergeCell ref="E169:F169"/>
    <mergeCell ref="G169:H169"/>
    <mergeCell ref="I169:J169"/>
    <mergeCell ref="K169:L169"/>
    <mergeCell ref="M169:N169"/>
    <mergeCell ref="O169:P169"/>
    <mergeCell ref="Q170:R170"/>
    <mergeCell ref="S170:T170"/>
    <mergeCell ref="U170:X170"/>
    <mergeCell ref="C170:D170"/>
    <mergeCell ref="E170:F170"/>
    <mergeCell ref="G170:H170"/>
    <mergeCell ref="I170:J170"/>
    <mergeCell ref="K170:L170"/>
    <mergeCell ref="M170:N170"/>
    <mergeCell ref="O170:P170"/>
    <mergeCell ref="Q171:R171"/>
    <mergeCell ref="S171:T171"/>
    <mergeCell ref="U171:X171"/>
    <mergeCell ref="C171:D171"/>
    <mergeCell ref="E171:F171"/>
    <mergeCell ref="G171:H171"/>
    <mergeCell ref="I171:J171"/>
    <mergeCell ref="K171:L171"/>
    <mergeCell ref="M171:N171"/>
    <mergeCell ref="O171:P171"/>
    <mergeCell ref="Q172:R172"/>
    <mergeCell ref="S172:T172"/>
    <mergeCell ref="U172:X172"/>
    <mergeCell ref="C172:D172"/>
    <mergeCell ref="E172:F172"/>
    <mergeCell ref="G172:H172"/>
    <mergeCell ref="I172:J172"/>
    <mergeCell ref="K172:L172"/>
    <mergeCell ref="M172:N172"/>
    <mergeCell ref="O172:P172"/>
    <mergeCell ref="Q173:R173"/>
    <mergeCell ref="S173:T173"/>
    <mergeCell ref="U173:X173"/>
    <mergeCell ref="C173:D173"/>
    <mergeCell ref="E173:F173"/>
    <mergeCell ref="G173:H173"/>
    <mergeCell ref="I173:J173"/>
    <mergeCell ref="K173:L173"/>
    <mergeCell ref="M173:N173"/>
    <mergeCell ref="O173:P173"/>
    <mergeCell ref="Q174:R174"/>
    <mergeCell ref="S174:T174"/>
    <mergeCell ref="U174:X174"/>
    <mergeCell ref="C174:D174"/>
    <mergeCell ref="E174:F174"/>
    <mergeCell ref="G174:H174"/>
    <mergeCell ref="I174:J174"/>
    <mergeCell ref="K174:L174"/>
    <mergeCell ref="M174:N174"/>
    <mergeCell ref="O174:P174"/>
    <mergeCell ref="Q175:R175"/>
    <mergeCell ref="S175:T175"/>
    <mergeCell ref="U175:X175"/>
    <mergeCell ref="C175:D175"/>
    <mergeCell ref="E175:F175"/>
    <mergeCell ref="G175:H175"/>
    <mergeCell ref="I175:J175"/>
    <mergeCell ref="K175:L175"/>
    <mergeCell ref="M175:N175"/>
    <mergeCell ref="O175:P175"/>
    <mergeCell ref="Q176:R176"/>
    <mergeCell ref="S176:T176"/>
    <mergeCell ref="U176:X176"/>
    <mergeCell ref="C176:D176"/>
    <mergeCell ref="E176:F176"/>
    <mergeCell ref="G176:H176"/>
    <mergeCell ref="I176:J176"/>
    <mergeCell ref="K176:L176"/>
    <mergeCell ref="M176:N176"/>
    <mergeCell ref="O176:P176"/>
    <mergeCell ref="Q177:R177"/>
    <mergeCell ref="S177:T177"/>
    <mergeCell ref="U177:X177"/>
    <mergeCell ref="C177:D177"/>
    <mergeCell ref="E177:F177"/>
    <mergeCell ref="G177:H177"/>
    <mergeCell ref="I177:J177"/>
    <mergeCell ref="K177:L177"/>
    <mergeCell ref="M177:N177"/>
    <mergeCell ref="O177:P177"/>
    <mergeCell ref="Q178:R178"/>
    <mergeCell ref="S178:T178"/>
    <mergeCell ref="U178:X178"/>
    <mergeCell ref="C178:D178"/>
    <mergeCell ref="E178:F178"/>
    <mergeCell ref="G178:H178"/>
    <mergeCell ref="I178:J178"/>
    <mergeCell ref="K178:L178"/>
    <mergeCell ref="M178:N178"/>
    <mergeCell ref="O178:P178"/>
    <mergeCell ref="Q179:R179"/>
    <mergeCell ref="S179:T179"/>
    <mergeCell ref="U179:X179"/>
    <mergeCell ref="C179:D179"/>
    <mergeCell ref="E179:F179"/>
    <mergeCell ref="G179:H179"/>
    <mergeCell ref="I179:J179"/>
    <mergeCell ref="K179:L179"/>
    <mergeCell ref="M179:N179"/>
    <mergeCell ref="O179:P179"/>
    <mergeCell ref="Q180:R180"/>
    <mergeCell ref="S180:T180"/>
    <mergeCell ref="U180:X180"/>
    <mergeCell ref="C180:D180"/>
    <mergeCell ref="E180:F180"/>
    <mergeCell ref="G180:H180"/>
    <mergeCell ref="I180:J180"/>
    <mergeCell ref="K180:L180"/>
    <mergeCell ref="M180:N180"/>
    <mergeCell ref="O180:P180"/>
    <mergeCell ref="Q181:R181"/>
    <mergeCell ref="S181:T181"/>
    <mergeCell ref="U181:X181"/>
    <mergeCell ref="C181:D181"/>
    <mergeCell ref="E181:F181"/>
    <mergeCell ref="G181:H181"/>
    <mergeCell ref="I181:J181"/>
    <mergeCell ref="K181:L181"/>
    <mergeCell ref="M181:N181"/>
    <mergeCell ref="O181:P181"/>
    <mergeCell ref="Q182:R182"/>
    <mergeCell ref="S182:T182"/>
    <mergeCell ref="U182:X182"/>
    <mergeCell ref="C182:D182"/>
    <mergeCell ref="E182:F182"/>
    <mergeCell ref="G182:H182"/>
    <mergeCell ref="I182:J182"/>
    <mergeCell ref="K182:L182"/>
    <mergeCell ref="M182:N182"/>
    <mergeCell ref="O182:P182"/>
    <mergeCell ref="Q183:R183"/>
    <mergeCell ref="S183:T183"/>
    <mergeCell ref="U183:X183"/>
    <mergeCell ref="C183:D183"/>
    <mergeCell ref="E183:F183"/>
    <mergeCell ref="G183:H183"/>
    <mergeCell ref="I183:J183"/>
    <mergeCell ref="K183:L183"/>
    <mergeCell ref="M183:N183"/>
    <mergeCell ref="O183:P183"/>
    <mergeCell ref="Q184:R184"/>
    <mergeCell ref="S184:T184"/>
    <mergeCell ref="U184:X184"/>
    <mergeCell ref="C184:D184"/>
    <mergeCell ref="E184:F184"/>
    <mergeCell ref="G184:H184"/>
    <mergeCell ref="I184:J184"/>
    <mergeCell ref="K184:L184"/>
    <mergeCell ref="M184:N184"/>
    <mergeCell ref="O184:P184"/>
    <mergeCell ref="Q185:R185"/>
    <mergeCell ref="S185:T185"/>
    <mergeCell ref="U185:X185"/>
    <mergeCell ref="C185:D185"/>
    <mergeCell ref="E185:F185"/>
    <mergeCell ref="G185:H185"/>
    <mergeCell ref="I185:J185"/>
    <mergeCell ref="K185:L185"/>
    <mergeCell ref="M185:N185"/>
    <mergeCell ref="O185:P185"/>
    <mergeCell ref="Q186:R186"/>
    <mergeCell ref="S186:T186"/>
    <mergeCell ref="U186:X186"/>
    <mergeCell ref="C186:D186"/>
    <mergeCell ref="E186:F186"/>
    <mergeCell ref="G186:H186"/>
    <mergeCell ref="I186:J186"/>
    <mergeCell ref="K186:L186"/>
    <mergeCell ref="M186:N186"/>
    <mergeCell ref="O186:P186"/>
    <mergeCell ref="Q187:R187"/>
    <mergeCell ref="S187:T187"/>
    <mergeCell ref="U187:X187"/>
    <mergeCell ref="C187:D187"/>
    <mergeCell ref="E187:F187"/>
    <mergeCell ref="G187:H187"/>
    <mergeCell ref="I187:J187"/>
    <mergeCell ref="K187:L187"/>
    <mergeCell ref="M187:N187"/>
    <mergeCell ref="O187:P187"/>
    <mergeCell ref="Q188:R188"/>
    <mergeCell ref="S188:T188"/>
    <mergeCell ref="U188:X188"/>
    <mergeCell ref="C188:D188"/>
    <mergeCell ref="E188:F188"/>
    <mergeCell ref="G188:H188"/>
    <mergeCell ref="I188:J188"/>
    <mergeCell ref="K188:L188"/>
    <mergeCell ref="M188:N188"/>
    <mergeCell ref="O188:P188"/>
    <mergeCell ref="Q189:R189"/>
    <mergeCell ref="S189:T189"/>
    <mergeCell ref="U189:X189"/>
    <mergeCell ref="C189:D189"/>
    <mergeCell ref="E189:F189"/>
    <mergeCell ref="G189:H189"/>
    <mergeCell ref="I189:J189"/>
    <mergeCell ref="K189:L189"/>
    <mergeCell ref="M189:N189"/>
    <mergeCell ref="O189:P189"/>
    <mergeCell ref="Q190:R190"/>
    <mergeCell ref="S190:T190"/>
    <mergeCell ref="U190:X190"/>
    <mergeCell ref="C190:D190"/>
    <mergeCell ref="E190:F190"/>
    <mergeCell ref="G190:H190"/>
    <mergeCell ref="I190:J190"/>
    <mergeCell ref="K190:L190"/>
    <mergeCell ref="M190:N190"/>
    <mergeCell ref="O190:P190"/>
    <mergeCell ref="Q191:R191"/>
    <mergeCell ref="S191:T191"/>
    <mergeCell ref="U191:X191"/>
    <mergeCell ref="C191:D191"/>
    <mergeCell ref="E191:F191"/>
    <mergeCell ref="G191:H191"/>
    <mergeCell ref="I191:J191"/>
    <mergeCell ref="K191:L191"/>
    <mergeCell ref="M191:N191"/>
    <mergeCell ref="O191:P191"/>
    <mergeCell ref="Q192:R192"/>
    <mergeCell ref="S192:T192"/>
    <mergeCell ref="U192:X192"/>
    <mergeCell ref="C192:D192"/>
    <mergeCell ref="E192:F192"/>
    <mergeCell ref="G192:H192"/>
    <mergeCell ref="I192:J192"/>
    <mergeCell ref="K192:L192"/>
    <mergeCell ref="M192:N192"/>
    <mergeCell ref="O192:P192"/>
    <mergeCell ref="Q193:R193"/>
    <mergeCell ref="S193:T193"/>
    <mergeCell ref="U193:X193"/>
    <mergeCell ref="C193:D193"/>
    <mergeCell ref="E193:F193"/>
    <mergeCell ref="G193:H193"/>
    <mergeCell ref="I193:J193"/>
    <mergeCell ref="K193:L193"/>
    <mergeCell ref="M193:N193"/>
    <mergeCell ref="O193:P193"/>
    <mergeCell ref="Q194:R194"/>
    <mergeCell ref="S194:T194"/>
    <mergeCell ref="U194:X194"/>
    <mergeCell ref="C194:D194"/>
    <mergeCell ref="E194:F194"/>
    <mergeCell ref="G194:H194"/>
    <mergeCell ref="I194:J194"/>
    <mergeCell ref="K194:L194"/>
    <mergeCell ref="M194:N194"/>
    <mergeCell ref="O194:P194"/>
    <mergeCell ref="Q195:R195"/>
    <mergeCell ref="S195:T195"/>
    <mergeCell ref="U195:X195"/>
    <mergeCell ref="C195:D195"/>
    <mergeCell ref="E195:F195"/>
    <mergeCell ref="G195:H195"/>
    <mergeCell ref="I195:J195"/>
    <mergeCell ref="K195:L195"/>
    <mergeCell ref="M195:N195"/>
    <mergeCell ref="O195:P195"/>
    <mergeCell ref="Q196:R196"/>
    <mergeCell ref="S196:T196"/>
    <mergeCell ref="U196:X196"/>
    <mergeCell ref="C196:D196"/>
    <mergeCell ref="E196:F196"/>
    <mergeCell ref="G196:H196"/>
    <mergeCell ref="I196:J196"/>
    <mergeCell ref="K196:L196"/>
    <mergeCell ref="M196:N196"/>
    <mergeCell ref="O196:P196"/>
    <mergeCell ref="Q197:R197"/>
    <mergeCell ref="S197:T197"/>
    <mergeCell ref="U197:X197"/>
    <mergeCell ref="C197:D197"/>
    <mergeCell ref="E197:F197"/>
    <mergeCell ref="G197:H197"/>
    <mergeCell ref="I197:J197"/>
    <mergeCell ref="K197:L197"/>
    <mergeCell ref="M197:N197"/>
    <mergeCell ref="O197:P197"/>
    <mergeCell ref="Q198:R198"/>
    <mergeCell ref="S198:T198"/>
    <mergeCell ref="U198:X198"/>
    <mergeCell ref="C198:D198"/>
    <mergeCell ref="E198:F198"/>
    <mergeCell ref="G198:H198"/>
    <mergeCell ref="I198:J198"/>
    <mergeCell ref="K198:L198"/>
    <mergeCell ref="M198:N198"/>
    <mergeCell ref="O198:P198"/>
    <mergeCell ref="Q199:R199"/>
    <mergeCell ref="S199:T199"/>
    <mergeCell ref="U199:X199"/>
    <mergeCell ref="C199:D199"/>
    <mergeCell ref="E199:F199"/>
    <mergeCell ref="G199:H199"/>
    <mergeCell ref="I199:J199"/>
    <mergeCell ref="K199:L199"/>
    <mergeCell ref="M199:N199"/>
    <mergeCell ref="O199:P199"/>
    <mergeCell ref="Q200:R200"/>
    <mergeCell ref="S200:T200"/>
    <mergeCell ref="U200:X200"/>
    <mergeCell ref="C200:D200"/>
    <mergeCell ref="E200:F200"/>
    <mergeCell ref="G200:H200"/>
    <mergeCell ref="I200:J200"/>
    <mergeCell ref="K200:L200"/>
    <mergeCell ref="M200:N200"/>
    <mergeCell ref="O200:P200"/>
    <mergeCell ref="Q201:R201"/>
    <mergeCell ref="S201:T201"/>
    <mergeCell ref="U201:X201"/>
    <mergeCell ref="C201:D201"/>
    <mergeCell ref="E201:F201"/>
    <mergeCell ref="G201:H201"/>
    <mergeCell ref="I201:J201"/>
    <mergeCell ref="K201:L201"/>
    <mergeCell ref="M201:N201"/>
    <mergeCell ref="O201:P201"/>
    <mergeCell ref="Q202:R202"/>
    <mergeCell ref="S202:T202"/>
    <mergeCell ref="U202:X202"/>
    <mergeCell ref="C202:D202"/>
    <mergeCell ref="E202:F202"/>
    <mergeCell ref="G202:H202"/>
    <mergeCell ref="I202:J202"/>
    <mergeCell ref="K202:L202"/>
    <mergeCell ref="M202:N202"/>
    <mergeCell ref="O202:P202"/>
    <mergeCell ref="Q203:R203"/>
    <mergeCell ref="S203:T203"/>
    <mergeCell ref="U203:X203"/>
    <mergeCell ref="C203:D203"/>
    <mergeCell ref="E203:F203"/>
    <mergeCell ref="G203:H203"/>
    <mergeCell ref="I203:J203"/>
    <mergeCell ref="K203:L203"/>
    <mergeCell ref="M203:N203"/>
    <mergeCell ref="O203:P203"/>
    <mergeCell ref="Q204:R204"/>
    <mergeCell ref="S204:T204"/>
    <mergeCell ref="U204:X204"/>
    <mergeCell ref="C204:D204"/>
    <mergeCell ref="E204:F204"/>
    <mergeCell ref="G204:H204"/>
    <mergeCell ref="I204:J204"/>
    <mergeCell ref="K204:L204"/>
    <mergeCell ref="M204:N204"/>
    <mergeCell ref="O204:P204"/>
    <mergeCell ref="Q205:R205"/>
    <mergeCell ref="S205:T205"/>
    <mergeCell ref="U205:X205"/>
    <mergeCell ref="C205:D205"/>
    <mergeCell ref="E205:F205"/>
    <mergeCell ref="G205:H205"/>
    <mergeCell ref="I205:J205"/>
    <mergeCell ref="K205:L205"/>
    <mergeCell ref="M205:N205"/>
    <mergeCell ref="O205:P205"/>
    <mergeCell ref="Q206:R206"/>
    <mergeCell ref="S206:T206"/>
    <mergeCell ref="U206:X206"/>
    <mergeCell ref="C206:D206"/>
    <mergeCell ref="E206:F206"/>
    <mergeCell ref="G206:H206"/>
    <mergeCell ref="I206:J206"/>
    <mergeCell ref="K206:L206"/>
    <mergeCell ref="M206:N206"/>
    <mergeCell ref="O206:P206"/>
    <mergeCell ref="Q207:R207"/>
    <mergeCell ref="S207:T207"/>
    <mergeCell ref="U207:X207"/>
    <mergeCell ref="C207:D207"/>
    <mergeCell ref="E207:F207"/>
    <mergeCell ref="G207:H207"/>
    <mergeCell ref="I207:J207"/>
    <mergeCell ref="K207:L207"/>
    <mergeCell ref="M207:N207"/>
    <mergeCell ref="O207:P207"/>
    <mergeCell ref="Q208:R208"/>
    <mergeCell ref="S208:T208"/>
    <mergeCell ref="U208:X208"/>
    <mergeCell ref="C208:D208"/>
    <mergeCell ref="E208:F208"/>
    <mergeCell ref="G208:H208"/>
    <mergeCell ref="I208:J208"/>
    <mergeCell ref="K208:L208"/>
    <mergeCell ref="M208:N208"/>
    <mergeCell ref="O208:P208"/>
    <mergeCell ref="Q209:R209"/>
    <mergeCell ref="S209:T209"/>
    <mergeCell ref="U209:X209"/>
    <mergeCell ref="C209:D209"/>
    <mergeCell ref="E209:F209"/>
    <mergeCell ref="G209:H209"/>
    <mergeCell ref="I209:J209"/>
    <mergeCell ref="K209:L209"/>
    <mergeCell ref="M209:N209"/>
    <mergeCell ref="O209:P209"/>
    <mergeCell ref="Q210:R210"/>
    <mergeCell ref="S210:T210"/>
    <mergeCell ref="U210:X210"/>
    <mergeCell ref="C210:D210"/>
    <mergeCell ref="E210:F210"/>
    <mergeCell ref="G210:H210"/>
    <mergeCell ref="I210:J210"/>
    <mergeCell ref="K210:L210"/>
    <mergeCell ref="M210:N210"/>
    <mergeCell ref="O210:P210"/>
    <mergeCell ref="Q211:R211"/>
    <mergeCell ref="S211:T211"/>
    <mergeCell ref="U211:X211"/>
    <mergeCell ref="C211:D211"/>
    <mergeCell ref="E211:F211"/>
    <mergeCell ref="G211:H211"/>
    <mergeCell ref="I211:J211"/>
    <mergeCell ref="K211:L211"/>
    <mergeCell ref="M211:N211"/>
    <mergeCell ref="O211:P211"/>
    <mergeCell ref="Q212:R212"/>
    <mergeCell ref="S212:T212"/>
    <mergeCell ref="U212:X212"/>
    <mergeCell ref="C212:D212"/>
    <mergeCell ref="E212:F212"/>
    <mergeCell ref="G212:H212"/>
    <mergeCell ref="I212:J212"/>
    <mergeCell ref="K212:L212"/>
    <mergeCell ref="M212:N212"/>
    <mergeCell ref="O212:P212"/>
    <mergeCell ref="Q213:R213"/>
    <mergeCell ref="S213:T213"/>
    <mergeCell ref="U213:X213"/>
    <mergeCell ref="C213:D213"/>
    <mergeCell ref="E213:F213"/>
    <mergeCell ref="G213:H213"/>
    <mergeCell ref="I213:J213"/>
    <mergeCell ref="K213:L213"/>
    <mergeCell ref="M213:N213"/>
    <mergeCell ref="O213:P213"/>
    <mergeCell ref="Q214:R214"/>
    <mergeCell ref="S214:T214"/>
    <mergeCell ref="U214:X214"/>
    <mergeCell ref="C214:D214"/>
    <mergeCell ref="E214:F214"/>
    <mergeCell ref="G214:H214"/>
    <mergeCell ref="I214:J214"/>
    <mergeCell ref="K214:L214"/>
    <mergeCell ref="M214:N214"/>
    <mergeCell ref="O214:P214"/>
    <mergeCell ref="Q215:R215"/>
    <mergeCell ref="S215:T215"/>
    <mergeCell ref="U215:X215"/>
    <mergeCell ref="C215:D215"/>
    <mergeCell ref="E215:F215"/>
    <mergeCell ref="G215:H215"/>
    <mergeCell ref="I215:J215"/>
    <mergeCell ref="K215:L215"/>
    <mergeCell ref="M215:N215"/>
    <mergeCell ref="O215:P215"/>
    <mergeCell ref="Q216:R216"/>
    <mergeCell ref="S216:T216"/>
    <mergeCell ref="U216:X216"/>
    <mergeCell ref="C216:D216"/>
    <mergeCell ref="E216:F216"/>
    <mergeCell ref="G216:H216"/>
    <mergeCell ref="I216:J216"/>
    <mergeCell ref="K216:L216"/>
    <mergeCell ref="M216:N216"/>
    <mergeCell ref="O216:P216"/>
    <mergeCell ref="Q217:R217"/>
    <mergeCell ref="S217:T217"/>
    <mergeCell ref="U217:X217"/>
    <mergeCell ref="C217:D217"/>
    <mergeCell ref="E217:F217"/>
    <mergeCell ref="G217:H217"/>
    <mergeCell ref="I217:J217"/>
    <mergeCell ref="K217:L217"/>
    <mergeCell ref="M217:N217"/>
    <mergeCell ref="O217:P217"/>
    <mergeCell ref="Q218:R218"/>
    <mergeCell ref="S218:T218"/>
    <mergeCell ref="U218:X218"/>
    <mergeCell ref="C218:D218"/>
    <mergeCell ref="E218:F218"/>
    <mergeCell ref="G218:H218"/>
    <mergeCell ref="I218:J218"/>
    <mergeCell ref="K218:L218"/>
    <mergeCell ref="M218:N218"/>
    <mergeCell ref="O218:P218"/>
    <mergeCell ref="Q219:R219"/>
    <mergeCell ref="S219:T219"/>
    <mergeCell ref="U219:X219"/>
    <mergeCell ref="C219:D219"/>
    <mergeCell ref="E219:F219"/>
    <mergeCell ref="G219:H219"/>
    <mergeCell ref="I219:J219"/>
    <mergeCell ref="K219:L219"/>
    <mergeCell ref="M219:N219"/>
    <mergeCell ref="O219:P219"/>
    <mergeCell ref="Q220:R220"/>
    <mergeCell ref="S220:T220"/>
    <mergeCell ref="U220:X220"/>
    <mergeCell ref="C220:D220"/>
    <mergeCell ref="E220:F220"/>
    <mergeCell ref="G220:H220"/>
    <mergeCell ref="I220:J220"/>
    <mergeCell ref="K220:L220"/>
    <mergeCell ref="M220:N220"/>
    <mergeCell ref="O220:P220"/>
    <mergeCell ref="Q221:R221"/>
    <mergeCell ref="S221:T221"/>
    <mergeCell ref="U221:X221"/>
    <mergeCell ref="C221:D221"/>
    <mergeCell ref="E221:F221"/>
    <mergeCell ref="G221:H221"/>
    <mergeCell ref="I221:J221"/>
    <mergeCell ref="K221:L221"/>
    <mergeCell ref="M221:N221"/>
    <mergeCell ref="O221:P221"/>
    <mergeCell ref="Q222:R222"/>
    <mergeCell ref="S222:T222"/>
    <mergeCell ref="U222:X222"/>
    <mergeCell ref="C222:D222"/>
    <mergeCell ref="E222:F222"/>
    <mergeCell ref="G222:H222"/>
    <mergeCell ref="I222:J222"/>
    <mergeCell ref="K222:L222"/>
    <mergeCell ref="M222:N222"/>
    <mergeCell ref="O222:P222"/>
    <mergeCell ref="Q223:R223"/>
    <mergeCell ref="S223:T223"/>
    <mergeCell ref="U223:X223"/>
    <mergeCell ref="C223:D223"/>
    <mergeCell ref="E223:F223"/>
    <mergeCell ref="G223:H223"/>
    <mergeCell ref="I223:J223"/>
    <mergeCell ref="K223:L223"/>
    <mergeCell ref="M223:N223"/>
    <mergeCell ref="O223:P223"/>
    <mergeCell ref="Q224:R224"/>
    <mergeCell ref="S224:T224"/>
    <mergeCell ref="U224:X224"/>
    <mergeCell ref="C224:D224"/>
    <mergeCell ref="E224:F224"/>
    <mergeCell ref="G224:H224"/>
    <mergeCell ref="I224:J224"/>
    <mergeCell ref="K224:L224"/>
    <mergeCell ref="M224:N224"/>
    <mergeCell ref="O224:P224"/>
    <mergeCell ref="Q225:R225"/>
    <mergeCell ref="S225:T225"/>
    <mergeCell ref="U225:X225"/>
    <mergeCell ref="C225:D225"/>
    <mergeCell ref="E225:F225"/>
    <mergeCell ref="G225:H225"/>
    <mergeCell ref="I225:J225"/>
    <mergeCell ref="K225:L225"/>
    <mergeCell ref="M225:N225"/>
    <mergeCell ref="O225:P225"/>
    <mergeCell ref="Q226:R226"/>
    <mergeCell ref="S226:T226"/>
    <mergeCell ref="U226:X226"/>
    <mergeCell ref="C226:D226"/>
    <mergeCell ref="E226:F226"/>
    <mergeCell ref="G226:H226"/>
    <mergeCell ref="I226:J226"/>
    <mergeCell ref="K226:L226"/>
    <mergeCell ref="M226:N226"/>
    <mergeCell ref="O226:P226"/>
    <mergeCell ref="Q227:R227"/>
    <mergeCell ref="S227:T227"/>
    <mergeCell ref="U227:X227"/>
    <mergeCell ref="C227:D227"/>
    <mergeCell ref="E227:F227"/>
    <mergeCell ref="G227:H227"/>
    <mergeCell ref="I227:J227"/>
    <mergeCell ref="K227:L227"/>
    <mergeCell ref="M227:N227"/>
    <mergeCell ref="O227:P227"/>
    <mergeCell ref="Q228:R228"/>
    <mergeCell ref="S228:T228"/>
    <mergeCell ref="U228:X228"/>
    <mergeCell ref="C228:D228"/>
    <mergeCell ref="E228:F228"/>
    <mergeCell ref="G228:H228"/>
    <mergeCell ref="I228:J228"/>
    <mergeCell ref="K228:L228"/>
    <mergeCell ref="M228:N228"/>
    <mergeCell ref="O228:P228"/>
    <mergeCell ref="Q229:R229"/>
    <mergeCell ref="S229:T229"/>
    <mergeCell ref="U229:X229"/>
    <mergeCell ref="C229:D229"/>
    <mergeCell ref="E229:F229"/>
    <mergeCell ref="G229:H229"/>
    <mergeCell ref="I229:J229"/>
    <mergeCell ref="K229:L229"/>
    <mergeCell ref="M229:N229"/>
    <mergeCell ref="O229:P229"/>
    <mergeCell ref="Q230:R230"/>
    <mergeCell ref="S230:T230"/>
    <mergeCell ref="U230:X230"/>
    <mergeCell ref="C230:D230"/>
    <mergeCell ref="E230:F230"/>
    <mergeCell ref="G230:H230"/>
    <mergeCell ref="I230:J230"/>
    <mergeCell ref="K230:L230"/>
    <mergeCell ref="M230:N230"/>
    <mergeCell ref="O230:P230"/>
    <mergeCell ref="Q231:R231"/>
    <mergeCell ref="S231:T231"/>
    <mergeCell ref="U231:X231"/>
    <mergeCell ref="C231:D231"/>
    <mergeCell ref="E231:F231"/>
    <mergeCell ref="G231:H231"/>
    <mergeCell ref="I231:J231"/>
    <mergeCell ref="K231:L231"/>
    <mergeCell ref="M231:N231"/>
    <mergeCell ref="O231:P231"/>
    <mergeCell ref="Q232:R232"/>
    <mergeCell ref="S232:T232"/>
    <mergeCell ref="U232:X232"/>
    <mergeCell ref="C232:D232"/>
    <mergeCell ref="E232:F232"/>
    <mergeCell ref="G232:H232"/>
    <mergeCell ref="I232:J232"/>
    <mergeCell ref="K232:L232"/>
    <mergeCell ref="M232:N232"/>
    <mergeCell ref="O232:P232"/>
    <mergeCell ref="Q233:R233"/>
    <mergeCell ref="S233:T233"/>
    <mergeCell ref="U233:X233"/>
    <mergeCell ref="C233:D233"/>
    <mergeCell ref="E233:F233"/>
    <mergeCell ref="G233:H233"/>
    <mergeCell ref="I233:J233"/>
    <mergeCell ref="K233:L233"/>
    <mergeCell ref="M233:N233"/>
    <mergeCell ref="O233:P233"/>
    <mergeCell ref="Q234:R234"/>
    <mergeCell ref="S234:T234"/>
    <mergeCell ref="U234:X234"/>
    <mergeCell ref="C234:D234"/>
    <mergeCell ref="E234:F234"/>
    <mergeCell ref="G234:H234"/>
    <mergeCell ref="I234:J234"/>
    <mergeCell ref="K234:L234"/>
    <mergeCell ref="M234:N234"/>
    <mergeCell ref="O234:P234"/>
    <mergeCell ref="Q235:R235"/>
    <mergeCell ref="S235:T235"/>
    <mergeCell ref="U235:X235"/>
    <mergeCell ref="C235:D235"/>
    <mergeCell ref="E235:F235"/>
    <mergeCell ref="G235:H235"/>
    <mergeCell ref="I235:J235"/>
    <mergeCell ref="K235:L235"/>
    <mergeCell ref="M235:N235"/>
    <mergeCell ref="O235:P235"/>
    <mergeCell ref="Q236:R236"/>
    <mergeCell ref="S236:T236"/>
    <mergeCell ref="U236:X236"/>
    <mergeCell ref="C236:D236"/>
    <mergeCell ref="E236:F236"/>
    <mergeCell ref="G236:H236"/>
    <mergeCell ref="I236:J236"/>
    <mergeCell ref="K236:L236"/>
    <mergeCell ref="M236:N236"/>
    <mergeCell ref="O236:P236"/>
    <mergeCell ref="Q237:R237"/>
    <mergeCell ref="S237:T237"/>
    <mergeCell ref="U237:X237"/>
    <mergeCell ref="C237:D237"/>
    <mergeCell ref="E237:F237"/>
    <mergeCell ref="G237:H237"/>
    <mergeCell ref="I237:J237"/>
    <mergeCell ref="K237:L237"/>
    <mergeCell ref="M237:N237"/>
    <mergeCell ref="O237:P237"/>
    <mergeCell ref="Q238:R238"/>
    <mergeCell ref="S238:T238"/>
    <mergeCell ref="U238:X238"/>
    <mergeCell ref="C238:D238"/>
    <mergeCell ref="E238:F238"/>
    <mergeCell ref="G238:H238"/>
    <mergeCell ref="I238:J238"/>
    <mergeCell ref="K238:L238"/>
    <mergeCell ref="M238:N238"/>
    <mergeCell ref="O238:P238"/>
    <mergeCell ref="Q239:R239"/>
    <mergeCell ref="S239:T239"/>
    <mergeCell ref="U239:X239"/>
    <mergeCell ref="C239:D239"/>
    <mergeCell ref="E239:F239"/>
    <mergeCell ref="G239:H239"/>
    <mergeCell ref="I239:J239"/>
    <mergeCell ref="K239:L239"/>
    <mergeCell ref="M239:N239"/>
    <mergeCell ref="O239:P239"/>
    <mergeCell ref="Q240:R240"/>
    <mergeCell ref="S240:T240"/>
    <mergeCell ref="U240:X240"/>
    <mergeCell ref="C240:D240"/>
    <mergeCell ref="E240:F240"/>
    <mergeCell ref="G240:H240"/>
    <mergeCell ref="I240:J240"/>
    <mergeCell ref="K240:L240"/>
    <mergeCell ref="M240:N240"/>
    <mergeCell ref="O240:P240"/>
    <mergeCell ref="Q241:R241"/>
    <mergeCell ref="S241:T241"/>
    <mergeCell ref="U241:X241"/>
    <mergeCell ref="C241:D241"/>
    <mergeCell ref="E241:F241"/>
    <mergeCell ref="G241:H241"/>
    <mergeCell ref="I241:J241"/>
    <mergeCell ref="K241:L241"/>
    <mergeCell ref="M241:N241"/>
    <mergeCell ref="O241:P241"/>
    <mergeCell ref="Q242:R242"/>
    <mergeCell ref="S242:T242"/>
    <mergeCell ref="U242:X242"/>
    <mergeCell ref="C242:D242"/>
    <mergeCell ref="E242:F242"/>
    <mergeCell ref="G242:H242"/>
    <mergeCell ref="I242:J242"/>
    <mergeCell ref="K242:L242"/>
    <mergeCell ref="M242:N242"/>
    <mergeCell ref="O242:P242"/>
    <mergeCell ref="Q243:R243"/>
    <mergeCell ref="S243:T243"/>
    <mergeCell ref="U243:X243"/>
    <mergeCell ref="C243:D243"/>
    <mergeCell ref="E243:F243"/>
    <mergeCell ref="G243:H243"/>
    <mergeCell ref="I243:J243"/>
    <mergeCell ref="K243:L243"/>
    <mergeCell ref="M243:N243"/>
    <mergeCell ref="O243:P243"/>
    <mergeCell ref="Q244:R244"/>
    <mergeCell ref="S244:T244"/>
    <mergeCell ref="U244:X244"/>
    <mergeCell ref="C244:D244"/>
    <mergeCell ref="E244:F244"/>
    <mergeCell ref="G244:H244"/>
    <mergeCell ref="I244:J244"/>
    <mergeCell ref="K244:L244"/>
    <mergeCell ref="M244:N244"/>
    <mergeCell ref="O244:P244"/>
    <mergeCell ref="Q245:R245"/>
    <mergeCell ref="S245:T245"/>
    <mergeCell ref="U245:X245"/>
    <mergeCell ref="C245:D245"/>
    <mergeCell ref="E245:F245"/>
    <mergeCell ref="G245:H245"/>
    <mergeCell ref="I245:J245"/>
    <mergeCell ref="K245:L245"/>
    <mergeCell ref="M245:N245"/>
    <mergeCell ref="O245:P245"/>
    <mergeCell ref="Q246:R246"/>
    <mergeCell ref="S246:T246"/>
    <mergeCell ref="U246:X246"/>
    <mergeCell ref="C246:D246"/>
    <mergeCell ref="E246:F246"/>
    <mergeCell ref="G246:H246"/>
    <mergeCell ref="I246:J246"/>
    <mergeCell ref="K246:L246"/>
    <mergeCell ref="M246:N246"/>
    <mergeCell ref="O246:P246"/>
    <mergeCell ref="Q247:R247"/>
    <mergeCell ref="S247:T247"/>
    <mergeCell ref="U247:X247"/>
    <mergeCell ref="C247:D247"/>
    <mergeCell ref="E247:F247"/>
    <mergeCell ref="G247:H247"/>
    <mergeCell ref="I247:J247"/>
    <mergeCell ref="K247:L247"/>
    <mergeCell ref="M247:N247"/>
    <mergeCell ref="O247:P247"/>
    <mergeCell ref="Q248:R248"/>
    <mergeCell ref="S248:T248"/>
    <mergeCell ref="U248:X248"/>
    <mergeCell ref="C248:D248"/>
    <mergeCell ref="E248:F248"/>
    <mergeCell ref="G248:H248"/>
    <mergeCell ref="I248:J248"/>
    <mergeCell ref="K248:L248"/>
    <mergeCell ref="M248:N248"/>
    <mergeCell ref="O248:P248"/>
    <mergeCell ref="Q249:R249"/>
    <mergeCell ref="S249:T249"/>
    <mergeCell ref="U249:X249"/>
    <mergeCell ref="C249:D249"/>
    <mergeCell ref="E249:F249"/>
    <mergeCell ref="G249:H249"/>
    <mergeCell ref="I249:J249"/>
    <mergeCell ref="K249:L249"/>
    <mergeCell ref="M249:N249"/>
    <mergeCell ref="O249:P249"/>
    <mergeCell ref="Q250:R250"/>
    <mergeCell ref="S250:T250"/>
    <mergeCell ref="U250:X250"/>
    <mergeCell ref="C250:D250"/>
    <mergeCell ref="E250:F250"/>
    <mergeCell ref="G250:H250"/>
    <mergeCell ref="I250:J250"/>
    <mergeCell ref="K250:L250"/>
    <mergeCell ref="M250:N250"/>
    <mergeCell ref="O250:P250"/>
    <mergeCell ref="Q251:R251"/>
    <mergeCell ref="S251:T251"/>
    <mergeCell ref="U251:X251"/>
    <mergeCell ref="C251:D251"/>
    <mergeCell ref="E251:F251"/>
    <mergeCell ref="G251:H251"/>
    <mergeCell ref="I251:J251"/>
    <mergeCell ref="K251:L251"/>
    <mergeCell ref="M251:N251"/>
    <mergeCell ref="O251:P251"/>
    <mergeCell ref="Q252:R252"/>
    <mergeCell ref="S252:T252"/>
    <mergeCell ref="U252:X252"/>
    <mergeCell ref="C252:D252"/>
    <mergeCell ref="E252:F252"/>
    <mergeCell ref="G252:H252"/>
    <mergeCell ref="I252:J252"/>
    <mergeCell ref="K252:L252"/>
    <mergeCell ref="M252:N252"/>
    <mergeCell ref="O252:P252"/>
    <mergeCell ref="Q253:R253"/>
    <mergeCell ref="S253:T253"/>
    <mergeCell ref="U253:X253"/>
    <mergeCell ref="C253:D253"/>
    <mergeCell ref="E253:F253"/>
    <mergeCell ref="G253:H253"/>
    <mergeCell ref="I253:J253"/>
    <mergeCell ref="K253:L253"/>
    <mergeCell ref="M253:N253"/>
    <mergeCell ref="O253:P253"/>
    <mergeCell ref="Q254:R254"/>
    <mergeCell ref="S254:T254"/>
    <mergeCell ref="U254:X254"/>
    <mergeCell ref="C254:D254"/>
    <mergeCell ref="E254:F254"/>
    <mergeCell ref="G254:H254"/>
    <mergeCell ref="I254:J254"/>
    <mergeCell ref="K254:L254"/>
    <mergeCell ref="M254:N254"/>
    <mergeCell ref="O254:P254"/>
    <mergeCell ref="Q255:R255"/>
    <mergeCell ref="S255:T255"/>
    <mergeCell ref="U255:X255"/>
    <mergeCell ref="C255:D255"/>
    <mergeCell ref="E255:F255"/>
    <mergeCell ref="G255:H255"/>
    <mergeCell ref="I255:J255"/>
    <mergeCell ref="K255:L255"/>
    <mergeCell ref="M255:N255"/>
    <mergeCell ref="O255:P255"/>
    <mergeCell ref="Q256:R256"/>
    <mergeCell ref="S256:T256"/>
    <mergeCell ref="U256:X256"/>
    <mergeCell ref="C256:D256"/>
    <mergeCell ref="E256:F256"/>
    <mergeCell ref="G256:H256"/>
    <mergeCell ref="I256:J256"/>
    <mergeCell ref="K256:L256"/>
    <mergeCell ref="M256:N256"/>
    <mergeCell ref="O256:P256"/>
    <mergeCell ref="Q257:R257"/>
    <mergeCell ref="S257:T257"/>
    <mergeCell ref="U257:X257"/>
    <mergeCell ref="C257:D257"/>
    <mergeCell ref="E257:F257"/>
    <mergeCell ref="G257:H257"/>
    <mergeCell ref="I257:J257"/>
    <mergeCell ref="K257:L257"/>
    <mergeCell ref="M257:N257"/>
    <mergeCell ref="O257:P257"/>
    <mergeCell ref="Q258:R258"/>
    <mergeCell ref="S258:T258"/>
    <mergeCell ref="U258:X258"/>
    <mergeCell ref="C258:D258"/>
    <mergeCell ref="E258:F258"/>
    <mergeCell ref="G258:H258"/>
    <mergeCell ref="I258:J258"/>
    <mergeCell ref="K258:L258"/>
    <mergeCell ref="M258:N258"/>
    <mergeCell ref="O258:P258"/>
    <mergeCell ref="Q259:R259"/>
    <mergeCell ref="S259:T259"/>
    <mergeCell ref="U259:X259"/>
    <mergeCell ref="C259:D259"/>
    <mergeCell ref="E259:F259"/>
    <mergeCell ref="G259:H259"/>
    <mergeCell ref="I259:J259"/>
    <mergeCell ref="K259:L259"/>
    <mergeCell ref="M259:N259"/>
    <mergeCell ref="O259:P259"/>
    <mergeCell ref="Q260:R260"/>
    <mergeCell ref="S260:T260"/>
    <mergeCell ref="U260:X260"/>
    <mergeCell ref="C260:D260"/>
    <mergeCell ref="E260:F260"/>
    <mergeCell ref="G260:H260"/>
    <mergeCell ref="I260:J260"/>
    <mergeCell ref="K260:L260"/>
    <mergeCell ref="M260:N260"/>
    <mergeCell ref="O260:P260"/>
    <mergeCell ref="Q261:R261"/>
    <mergeCell ref="S261:T261"/>
    <mergeCell ref="U261:X261"/>
    <mergeCell ref="C261:D261"/>
    <mergeCell ref="E261:F261"/>
    <mergeCell ref="G261:H261"/>
    <mergeCell ref="I261:J261"/>
    <mergeCell ref="K261:L261"/>
    <mergeCell ref="M261:N261"/>
    <mergeCell ref="O261:P261"/>
    <mergeCell ref="Q262:R262"/>
    <mergeCell ref="S262:T262"/>
    <mergeCell ref="U262:X262"/>
    <mergeCell ref="C262:D262"/>
    <mergeCell ref="E262:F262"/>
    <mergeCell ref="G262:H262"/>
    <mergeCell ref="I262:J262"/>
    <mergeCell ref="K262:L262"/>
    <mergeCell ref="M262:N262"/>
    <mergeCell ref="O262:P262"/>
    <mergeCell ref="Q263:R263"/>
    <mergeCell ref="S263:T263"/>
    <mergeCell ref="U263:X263"/>
    <mergeCell ref="C263:D263"/>
    <mergeCell ref="E263:F263"/>
    <mergeCell ref="G263:H263"/>
    <mergeCell ref="I263:J263"/>
    <mergeCell ref="K263:L263"/>
    <mergeCell ref="M263:N263"/>
    <mergeCell ref="O263:P263"/>
    <mergeCell ref="Q264:R264"/>
    <mergeCell ref="S264:T264"/>
    <mergeCell ref="U264:X264"/>
    <mergeCell ref="C264:D264"/>
    <mergeCell ref="E264:F264"/>
    <mergeCell ref="G264:H264"/>
    <mergeCell ref="I264:J264"/>
    <mergeCell ref="K264:L264"/>
    <mergeCell ref="M264:N264"/>
    <mergeCell ref="O264:P264"/>
    <mergeCell ref="Q265:R265"/>
    <mergeCell ref="S265:T265"/>
    <mergeCell ref="U265:X265"/>
    <mergeCell ref="C265:D265"/>
    <mergeCell ref="E265:F265"/>
    <mergeCell ref="G265:H265"/>
    <mergeCell ref="I265:J265"/>
    <mergeCell ref="K265:L265"/>
    <mergeCell ref="M265:N265"/>
    <mergeCell ref="O265:P265"/>
    <mergeCell ref="Q266:R266"/>
    <mergeCell ref="S266:T266"/>
    <mergeCell ref="U266:X266"/>
    <mergeCell ref="C266:D266"/>
    <mergeCell ref="E266:F266"/>
    <mergeCell ref="G266:H266"/>
    <mergeCell ref="I266:J266"/>
    <mergeCell ref="K266:L266"/>
    <mergeCell ref="M266:N266"/>
    <mergeCell ref="O266:P266"/>
    <mergeCell ref="Q267:R267"/>
    <mergeCell ref="S267:T267"/>
    <mergeCell ref="U267:X267"/>
    <mergeCell ref="C267:D267"/>
    <mergeCell ref="E267:F267"/>
    <mergeCell ref="G267:H267"/>
    <mergeCell ref="I267:J267"/>
    <mergeCell ref="K267:L267"/>
    <mergeCell ref="M267:N267"/>
    <mergeCell ref="O267:P267"/>
    <mergeCell ref="Q268:R268"/>
    <mergeCell ref="S268:T268"/>
    <mergeCell ref="U268:X268"/>
    <mergeCell ref="C268:D268"/>
    <mergeCell ref="E268:F268"/>
    <mergeCell ref="G268:H268"/>
    <mergeCell ref="I268:J268"/>
    <mergeCell ref="K268:L268"/>
    <mergeCell ref="M268:N268"/>
    <mergeCell ref="O268:P268"/>
    <mergeCell ref="Q269:R269"/>
    <mergeCell ref="S269:T269"/>
    <mergeCell ref="U269:X269"/>
    <mergeCell ref="C269:D269"/>
    <mergeCell ref="E269:F269"/>
    <mergeCell ref="G269:H269"/>
    <mergeCell ref="I269:J269"/>
    <mergeCell ref="K269:L269"/>
    <mergeCell ref="M269:N269"/>
    <mergeCell ref="O269:P269"/>
    <mergeCell ref="Q270:R270"/>
    <mergeCell ref="S270:T270"/>
    <mergeCell ref="U270:X270"/>
    <mergeCell ref="C270:D270"/>
    <mergeCell ref="E270:F270"/>
    <mergeCell ref="G270:H270"/>
    <mergeCell ref="I270:J270"/>
    <mergeCell ref="K270:L270"/>
    <mergeCell ref="M270:N270"/>
    <mergeCell ref="O270:P270"/>
    <mergeCell ref="Q271:R271"/>
    <mergeCell ref="S271:T271"/>
    <mergeCell ref="U271:X271"/>
    <mergeCell ref="C271:D271"/>
    <mergeCell ref="E271:F271"/>
    <mergeCell ref="G271:H271"/>
    <mergeCell ref="I271:J271"/>
    <mergeCell ref="K271:L271"/>
    <mergeCell ref="M271:N271"/>
    <mergeCell ref="O271:P271"/>
    <mergeCell ref="Q272:R272"/>
    <mergeCell ref="S272:T272"/>
    <mergeCell ref="U272:X272"/>
    <mergeCell ref="C272:D272"/>
    <mergeCell ref="E272:F272"/>
    <mergeCell ref="G272:H272"/>
    <mergeCell ref="I272:J272"/>
    <mergeCell ref="K272:L272"/>
    <mergeCell ref="M272:N272"/>
    <mergeCell ref="O272:P272"/>
    <mergeCell ref="Q273:R273"/>
    <mergeCell ref="S273:T273"/>
    <mergeCell ref="U273:X273"/>
    <mergeCell ref="C273:D273"/>
    <mergeCell ref="E273:F273"/>
    <mergeCell ref="G273:H273"/>
    <mergeCell ref="I273:J273"/>
    <mergeCell ref="K273:L273"/>
    <mergeCell ref="M273:N273"/>
    <mergeCell ref="O273:P273"/>
    <mergeCell ref="Q274:R274"/>
    <mergeCell ref="S274:T274"/>
    <mergeCell ref="U274:X274"/>
    <mergeCell ref="C274:D274"/>
    <mergeCell ref="E274:F274"/>
    <mergeCell ref="G274:H274"/>
    <mergeCell ref="I274:J274"/>
    <mergeCell ref="K274:L274"/>
    <mergeCell ref="M274:N274"/>
    <mergeCell ref="O274:P274"/>
    <mergeCell ref="Q275:R275"/>
    <mergeCell ref="S275:T275"/>
    <mergeCell ref="U275:X275"/>
    <mergeCell ref="C275:D275"/>
    <mergeCell ref="E275:F275"/>
    <mergeCell ref="G275:H275"/>
    <mergeCell ref="I275:J275"/>
    <mergeCell ref="K275:L275"/>
    <mergeCell ref="M275:N275"/>
    <mergeCell ref="O275:P275"/>
    <mergeCell ref="Q276:R276"/>
    <mergeCell ref="S276:T276"/>
    <mergeCell ref="U276:X276"/>
    <mergeCell ref="C276:D276"/>
    <mergeCell ref="E276:F276"/>
    <mergeCell ref="G276:H276"/>
    <mergeCell ref="I276:J276"/>
    <mergeCell ref="K276:L276"/>
    <mergeCell ref="M276:N276"/>
    <mergeCell ref="O276:P276"/>
    <mergeCell ref="Q277:R277"/>
    <mergeCell ref="S277:T277"/>
    <mergeCell ref="U277:X277"/>
    <mergeCell ref="C277:D277"/>
    <mergeCell ref="E277:F277"/>
    <mergeCell ref="G277:H277"/>
    <mergeCell ref="I277:J277"/>
    <mergeCell ref="K277:L277"/>
    <mergeCell ref="M277:N277"/>
    <mergeCell ref="O277:P277"/>
    <mergeCell ref="Q278:R278"/>
    <mergeCell ref="S278:T278"/>
    <mergeCell ref="U278:X278"/>
    <mergeCell ref="C278:D278"/>
    <mergeCell ref="E278:F278"/>
    <mergeCell ref="G278:H278"/>
    <mergeCell ref="I278:J278"/>
    <mergeCell ref="K278:L278"/>
    <mergeCell ref="M278:N278"/>
    <mergeCell ref="O278:P278"/>
    <mergeCell ref="Q279:R279"/>
    <mergeCell ref="S279:T279"/>
    <mergeCell ref="U279:X279"/>
    <mergeCell ref="C279:D279"/>
    <mergeCell ref="E279:F279"/>
    <mergeCell ref="G279:H279"/>
    <mergeCell ref="I279:J279"/>
    <mergeCell ref="K279:L279"/>
    <mergeCell ref="M279:N279"/>
    <mergeCell ref="O279:P279"/>
    <mergeCell ref="Q280:R280"/>
    <mergeCell ref="S280:T280"/>
    <mergeCell ref="U280:X280"/>
    <mergeCell ref="C280:D280"/>
    <mergeCell ref="E280:F280"/>
    <mergeCell ref="G280:H280"/>
    <mergeCell ref="I280:J280"/>
    <mergeCell ref="K280:L280"/>
    <mergeCell ref="M280:N280"/>
    <mergeCell ref="O280:P280"/>
    <mergeCell ref="Q281:R281"/>
    <mergeCell ref="S281:T281"/>
    <mergeCell ref="U281:X281"/>
    <mergeCell ref="C281:D281"/>
    <mergeCell ref="E281:F281"/>
    <mergeCell ref="G281:H281"/>
    <mergeCell ref="I281:J281"/>
    <mergeCell ref="K281:L281"/>
    <mergeCell ref="M281:N281"/>
    <mergeCell ref="O281:P281"/>
    <mergeCell ref="Q282:R282"/>
    <mergeCell ref="S282:T282"/>
    <mergeCell ref="U282:X282"/>
    <mergeCell ref="C282:D282"/>
    <mergeCell ref="E282:F282"/>
    <mergeCell ref="G282:H282"/>
    <mergeCell ref="I282:J282"/>
    <mergeCell ref="K282:L282"/>
    <mergeCell ref="M282:N282"/>
    <mergeCell ref="O282:P282"/>
    <mergeCell ref="Q283:R283"/>
    <mergeCell ref="S283:T283"/>
    <mergeCell ref="U283:X283"/>
    <mergeCell ref="C283:D283"/>
    <mergeCell ref="E283:F283"/>
    <mergeCell ref="G283:H283"/>
    <mergeCell ref="I283:J283"/>
    <mergeCell ref="K283:L283"/>
    <mergeCell ref="M283:N283"/>
    <mergeCell ref="O283:P283"/>
    <mergeCell ref="Q284:R284"/>
    <mergeCell ref="S284:T284"/>
    <mergeCell ref="U284:X284"/>
    <mergeCell ref="C284:D284"/>
    <mergeCell ref="E284:F284"/>
    <mergeCell ref="G284:H284"/>
    <mergeCell ref="I284:J284"/>
    <mergeCell ref="K284:L284"/>
    <mergeCell ref="M284:N284"/>
    <mergeCell ref="O284:P284"/>
    <mergeCell ref="Q285:R285"/>
    <mergeCell ref="S285:T285"/>
    <mergeCell ref="U285:X285"/>
    <mergeCell ref="C285:D285"/>
    <mergeCell ref="E285:F285"/>
    <mergeCell ref="G285:H285"/>
    <mergeCell ref="I285:J285"/>
    <mergeCell ref="K285:L285"/>
    <mergeCell ref="M285:N285"/>
    <mergeCell ref="O285:P285"/>
    <mergeCell ref="Q286:R286"/>
    <mergeCell ref="S286:T286"/>
    <mergeCell ref="U286:X286"/>
    <mergeCell ref="C286:D286"/>
    <mergeCell ref="E286:F286"/>
    <mergeCell ref="G286:H286"/>
    <mergeCell ref="I286:J286"/>
    <mergeCell ref="K286:L286"/>
    <mergeCell ref="M286:N286"/>
    <mergeCell ref="O286:P286"/>
    <mergeCell ref="Q287:R287"/>
    <mergeCell ref="S287:T287"/>
    <mergeCell ref="U287:X287"/>
    <mergeCell ref="C287:D287"/>
    <mergeCell ref="E287:F287"/>
    <mergeCell ref="G287:H287"/>
    <mergeCell ref="I287:J287"/>
    <mergeCell ref="K287:L287"/>
    <mergeCell ref="M287:N287"/>
    <mergeCell ref="O287:P287"/>
    <mergeCell ref="Q288:R288"/>
    <mergeCell ref="S288:T288"/>
    <mergeCell ref="U288:X288"/>
    <mergeCell ref="C288:D288"/>
    <mergeCell ref="E288:F288"/>
    <mergeCell ref="G288:H288"/>
    <mergeCell ref="I288:J288"/>
    <mergeCell ref="K288:L288"/>
    <mergeCell ref="M288:N288"/>
    <mergeCell ref="O288:P288"/>
    <mergeCell ref="Q289:R289"/>
    <mergeCell ref="S289:T289"/>
    <mergeCell ref="U289:X289"/>
    <mergeCell ref="C289:D289"/>
    <mergeCell ref="E289:F289"/>
    <mergeCell ref="G289:H289"/>
    <mergeCell ref="I289:J289"/>
    <mergeCell ref="K289:L289"/>
    <mergeCell ref="M289:N289"/>
    <mergeCell ref="O289:P289"/>
    <mergeCell ref="Q290:R290"/>
    <mergeCell ref="S290:T290"/>
    <mergeCell ref="U290:X290"/>
    <mergeCell ref="C290:D290"/>
    <mergeCell ref="E290:F290"/>
    <mergeCell ref="G290:H290"/>
    <mergeCell ref="I290:J290"/>
    <mergeCell ref="K290:L290"/>
    <mergeCell ref="M290:N290"/>
    <mergeCell ref="O290:P290"/>
    <mergeCell ref="Q291:R291"/>
    <mergeCell ref="S291:T291"/>
    <mergeCell ref="U291:X291"/>
    <mergeCell ref="C291:D291"/>
    <mergeCell ref="E291:F291"/>
    <mergeCell ref="G291:H291"/>
    <mergeCell ref="I291:J291"/>
    <mergeCell ref="K291:L291"/>
    <mergeCell ref="M291:N291"/>
    <mergeCell ref="O291:P291"/>
    <mergeCell ref="Q292:R292"/>
    <mergeCell ref="S292:T292"/>
    <mergeCell ref="U292:X292"/>
    <mergeCell ref="C292:D292"/>
    <mergeCell ref="E292:F292"/>
    <mergeCell ref="G292:H292"/>
    <mergeCell ref="I292:J292"/>
    <mergeCell ref="K292:L292"/>
    <mergeCell ref="M292:N292"/>
    <mergeCell ref="O292:P292"/>
    <mergeCell ref="Q293:R293"/>
    <mergeCell ref="S293:T293"/>
    <mergeCell ref="U293:X293"/>
    <mergeCell ref="C293:D293"/>
    <mergeCell ref="E293:F293"/>
    <mergeCell ref="G293:H293"/>
    <mergeCell ref="I293:J293"/>
    <mergeCell ref="K293:L293"/>
    <mergeCell ref="M293:N293"/>
    <mergeCell ref="O293:P293"/>
    <mergeCell ref="Q294:R294"/>
    <mergeCell ref="S294:T294"/>
    <mergeCell ref="U294:X294"/>
    <mergeCell ref="C294:D294"/>
    <mergeCell ref="E294:F294"/>
    <mergeCell ref="G294:H294"/>
    <mergeCell ref="I294:J294"/>
    <mergeCell ref="K294:L294"/>
    <mergeCell ref="M294:N294"/>
    <mergeCell ref="O294:P294"/>
    <mergeCell ref="Q295:R295"/>
    <mergeCell ref="S295:T295"/>
    <mergeCell ref="U295:X295"/>
    <mergeCell ref="C295:D295"/>
    <mergeCell ref="E295:F295"/>
    <mergeCell ref="G295:H295"/>
    <mergeCell ref="I295:J295"/>
    <mergeCell ref="K295:L295"/>
    <mergeCell ref="M295:N295"/>
    <mergeCell ref="O295:P295"/>
    <mergeCell ref="Q296:R296"/>
    <mergeCell ref="S296:T296"/>
    <mergeCell ref="U296:X296"/>
    <mergeCell ref="C296:D296"/>
    <mergeCell ref="E296:F296"/>
    <mergeCell ref="G296:H296"/>
    <mergeCell ref="I296:J296"/>
    <mergeCell ref="K296:L296"/>
    <mergeCell ref="M296:N296"/>
    <mergeCell ref="O296:P296"/>
    <mergeCell ref="Q297:R297"/>
    <mergeCell ref="S297:T297"/>
    <mergeCell ref="U297:X297"/>
    <mergeCell ref="C297:D297"/>
    <mergeCell ref="E297:F297"/>
    <mergeCell ref="G297:H297"/>
    <mergeCell ref="I297:J297"/>
    <mergeCell ref="K297:L297"/>
    <mergeCell ref="M297:N297"/>
    <mergeCell ref="O297:P297"/>
    <mergeCell ref="Q298:R298"/>
    <mergeCell ref="S298:T298"/>
    <mergeCell ref="U298:X298"/>
    <mergeCell ref="C298:D298"/>
    <mergeCell ref="E298:F298"/>
    <mergeCell ref="G298:H298"/>
    <mergeCell ref="I298:J298"/>
    <mergeCell ref="K298:L298"/>
    <mergeCell ref="M298:N298"/>
    <mergeCell ref="O298:P298"/>
    <mergeCell ref="Q299:R299"/>
    <mergeCell ref="S299:T299"/>
    <mergeCell ref="U299:X299"/>
    <mergeCell ref="C299:D299"/>
    <mergeCell ref="E299:F299"/>
    <mergeCell ref="G299:H299"/>
    <mergeCell ref="I299:J299"/>
    <mergeCell ref="K299:L299"/>
    <mergeCell ref="M299:N299"/>
    <mergeCell ref="O299:P299"/>
    <mergeCell ref="Q300:R300"/>
    <mergeCell ref="S300:T300"/>
    <mergeCell ref="U300:X300"/>
    <mergeCell ref="C300:D300"/>
    <mergeCell ref="E300:F300"/>
    <mergeCell ref="G300:H300"/>
    <mergeCell ref="I300:J300"/>
    <mergeCell ref="K300:L300"/>
    <mergeCell ref="M300:N300"/>
    <mergeCell ref="O300:P300"/>
    <mergeCell ref="Q301:R301"/>
    <mergeCell ref="S301:T301"/>
    <mergeCell ref="U301:X301"/>
    <mergeCell ref="C301:D301"/>
    <mergeCell ref="E301:F301"/>
    <mergeCell ref="G301:H301"/>
    <mergeCell ref="I301:J301"/>
    <mergeCell ref="K301:L301"/>
    <mergeCell ref="M301:N301"/>
    <mergeCell ref="O301:P301"/>
    <mergeCell ref="Q302:R302"/>
    <mergeCell ref="S302:T302"/>
    <mergeCell ref="U302:X302"/>
    <mergeCell ref="C302:D302"/>
    <mergeCell ref="E302:F302"/>
    <mergeCell ref="G302:H302"/>
    <mergeCell ref="I302:J302"/>
    <mergeCell ref="K302:L302"/>
    <mergeCell ref="M302:N302"/>
    <mergeCell ref="O302:P302"/>
    <mergeCell ref="Q303:R303"/>
    <mergeCell ref="S303:T303"/>
    <mergeCell ref="U303:X303"/>
    <mergeCell ref="C303:D303"/>
    <mergeCell ref="E303:F303"/>
    <mergeCell ref="G303:H303"/>
    <mergeCell ref="I303:J303"/>
    <mergeCell ref="K303:L303"/>
    <mergeCell ref="M303:N303"/>
    <mergeCell ref="O303:P303"/>
    <mergeCell ref="Q304:R304"/>
    <mergeCell ref="S304:T304"/>
    <mergeCell ref="U304:X304"/>
    <mergeCell ref="C304:D304"/>
    <mergeCell ref="E304:F304"/>
    <mergeCell ref="G304:H304"/>
    <mergeCell ref="I304:J304"/>
    <mergeCell ref="K304:L304"/>
    <mergeCell ref="M304:N304"/>
    <mergeCell ref="O304:P304"/>
    <mergeCell ref="Q305:R305"/>
    <mergeCell ref="S305:T305"/>
    <mergeCell ref="U305:X305"/>
    <mergeCell ref="C305:D305"/>
    <mergeCell ref="E305:F305"/>
    <mergeCell ref="G305:H305"/>
    <mergeCell ref="I305:J305"/>
    <mergeCell ref="K305:L305"/>
    <mergeCell ref="M305:N305"/>
    <mergeCell ref="O305:P305"/>
    <mergeCell ref="Q306:R306"/>
    <mergeCell ref="S306:T306"/>
    <mergeCell ref="U306:X306"/>
    <mergeCell ref="C306:D306"/>
    <mergeCell ref="E306:F306"/>
    <mergeCell ref="G306:H306"/>
    <mergeCell ref="I306:J306"/>
    <mergeCell ref="K306:L306"/>
    <mergeCell ref="M306:N306"/>
    <mergeCell ref="O306:P306"/>
    <mergeCell ref="Q307:R307"/>
    <mergeCell ref="S307:T307"/>
    <mergeCell ref="U307:X307"/>
    <mergeCell ref="C307:D307"/>
    <mergeCell ref="E307:F307"/>
    <mergeCell ref="G307:H307"/>
    <mergeCell ref="I307:J307"/>
    <mergeCell ref="K307:L307"/>
    <mergeCell ref="M307:N307"/>
    <mergeCell ref="O307:P307"/>
    <mergeCell ref="Q308:R308"/>
    <mergeCell ref="S308:T308"/>
    <mergeCell ref="U308:X308"/>
    <mergeCell ref="C308:D308"/>
    <mergeCell ref="E308:F308"/>
    <mergeCell ref="G308:H308"/>
    <mergeCell ref="I308:J308"/>
    <mergeCell ref="K308:L308"/>
    <mergeCell ref="M308:N308"/>
    <mergeCell ref="O308:P308"/>
    <mergeCell ref="Q309:R309"/>
    <mergeCell ref="S309:T309"/>
    <mergeCell ref="U309:X309"/>
    <mergeCell ref="C309:D309"/>
    <mergeCell ref="E309:F309"/>
    <mergeCell ref="G309:H309"/>
    <mergeCell ref="I309:J309"/>
    <mergeCell ref="K309:L309"/>
    <mergeCell ref="M309:N309"/>
    <mergeCell ref="O309:P309"/>
    <mergeCell ref="Q310:R310"/>
    <mergeCell ref="S310:T310"/>
    <mergeCell ref="U310:X310"/>
    <mergeCell ref="C310:D310"/>
    <mergeCell ref="E310:F310"/>
    <mergeCell ref="G310:H310"/>
    <mergeCell ref="I310:J310"/>
    <mergeCell ref="K310:L310"/>
    <mergeCell ref="M310:N310"/>
    <mergeCell ref="O310:P310"/>
    <mergeCell ref="Q311:R311"/>
    <mergeCell ref="S311:T311"/>
    <mergeCell ref="U311:X311"/>
    <mergeCell ref="C311:D311"/>
    <mergeCell ref="E311:F311"/>
    <mergeCell ref="G311:H311"/>
    <mergeCell ref="I311:J311"/>
    <mergeCell ref="K311:L311"/>
    <mergeCell ref="M311:N311"/>
    <mergeCell ref="O311:P311"/>
    <mergeCell ref="Q312:R312"/>
    <mergeCell ref="S312:T312"/>
    <mergeCell ref="U312:X312"/>
    <mergeCell ref="C312:D312"/>
    <mergeCell ref="E312:F312"/>
    <mergeCell ref="G312:H312"/>
    <mergeCell ref="I312:J312"/>
    <mergeCell ref="K312:L312"/>
    <mergeCell ref="M312:N312"/>
    <mergeCell ref="O312:P312"/>
    <mergeCell ref="Q362:R362"/>
    <mergeCell ref="S362:T362"/>
    <mergeCell ref="U362:X362"/>
    <mergeCell ref="C362:D362"/>
    <mergeCell ref="E362:F362"/>
    <mergeCell ref="G362:H362"/>
    <mergeCell ref="I362:J362"/>
    <mergeCell ref="K362:L362"/>
    <mergeCell ref="M362:N362"/>
    <mergeCell ref="O362:P362"/>
    <mergeCell ref="Q363:R363"/>
    <mergeCell ref="S363:T363"/>
    <mergeCell ref="U363:X363"/>
    <mergeCell ref="C363:D363"/>
    <mergeCell ref="E363:F363"/>
    <mergeCell ref="G363:H363"/>
    <mergeCell ref="I363:J363"/>
    <mergeCell ref="K363:L363"/>
    <mergeCell ref="M363:N363"/>
    <mergeCell ref="O363:P363"/>
    <mergeCell ref="Q364:R364"/>
    <mergeCell ref="S364:T364"/>
    <mergeCell ref="U364:X364"/>
    <mergeCell ref="C364:D364"/>
    <mergeCell ref="E364:F364"/>
    <mergeCell ref="G364:H364"/>
    <mergeCell ref="I364:J364"/>
    <mergeCell ref="K364:L364"/>
    <mergeCell ref="M364:N364"/>
    <mergeCell ref="O364:P364"/>
    <mergeCell ref="Q365:R365"/>
    <mergeCell ref="S365:T365"/>
    <mergeCell ref="U365:X365"/>
    <mergeCell ref="C365:D365"/>
    <mergeCell ref="E365:F365"/>
    <mergeCell ref="G365:H365"/>
    <mergeCell ref="I365:J365"/>
    <mergeCell ref="K365:L365"/>
    <mergeCell ref="M365:N365"/>
    <mergeCell ref="O365:P365"/>
    <mergeCell ref="Q366:R366"/>
    <mergeCell ref="S366:T366"/>
    <mergeCell ref="U366:X366"/>
    <mergeCell ref="C366:D366"/>
    <mergeCell ref="E366:F366"/>
    <mergeCell ref="G366:H366"/>
    <mergeCell ref="I366:J366"/>
    <mergeCell ref="K366:L366"/>
    <mergeCell ref="M366:N366"/>
    <mergeCell ref="O366:P366"/>
    <mergeCell ref="Q367:R367"/>
    <mergeCell ref="S367:T367"/>
    <mergeCell ref="U367:X367"/>
    <mergeCell ref="C367:D367"/>
    <mergeCell ref="E367:F367"/>
    <mergeCell ref="G367:H367"/>
    <mergeCell ref="I367:J367"/>
    <mergeCell ref="K367:L367"/>
    <mergeCell ref="M367:N367"/>
    <mergeCell ref="O367:P367"/>
    <mergeCell ref="Q368:R368"/>
    <mergeCell ref="S368:T368"/>
    <mergeCell ref="U368:X368"/>
    <mergeCell ref="C368:D368"/>
    <mergeCell ref="E368:F368"/>
    <mergeCell ref="G368:H368"/>
    <mergeCell ref="I368:J368"/>
    <mergeCell ref="K368:L368"/>
    <mergeCell ref="M368:N368"/>
    <mergeCell ref="O368:P368"/>
    <mergeCell ref="Q369:R369"/>
    <mergeCell ref="S369:T369"/>
    <mergeCell ref="U369:X369"/>
    <mergeCell ref="C369:D369"/>
    <mergeCell ref="E369:F369"/>
    <mergeCell ref="G369:H369"/>
    <mergeCell ref="I369:J369"/>
    <mergeCell ref="K369:L369"/>
    <mergeCell ref="M369:N369"/>
    <mergeCell ref="O369:P369"/>
    <mergeCell ref="Q370:R370"/>
    <mergeCell ref="S370:T370"/>
    <mergeCell ref="U370:X370"/>
    <mergeCell ref="C370:D370"/>
    <mergeCell ref="E370:F370"/>
    <mergeCell ref="G370:H370"/>
    <mergeCell ref="I370:J370"/>
    <mergeCell ref="K370:L370"/>
    <mergeCell ref="M370:N370"/>
    <mergeCell ref="O370:P370"/>
    <mergeCell ref="Q371:R371"/>
    <mergeCell ref="S371:T371"/>
    <mergeCell ref="U371:X371"/>
    <mergeCell ref="C371:D371"/>
    <mergeCell ref="E371:F371"/>
    <mergeCell ref="G371:H371"/>
    <mergeCell ref="I371:J371"/>
    <mergeCell ref="K371:L371"/>
    <mergeCell ref="M371:N371"/>
    <mergeCell ref="O371:P371"/>
    <mergeCell ref="Q372:R372"/>
    <mergeCell ref="S372:T372"/>
    <mergeCell ref="U372:X372"/>
    <mergeCell ref="C372:D372"/>
    <mergeCell ref="E372:F372"/>
    <mergeCell ref="G372:H372"/>
    <mergeCell ref="I372:J372"/>
    <mergeCell ref="K372:L372"/>
    <mergeCell ref="M372:N372"/>
    <mergeCell ref="O372:P372"/>
    <mergeCell ref="Q373:R373"/>
    <mergeCell ref="S373:T373"/>
    <mergeCell ref="U373:X373"/>
    <mergeCell ref="C373:D373"/>
    <mergeCell ref="E373:F373"/>
    <mergeCell ref="G373:H373"/>
    <mergeCell ref="I373:J373"/>
    <mergeCell ref="K373:L373"/>
    <mergeCell ref="M373:N373"/>
    <mergeCell ref="O373:P373"/>
    <mergeCell ref="Q374:R374"/>
    <mergeCell ref="S374:T374"/>
    <mergeCell ref="U374:X374"/>
    <mergeCell ref="C374:D374"/>
    <mergeCell ref="E374:F374"/>
    <mergeCell ref="G374:H374"/>
    <mergeCell ref="I374:J374"/>
    <mergeCell ref="K374:L374"/>
    <mergeCell ref="M374:N374"/>
    <mergeCell ref="O374:P374"/>
    <mergeCell ref="Q375:R375"/>
    <mergeCell ref="S375:T375"/>
    <mergeCell ref="U375:X375"/>
    <mergeCell ref="C375:D375"/>
    <mergeCell ref="E375:F375"/>
    <mergeCell ref="G375:H375"/>
    <mergeCell ref="I375:J375"/>
    <mergeCell ref="K375:L375"/>
    <mergeCell ref="M375:N375"/>
    <mergeCell ref="O375:P375"/>
    <mergeCell ref="Q376:R376"/>
    <mergeCell ref="S376:T376"/>
    <mergeCell ref="U376:X376"/>
    <mergeCell ref="C376:D376"/>
    <mergeCell ref="E376:F376"/>
    <mergeCell ref="G376:H376"/>
    <mergeCell ref="I376:J376"/>
    <mergeCell ref="K376:L376"/>
    <mergeCell ref="M376:N376"/>
    <mergeCell ref="O376:P376"/>
    <mergeCell ref="Q377:R377"/>
    <mergeCell ref="S377:T377"/>
    <mergeCell ref="U377:X377"/>
    <mergeCell ref="C377:D377"/>
    <mergeCell ref="E377:F377"/>
    <mergeCell ref="G377:H377"/>
    <mergeCell ref="I377:J377"/>
    <mergeCell ref="K377:L377"/>
    <mergeCell ref="M377:N377"/>
    <mergeCell ref="O377:P377"/>
    <mergeCell ref="Q378:R378"/>
    <mergeCell ref="S378:T378"/>
    <mergeCell ref="U378:X378"/>
    <mergeCell ref="C378:D378"/>
    <mergeCell ref="E378:F378"/>
    <mergeCell ref="G378:H378"/>
    <mergeCell ref="I378:J378"/>
    <mergeCell ref="K378:L378"/>
    <mergeCell ref="M378:N378"/>
    <mergeCell ref="O378:P378"/>
    <mergeCell ref="Q379:R379"/>
    <mergeCell ref="S379:T379"/>
    <mergeCell ref="U379:X379"/>
    <mergeCell ref="C379:D379"/>
    <mergeCell ref="E379:F379"/>
    <mergeCell ref="G379:H379"/>
    <mergeCell ref="I379:J379"/>
    <mergeCell ref="K379:L379"/>
    <mergeCell ref="M379:N379"/>
    <mergeCell ref="O379:P379"/>
    <mergeCell ref="Q380:R380"/>
    <mergeCell ref="S380:T380"/>
    <mergeCell ref="U380:X380"/>
    <mergeCell ref="C380:D380"/>
    <mergeCell ref="E380:F380"/>
    <mergeCell ref="G380:H380"/>
    <mergeCell ref="I380:J380"/>
    <mergeCell ref="K380:L380"/>
    <mergeCell ref="M380:N380"/>
    <mergeCell ref="O380:P380"/>
    <mergeCell ref="Q381:R381"/>
    <mergeCell ref="S381:T381"/>
    <mergeCell ref="U381:X381"/>
    <mergeCell ref="C381:D381"/>
    <mergeCell ref="E381:F381"/>
    <mergeCell ref="G381:H381"/>
    <mergeCell ref="I381:J381"/>
    <mergeCell ref="K381:L381"/>
    <mergeCell ref="M381:N381"/>
    <mergeCell ref="O381:P381"/>
    <mergeCell ref="Q382:R382"/>
    <mergeCell ref="S382:T382"/>
    <mergeCell ref="U382:X382"/>
    <mergeCell ref="C382:D382"/>
    <mergeCell ref="E382:F382"/>
    <mergeCell ref="G382:H382"/>
    <mergeCell ref="I382:J382"/>
    <mergeCell ref="K382:L382"/>
    <mergeCell ref="M382:N382"/>
    <mergeCell ref="O382:P382"/>
    <mergeCell ref="Q390:R390"/>
    <mergeCell ref="S390:T390"/>
    <mergeCell ref="U390:X390"/>
    <mergeCell ref="C390:D390"/>
    <mergeCell ref="E390:F390"/>
    <mergeCell ref="G390:H390"/>
    <mergeCell ref="I390:J390"/>
    <mergeCell ref="K390:L390"/>
    <mergeCell ref="M390:N390"/>
    <mergeCell ref="O390:P390"/>
    <mergeCell ref="Q391:R391"/>
    <mergeCell ref="S391:T391"/>
    <mergeCell ref="U391:X391"/>
    <mergeCell ref="C391:D391"/>
    <mergeCell ref="E391:F391"/>
    <mergeCell ref="G391:H391"/>
    <mergeCell ref="I391:J391"/>
    <mergeCell ref="K391:L391"/>
    <mergeCell ref="M391:N391"/>
    <mergeCell ref="O391:P391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392:R392"/>
    <mergeCell ref="S392:T392"/>
    <mergeCell ref="U392:X392"/>
    <mergeCell ref="C392:D392"/>
    <mergeCell ref="E392:F392"/>
    <mergeCell ref="G392:H392"/>
    <mergeCell ref="I392:J392"/>
    <mergeCell ref="K392:L392"/>
    <mergeCell ref="M392:N392"/>
    <mergeCell ref="O392:P392"/>
    <mergeCell ref="Q383:R383"/>
    <mergeCell ref="S383:T383"/>
    <mergeCell ref="U383:X383"/>
    <mergeCell ref="C383:D383"/>
    <mergeCell ref="E383:F383"/>
    <mergeCell ref="G383:H383"/>
    <mergeCell ref="I383:J383"/>
    <mergeCell ref="K383:L383"/>
    <mergeCell ref="M383:N383"/>
    <mergeCell ref="O383:P383"/>
    <mergeCell ref="Q384:R384"/>
    <mergeCell ref="S384:T384"/>
    <mergeCell ref="U384:X384"/>
    <mergeCell ref="C384:D384"/>
    <mergeCell ref="E384:F384"/>
    <mergeCell ref="G384:H384"/>
    <mergeCell ref="I384:J384"/>
    <mergeCell ref="K384:L384"/>
    <mergeCell ref="M384:N384"/>
    <mergeCell ref="O384:P384"/>
    <mergeCell ref="Q385:R385"/>
    <mergeCell ref="S385:T385"/>
    <mergeCell ref="U385:X385"/>
    <mergeCell ref="C385:D385"/>
    <mergeCell ref="E385:F385"/>
    <mergeCell ref="G385:H385"/>
    <mergeCell ref="I385:J385"/>
    <mergeCell ref="K385:L385"/>
    <mergeCell ref="M385:N385"/>
    <mergeCell ref="O385:P385"/>
    <mergeCell ref="Q386:R386"/>
    <mergeCell ref="S386:T386"/>
    <mergeCell ref="U386:X386"/>
    <mergeCell ref="C386:D386"/>
    <mergeCell ref="E386:F386"/>
    <mergeCell ref="G386:H386"/>
    <mergeCell ref="I386:J386"/>
    <mergeCell ref="K386:L386"/>
    <mergeCell ref="M386:N386"/>
    <mergeCell ref="O386:P386"/>
    <mergeCell ref="Q387:R387"/>
    <mergeCell ref="S387:T387"/>
    <mergeCell ref="U387:X387"/>
    <mergeCell ref="C387:D387"/>
    <mergeCell ref="E387:F387"/>
    <mergeCell ref="G387:H387"/>
    <mergeCell ref="I387:J387"/>
    <mergeCell ref="K387:L387"/>
    <mergeCell ref="M387:N387"/>
    <mergeCell ref="O387:P387"/>
    <mergeCell ref="Q388:R388"/>
    <mergeCell ref="S388:T388"/>
    <mergeCell ref="U388:X388"/>
    <mergeCell ref="C388:D388"/>
    <mergeCell ref="E388:F388"/>
    <mergeCell ref="G388:H388"/>
    <mergeCell ref="I388:J388"/>
    <mergeCell ref="K388:L388"/>
    <mergeCell ref="M388:N388"/>
    <mergeCell ref="O388:P388"/>
    <mergeCell ref="Q389:R389"/>
    <mergeCell ref="S389:T389"/>
    <mergeCell ref="U389:X389"/>
    <mergeCell ref="C389:D389"/>
    <mergeCell ref="E389:F389"/>
    <mergeCell ref="G389:H389"/>
    <mergeCell ref="I389:J389"/>
    <mergeCell ref="K389:L389"/>
    <mergeCell ref="M389:N389"/>
    <mergeCell ref="O389:P389"/>
    <mergeCell ref="Q313:R313"/>
    <mergeCell ref="S313:T313"/>
    <mergeCell ref="U313:X313"/>
    <mergeCell ref="C313:D313"/>
    <mergeCell ref="E313:F313"/>
    <mergeCell ref="G313:H313"/>
    <mergeCell ref="I313:J313"/>
    <mergeCell ref="K313:L313"/>
    <mergeCell ref="M313:N313"/>
    <mergeCell ref="O313:P313"/>
    <mergeCell ref="Q314:R314"/>
    <mergeCell ref="S314:T314"/>
    <mergeCell ref="U314:X314"/>
    <mergeCell ref="C314:D314"/>
    <mergeCell ref="E314:F314"/>
    <mergeCell ref="G314:H314"/>
    <mergeCell ref="I314:J314"/>
    <mergeCell ref="K314:L314"/>
    <mergeCell ref="M314:N314"/>
    <mergeCell ref="O314:P314"/>
    <mergeCell ref="Q315:R315"/>
    <mergeCell ref="S315:T315"/>
    <mergeCell ref="U315:X315"/>
    <mergeCell ref="C315:D315"/>
    <mergeCell ref="E315:F315"/>
    <mergeCell ref="G315:H315"/>
    <mergeCell ref="I315:J315"/>
    <mergeCell ref="K315:L315"/>
    <mergeCell ref="M315:N315"/>
    <mergeCell ref="O315:P315"/>
    <mergeCell ref="Q316:R316"/>
    <mergeCell ref="S316:T316"/>
    <mergeCell ref="U316:X316"/>
    <mergeCell ref="C316:D316"/>
    <mergeCell ref="E316:F316"/>
    <mergeCell ref="G316:H316"/>
    <mergeCell ref="I316:J316"/>
    <mergeCell ref="K316:L316"/>
    <mergeCell ref="M316:N316"/>
    <mergeCell ref="O316:P316"/>
    <mergeCell ref="Q317:R317"/>
    <mergeCell ref="S317:T317"/>
    <mergeCell ref="U317:X317"/>
    <mergeCell ref="C317:D317"/>
    <mergeCell ref="E317:F317"/>
    <mergeCell ref="G317:H317"/>
    <mergeCell ref="I317:J317"/>
    <mergeCell ref="K317:L317"/>
    <mergeCell ref="M317:N317"/>
    <mergeCell ref="O317:P317"/>
    <mergeCell ref="Q318:R318"/>
    <mergeCell ref="S318:T318"/>
    <mergeCell ref="U318:X318"/>
    <mergeCell ref="C318:D318"/>
    <mergeCell ref="E318:F318"/>
    <mergeCell ref="G318:H318"/>
    <mergeCell ref="I318:J318"/>
    <mergeCell ref="K318:L318"/>
    <mergeCell ref="M318:N318"/>
    <mergeCell ref="O318:P318"/>
    <mergeCell ref="Q319:R319"/>
    <mergeCell ref="S319:T319"/>
    <mergeCell ref="U319:X319"/>
    <mergeCell ref="C319:D319"/>
    <mergeCell ref="E319:F319"/>
    <mergeCell ref="G319:H319"/>
    <mergeCell ref="I319:J319"/>
    <mergeCell ref="K319:L319"/>
    <mergeCell ref="M319:N319"/>
    <mergeCell ref="O319:P319"/>
    <mergeCell ref="Q320:R320"/>
    <mergeCell ref="S320:T320"/>
    <mergeCell ref="U320:X320"/>
    <mergeCell ref="C320:D320"/>
    <mergeCell ref="E320:F320"/>
    <mergeCell ref="G320:H320"/>
    <mergeCell ref="I320:J320"/>
    <mergeCell ref="K320:L320"/>
    <mergeCell ref="M320:N320"/>
    <mergeCell ref="O320:P320"/>
    <mergeCell ref="Q321:R321"/>
    <mergeCell ref="S321:T321"/>
    <mergeCell ref="U321:X321"/>
    <mergeCell ref="C321:D321"/>
    <mergeCell ref="E321:F321"/>
    <mergeCell ref="G321:H321"/>
    <mergeCell ref="I321:J321"/>
    <mergeCell ref="K321:L321"/>
    <mergeCell ref="M321:N321"/>
    <mergeCell ref="O321:P321"/>
    <mergeCell ref="Q322:R322"/>
    <mergeCell ref="S322:T322"/>
    <mergeCell ref="U322:X322"/>
    <mergeCell ref="C322:D322"/>
    <mergeCell ref="E322:F322"/>
    <mergeCell ref="G322:H322"/>
    <mergeCell ref="I322:J322"/>
    <mergeCell ref="K322:L322"/>
    <mergeCell ref="M322:N322"/>
    <mergeCell ref="O322:P322"/>
    <mergeCell ref="Q323:R323"/>
    <mergeCell ref="S323:T323"/>
    <mergeCell ref="U323:X323"/>
    <mergeCell ref="C323:D323"/>
    <mergeCell ref="E323:F323"/>
    <mergeCell ref="G323:H323"/>
    <mergeCell ref="I323:J323"/>
    <mergeCell ref="K323:L323"/>
    <mergeCell ref="M323:N323"/>
    <mergeCell ref="O323:P323"/>
    <mergeCell ref="Q324:R324"/>
    <mergeCell ref="S324:T324"/>
    <mergeCell ref="U324:X324"/>
    <mergeCell ref="C324:D324"/>
    <mergeCell ref="E324:F324"/>
    <mergeCell ref="G324:H324"/>
    <mergeCell ref="I324:J324"/>
    <mergeCell ref="K324:L324"/>
    <mergeCell ref="M324:N324"/>
    <mergeCell ref="O324:P324"/>
    <mergeCell ref="Q325:R325"/>
    <mergeCell ref="S325:T325"/>
    <mergeCell ref="U325:X325"/>
    <mergeCell ref="C325:D325"/>
    <mergeCell ref="E325:F325"/>
    <mergeCell ref="G325:H325"/>
    <mergeCell ref="I325:J325"/>
    <mergeCell ref="K325:L325"/>
    <mergeCell ref="M325:N325"/>
    <mergeCell ref="O325:P325"/>
    <mergeCell ref="Q326:R326"/>
    <mergeCell ref="S326:T326"/>
    <mergeCell ref="U326:X326"/>
    <mergeCell ref="C326:D326"/>
    <mergeCell ref="E326:F326"/>
    <mergeCell ref="G326:H326"/>
    <mergeCell ref="I326:J326"/>
    <mergeCell ref="K326:L326"/>
    <mergeCell ref="M326:N326"/>
    <mergeCell ref="O326:P326"/>
    <mergeCell ref="Q327:R327"/>
    <mergeCell ref="S327:T327"/>
    <mergeCell ref="U327:X327"/>
    <mergeCell ref="C327:D327"/>
    <mergeCell ref="E327:F327"/>
    <mergeCell ref="G327:H327"/>
    <mergeCell ref="I327:J327"/>
    <mergeCell ref="K327:L327"/>
    <mergeCell ref="M327:N327"/>
    <mergeCell ref="O327:P327"/>
    <mergeCell ref="Q328:R328"/>
    <mergeCell ref="S328:T328"/>
    <mergeCell ref="U328:X328"/>
    <mergeCell ref="C328:D328"/>
    <mergeCell ref="E328:F328"/>
    <mergeCell ref="G328:H328"/>
    <mergeCell ref="I328:J328"/>
    <mergeCell ref="K328:L328"/>
    <mergeCell ref="M328:N328"/>
    <mergeCell ref="O328:P328"/>
    <mergeCell ref="Q329:R329"/>
    <mergeCell ref="S329:T329"/>
    <mergeCell ref="U329:X329"/>
    <mergeCell ref="C329:D329"/>
    <mergeCell ref="E329:F329"/>
    <mergeCell ref="G329:H329"/>
    <mergeCell ref="I329:J329"/>
    <mergeCell ref="K329:L329"/>
    <mergeCell ref="M329:N329"/>
    <mergeCell ref="O329:P329"/>
    <mergeCell ref="Q330:R330"/>
    <mergeCell ref="S330:T330"/>
    <mergeCell ref="U330:X330"/>
    <mergeCell ref="C330:D330"/>
    <mergeCell ref="E330:F330"/>
    <mergeCell ref="G330:H330"/>
    <mergeCell ref="I330:J330"/>
    <mergeCell ref="K330:L330"/>
    <mergeCell ref="M330:N330"/>
    <mergeCell ref="O330:P330"/>
    <mergeCell ref="Q331:R331"/>
    <mergeCell ref="S331:T331"/>
    <mergeCell ref="U331:X331"/>
    <mergeCell ref="C331:D331"/>
    <mergeCell ref="E331:F331"/>
    <mergeCell ref="G331:H331"/>
    <mergeCell ref="I331:J331"/>
    <mergeCell ref="K331:L331"/>
    <mergeCell ref="M331:N331"/>
    <mergeCell ref="O331:P331"/>
    <mergeCell ref="Q332:R332"/>
    <mergeCell ref="S332:T332"/>
    <mergeCell ref="U332:X332"/>
    <mergeCell ref="C332:D332"/>
    <mergeCell ref="E332:F332"/>
    <mergeCell ref="G332:H332"/>
    <mergeCell ref="I332:J332"/>
    <mergeCell ref="K332:L332"/>
    <mergeCell ref="M332:N332"/>
    <mergeCell ref="O332:P332"/>
    <mergeCell ref="Q333:R333"/>
    <mergeCell ref="S333:T333"/>
    <mergeCell ref="U333:X333"/>
    <mergeCell ref="C333:D333"/>
    <mergeCell ref="E333:F333"/>
    <mergeCell ref="G333:H333"/>
    <mergeCell ref="I333:J333"/>
    <mergeCell ref="K333:L333"/>
    <mergeCell ref="M333:N333"/>
    <mergeCell ref="O333:P333"/>
    <mergeCell ref="Q334:R334"/>
    <mergeCell ref="S334:T334"/>
    <mergeCell ref="U334:X334"/>
    <mergeCell ref="C334:D334"/>
    <mergeCell ref="E334:F334"/>
    <mergeCell ref="G334:H334"/>
    <mergeCell ref="I334:J334"/>
    <mergeCell ref="K334:L334"/>
    <mergeCell ref="M334:N334"/>
    <mergeCell ref="O334:P334"/>
    <mergeCell ref="Q335:R335"/>
    <mergeCell ref="S335:T335"/>
    <mergeCell ref="U335:X335"/>
    <mergeCell ref="C335:D335"/>
    <mergeCell ref="E335:F335"/>
    <mergeCell ref="G335:H335"/>
    <mergeCell ref="I335:J335"/>
    <mergeCell ref="K335:L335"/>
    <mergeCell ref="M335:N335"/>
    <mergeCell ref="O335:P335"/>
    <mergeCell ref="Q336:R336"/>
    <mergeCell ref="S336:T336"/>
    <mergeCell ref="U336:X336"/>
    <mergeCell ref="C336:D336"/>
    <mergeCell ref="E336:F336"/>
    <mergeCell ref="G336:H336"/>
    <mergeCell ref="I336:J336"/>
    <mergeCell ref="K336:L336"/>
    <mergeCell ref="M336:N336"/>
    <mergeCell ref="O336:P336"/>
    <mergeCell ref="Q337:R337"/>
    <mergeCell ref="S337:T337"/>
    <mergeCell ref="U337:X337"/>
    <mergeCell ref="C337:D337"/>
    <mergeCell ref="E337:F337"/>
    <mergeCell ref="G337:H337"/>
    <mergeCell ref="I337:J337"/>
    <mergeCell ref="K337:L337"/>
    <mergeCell ref="M337:N337"/>
    <mergeCell ref="O337:P337"/>
    <mergeCell ref="Q338:R338"/>
    <mergeCell ref="S338:T338"/>
    <mergeCell ref="U338:X338"/>
    <mergeCell ref="C338:D338"/>
    <mergeCell ref="E338:F338"/>
    <mergeCell ref="G338:H338"/>
    <mergeCell ref="I338:J338"/>
    <mergeCell ref="K338:L338"/>
    <mergeCell ref="M338:N338"/>
    <mergeCell ref="O338:P338"/>
    <mergeCell ref="Q339:R339"/>
    <mergeCell ref="S339:T339"/>
    <mergeCell ref="U339:X339"/>
    <mergeCell ref="C339:D339"/>
    <mergeCell ref="E339:F339"/>
    <mergeCell ref="G339:H339"/>
    <mergeCell ref="I339:J339"/>
    <mergeCell ref="K339:L339"/>
    <mergeCell ref="M339:N339"/>
    <mergeCell ref="O339:P339"/>
    <mergeCell ref="Q340:R340"/>
    <mergeCell ref="S340:T340"/>
    <mergeCell ref="U340:X340"/>
    <mergeCell ref="C340:D340"/>
    <mergeCell ref="E340:F340"/>
    <mergeCell ref="G340:H340"/>
    <mergeCell ref="I340:J340"/>
    <mergeCell ref="K340:L340"/>
    <mergeCell ref="M340:N340"/>
    <mergeCell ref="O340:P340"/>
    <mergeCell ref="Q341:R341"/>
    <mergeCell ref="S341:T341"/>
    <mergeCell ref="U341:X341"/>
    <mergeCell ref="C341:D341"/>
    <mergeCell ref="E341:F341"/>
    <mergeCell ref="G341:H341"/>
    <mergeCell ref="I341:J341"/>
    <mergeCell ref="K341:L341"/>
    <mergeCell ref="M341:N341"/>
    <mergeCell ref="O341:P341"/>
    <mergeCell ref="Q342:R342"/>
    <mergeCell ref="S342:T342"/>
    <mergeCell ref="U342:X342"/>
    <mergeCell ref="C342:D342"/>
    <mergeCell ref="E342:F342"/>
    <mergeCell ref="G342:H342"/>
    <mergeCell ref="I342:J342"/>
    <mergeCell ref="K342:L342"/>
    <mergeCell ref="M342:N342"/>
    <mergeCell ref="O342:P342"/>
    <mergeCell ref="Q343:R343"/>
    <mergeCell ref="S343:T343"/>
    <mergeCell ref="U343:X343"/>
    <mergeCell ref="C343:D343"/>
    <mergeCell ref="E343:F343"/>
    <mergeCell ref="G343:H343"/>
    <mergeCell ref="I343:J343"/>
    <mergeCell ref="K343:L343"/>
    <mergeCell ref="M343:N343"/>
    <mergeCell ref="O343:P343"/>
    <mergeCell ref="Q344:R344"/>
    <mergeCell ref="S344:T344"/>
    <mergeCell ref="U344:X344"/>
    <mergeCell ref="C344:D344"/>
    <mergeCell ref="E344:F344"/>
    <mergeCell ref="G344:H344"/>
    <mergeCell ref="I344:J344"/>
    <mergeCell ref="K344:L344"/>
    <mergeCell ref="M344:N344"/>
    <mergeCell ref="O344:P344"/>
    <mergeCell ref="Q345:R345"/>
    <mergeCell ref="S345:T345"/>
    <mergeCell ref="U345:X345"/>
    <mergeCell ref="C345:D345"/>
    <mergeCell ref="E345:F345"/>
    <mergeCell ref="G345:H345"/>
    <mergeCell ref="I345:J345"/>
    <mergeCell ref="K345:L345"/>
    <mergeCell ref="M345:N345"/>
    <mergeCell ref="O345:P345"/>
    <mergeCell ref="Q346:R346"/>
    <mergeCell ref="S346:T346"/>
    <mergeCell ref="U346:X346"/>
    <mergeCell ref="C346:D346"/>
    <mergeCell ref="E346:F346"/>
    <mergeCell ref="G346:H346"/>
    <mergeCell ref="I346:J346"/>
    <mergeCell ref="K346:L346"/>
    <mergeCell ref="M346:N346"/>
    <mergeCell ref="O346:P346"/>
    <mergeCell ref="Q347:R347"/>
    <mergeCell ref="S347:T347"/>
    <mergeCell ref="U347:X347"/>
    <mergeCell ref="C347:D347"/>
    <mergeCell ref="E347:F347"/>
    <mergeCell ref="G347:H347"/>
    <mergeCell ref="I347:J347"/>
    <mergeCell ref="K347:L347"/>
    <mergeCell ref="M347:N347"/>
    <mergeCell ref="O347:P347"/>
    <mergeCell ref="Q348:R348"/>
    <mergeCell ref="S348:T348"/>
    <mergeCell ref="U348:X348"/>
    <mergeCell ref="C348:D348"/>
    <mergeCell ref="E348:F348"/>
    <mergeCell ref="G348:H348"/>
    <mergeCell ref="I348:J348"/>
    <mergeCell ref="K348:L348"/>
    <mergeCell ref="M348:N348"/>
    <mergeCell ref="O348:P348"/>
    <mergeCell ref="Q349:R349"/>
    <mergeCell ref="S349:T349"/>
    <mergeCell ref="U349:X349"/>
    <mergeCell ref="C349:D349"/>
    <mergeCell ref="E349:F349"/>
    <mergeCell ref="G349:H349"/>
    <mergeCell ref="I349:J349"/>
    <mergeCell ref="K349:L349"/>
    <mergeCell ref="M349:N349"/>
    <mergeCell ref="O349:P349"/>
    <mergeCell ref="Q350:R350"/>
    <mergeCell ref="S350:T350"/>
    <mergeCell ref="U350:X350"/>
    <mergeCell ref="C350:D350"/>
    <mergeCell ref="E350:F350"/>
    <mergeCell ref="G350:H350"/>
    <mergeCell ref="I350:J350"/>
    <mergeCell ref="K350:L350"/>
    <mergeCell ref="M350:N350"/>
    <mergeCell ref="O350:P350"/>
    <mergeCell ref="Q351:R351"/>
    <mergeCell ref="S351:T351"/>
    <mergeCell ref="U351:X351"/>
    <mergeCell ref="C351:D351"/>
    <mergeCell ref="E351:F351"/>
    <mergeCell ref="G351:H351"/>
    <mergeCell ref="I351:J351"/>
    <mergeCell ref="K351:L351"/>
    <mergeCell ref="M351:N351"/>
    <mergeCell ref="O351:P351"/>
    <mergeCell ref="Q352:R352"/>
    <mergeCell ref="S352:T352"/>
    <mergeCell ref="U352:X352"/>
    <mergeCell ref="C352:D352"/>
    <mergeCell ref="E352:F352"/>
    <mergeCell ref="G352:H352"/>
    <mergeCell ref="I352:J352"/>
    <mergeCell ref="K352:L352"/>
    <mergeCell ref="M352:N352"/>
    <mergeCell ref="O352:P352"/>
    <mergeCell ref="Q353:R353"/>
    <mergeCell ref="S353:T353"/>
    <mergeCell ref="U353:X353"/>
    <mergeCell ref="C353:D353"/>
    <mergeCell ref="E353:F353"/>
    <mergeCell ref="G353:H353"/>
    <mergeCell ref="I353:J353"/>
    <mergeCell ref="K353:L353"/>
    <mergeCell ref="M353:N353"/>
    <mergeCell ref="O353:P353"/>
    <mergeCell ref="Q354:R354"/>
    <mergeCell ref="S354:T354"/>
    <mergeCell ref="U354:X354"/>
    <mergeCell ref="C354:D354"/>
    <mergeCell ref="E354:F354"/>
    <mergeCell ref="G354:H354"/>
    <mergeCell ref="I354:J354"/>
    <mergeCell ref="K354:L354"/>
    <mergeCell ref="M354:N354"/>
    <mergeCell ref="O354:P354"/>
    <mergeCell ref="Q355:R355"/>
    <mergeCell ref="S355:T355"/>
    <mergeCell ref="U355:X355"/>
    <mergeCell ref="C355:D355"/>
    <mergeCell ref="E355:F355"/>
    <mergeCell ref="G355:H355"/>
    <mergeCell ref="I355:J355"/>
    <mergeCell ref="K355:L355"/>
    <mergeCell ref="M355:N355"/>
    <mergeCell ref="O355:P355"/>
    <mergeCell ref="Q356:R356"/>
    <mergeCell ref="S356:T356"/>
    <mergeCell ref="U356:X356"/>
    <mergeCell ref="C356:D356"/>
    <mergeCell ref="E356:F356"/>
    <mergeCell ref="G356:H356"/>
    <mergeCell ref="I356:J356"/>
    <mergeCell ref="K356:L356"/>
    <mergeCell ref="M356:N356"/>
    <mergeCell ref="O356:P356"/>
    <mergeCell ref="Q357:R357"/>
    <mergeCell ref="S357:T357"/>
    <mergeCell ref="U357:X357"/>
    <mergeCell ref="C357:D357"/>
    <mergeCell ref="E357:F357"/>
    <mergeCell ref="G357:H357"/>
    <mergeCell ref="I357:J357"/>
    <mergeCell ref="K357:L357"/>
    <mergeCell ref="M357:N357"/>
    <mergeCell ref="O357:P357"/>
    <mergeCell ref="Q358:R358"/>
    <mergeCell ref="S358:T358"/>
    <mergeCell ref="U358:X358"/>
    <mergeCell ref="C358:D358"/>
    <mergeCell ref="E358:F358"/>
    <mergeCell ref="G358:H358"/>
    <mergeCell ref="I358:J358"/>
    <mergeCell ref="K358:L358"/>
    <mergeCell ref="M358:N358"/>
    <mergeCell ref="O358:P358"/>
    <mergeCell ref="Q359:R359"/>
    <mergeCell ref="S359:T359"/>
    <mergeCell ref="U359:X359"/>
    <mergeCell ref="C359:D359"/>
    <mergeCell ref="E359:F359"/>
    <mergeCell ref="G359:H359"/>
    <mergeCell ref="I359:J359"/>
    <mergeCell ref="K359:L359"/>
    <mergeCell ref="M359:N359"/>
    <mergeCell ref="O359:P359"/>
    <mergeCell ref="Q360:R360"/>
    <mergeCell ref="S360:T360"/>
    <mergeCell ref="U360:X360"/>
    <mergeCell ref="C360:D360"/>
    <mergeCell ref="E360:F360"/>
    <mergeCell ref="G360:H360"/>
    <mergeCell ref="I360:J360"/>
    <mergeCell ref="K360:L360"/>
    <mergeCell ref="M360:N360"/>
    <mergeCell ref="O360:P360"/>
    <mergeCell ref="Q361:R361"/>
    <mergeCell ref="S361:T361"/>
    <mergeCell ref="U361:X361"/>
    <mergeCell ref="C361:D361"/>
    <mergeCell ref="E361:F361"/>
    <mergeCell ref="G361:H361"/>
    <mergeCell ref="I361:J361"/>
    <mergeCell ref="K361:L361"/>
    <mergeCell ref="M361:N361"/>
    <mergeCell ref="O361:P361"/>
  </mergeCells>
  <conditionalFormatting sqref="C35:D254 C256:D360 C362:D392">
    <cfRule type="expression" dxfId="4" priority="1">
      <formula>INDIRECT(CONCAT("D",ROW()))</formula>
    </cfRule>
  </conditionalFormatting>
  <conditionalFormatting sqref="B16:D34">
    <cfRule type="expression" dxfId="0" priority="2">
      <formula>INDIRECT(CONCAT("D",ROW()))</formula>
    </cfRule>
  </conditionalFormatting>
  <hyperlinks>
    <hyperlink display="Cantrips" location="Spell List!B16:X34" ref="B3"/>
    <hyperlink display="1st Level Spells" location="Spell List!B35:X75" ref="B4"/>
    <hyperlink display="2nd Level Spells" location="Spell List!B77:X126" ref="B5"/>
    <hyperlink display="3rd Level Spells" location="Spell List!B127:X171" ref="B6"/>
    <hyperlink display="4th Level Spells" location="Spell List!B172:X212" ref="B7"/>
    <hyperlink display="5th Level Spells" location="Spell List!B213:X255" ref="B8"/>
    <hyperlink display="6th Level Spells" location="Spell List!B256:X298" ref="B9"/>
    <hyperlink display="7th Level Spells" location="Spell List!B299:X333" ref="B10"/>
    <hyperlink display="8th Level Spells" location="Spell List!B334:X368" ref="B11"/>
    <hyperlink display="9th Level Spells" location="Spell List!B369:X392" ref="B12"/>
    <hyperlink r:id="rId1" ref="C16"/>
    <hyperlink r:id="rId2" ref="C17"/>
    <hyperlink r:id="rId3" ref="C18"/>
    <hyperlink r:id="rId4" ref="C19"/>
    <hyperlink r:id="rId5" ref="C20"/>
    <hyperlink r:id="rId6" ref="C21"/>
    <hyperlink r:id="rId7" ref="C22"/>
    <hyperlink r:id="rId8" ref="C23"/>
    <hyperlink r:id="rId9" ref="C24"/>
    <hyperlink r:id="rId10" ref="C25"/>
    <hyperlink r:id="rId11" ref="C26"/>
    <hyperlink r:id="rId12" ref="C27"/>
    <hyperlink r:id="rId13" ref="C28"/>
    <hyperlink r:id="rId14" ref="C29"/>
    <hyperlink r:id="rId15" ref="C30"/>
    <hyperlink r:id="rId16" ref="C31"/>
    <hyperlink r:id="rId17" ref="C32"/>
    <hyperlink r:id="rId18" ref="C33"/>
    <hyperlink r:id="rId19" ref="C34"/>
    <hyperlink r:id="rId20" ref="C35"/>
    <hyperlink r:id="rId21" ref="C36"/>
    <hyperlink r:id="rId22" ref="C37"/>
    <hyperlink r:id="rId23" ref="C38"/>
    <hyperlink r:id="rId24" ref="C39"/>
    <hyperlink r:id="rId25" ref="C40"/>
    <hyperlink r:id="rId26" ref="C41"/>
    <hyperlink r:id="rId27" ref="C42"/>
    <hyperlink r:id="rId28" ref="C43"/>
    <hyperlink r:id="rId29" ref="C44"/>
    <hyperlink r:id="rId30" ref="C45"/>
    <hyperlink r:id="rId31" ref="C46"/>
    <hyperlink r:id="rId32" ref="C47"/>
    <hyperlink r:id="rId33" ref="C48"/>
    <hyperlink r:id="rId34" ref="C49"/>
    <hyperlink r:id="rId35" ref="C50"/>
    <hyperlink r:id="rId36" ref="C51"/>
    <hyperlink r:id="rId37" ref="C52"/>
    <hyperlink r:id="rId38" ref="C53"/>
    <hyperlink r:id="rId39" ref="C54"/>
    <hyperlink r:id="rId40" ref="C55"/>
    <hyperlink r:id="rId41" ref="C56"/>
    <hyperlink r:id="rId42" ref="C57"/>
    <hyperlink r:id="rId43" ref="C58"/>
    <hyperlink r:id="rId44" ref="C59"/>
    <hyperlink r:id="rId45" ref="C60"/>
    <hyperlink r:id="rId46" ref="C61"/>
    <hyperlink r:id="rId47" ref="C62"/>
    <hyperlink r:id="rId48" ref="C63"/>
    <hyperlink r:id="rId49" ref="C64"/>
    <hyperlink r:id="rId50" ref="C65"/>
    <hyperlink r:id="rId51" ref="C66"/>
    <hyperlink r:id="rId52" ref="C67"/>
    <hyperlink r:id="rId53" ref="C68"/>
    <hyperlink r:id="rId54" ref="C69"/>
    <hyperlink r:id="rId55" ref="C70"/>
    <hyperlink r:id="rId56" ref="C71"/>
    <hyperlink r:id="rId57" ref="C72"/>
    <hyperlink r:id="rId58" ref="C73"/>
    <hyperlink r:id="rId59" ref="C74"/>
    <hyperlink r:id="rId60" ref="C75"/>
    <hyperlink r:id="rId61" ref="C76"/>
    <hyperlink r:id="rId62" ref="C77"/>
    <hyperlink r:id="rId63" ref="C78"/>
    <hyperlink r:id="rId64" ref="C79"/>
    <hyperlink r:id="rId65" ref="C80"/>
    <hyperlink r:id="rId66" ref="C81"/>
    <hyperlink r:id="rId67" ref="C82"/>
    <hyperlink r:id="rId68" ref="C83"/>
    <hyperlink r:id="rId69" ref="C84"/>
    <hyperlink r:id="rId70" ref="C85"/>
    <hyperlink r:id="rId71" ref="C86"/>
    <hyperlink r:id="rId72" ref="C87"/>
    <hyperlink r:id="rId73" ref="C88"/>
    <hyperlink r:id="rId74" ref="C89"/>
    <hyperlink r:id="rId75" ref="C90"/>
    <hyperlink r:id="rId76" ref="C91"/>
    <hyperlink r:id="rId77" ref="C92"/>
    <hyperlink r:id="rId78" ref="C93"/>
    <hyperlink r:id="rId79" ref="C94"/>
    <hyperlink r:id="rId80" ref="C95"/>
    <hyperlink r:id="rId81" ref="C96"/>
    <hyperlink r:id="rId82" ref="C97"/>
    <hyperlink r:id="rId83" ref="C98"/>
    <hyperlink r:id="rId84" ref="C99"/>
    <hyperlink r:id="rId85" ref="C100"/>
    <hyperlink r:id="rId86" ref="C101"/>
    <hyperlink r:id="rId87" ref="C102"/>
    <hyperlink r:id="rId88" ref="C103"/>
    <hyperlink r:id="rId89" ref="C104"/>
    <hyperlink r:id="rId90" ref="C105"/>
    <hyperlink r:id="rId91" ref="C106"/>
    <hyperlink r:id="rId92" ref="C107"/>
    <hyperlink r:id="rId93" ref="C108"/>
    <hyperlink r:id="rId94" ref="C109"/>
    <hyperlink r:id="rId95" ref="C110"/>
    <hyperlink r:id="rId96" ref="C111"/>
    <hyperlink r:id="rId97" ref="C112"/>
    <hyperlink r:id="rId98" ref="C113"/>
    <hyperlink r:id="rId99" ref="C114"/>
    <hyperlink r:id="rId100" ref="C115"/>
    <hyperlink r:id="rId101" ref="C116"/>
    <hyperlink r:id="rId102" ref="C117"/>
    <hyperlink r:id="rId103" ref="C118"/>
    <hyperlink r:id="rId104" ref="C119"/>
    <hyperlink r:id="rId105" ref="C120"/>
    <hyperlink r:id="rId106" ref="C121"/>
    <hyperlink r:id="rId107" ref="C122"/>
    <hyperlink r:id="rId108" ref="C123"/>
    <hyperlink r:id="rId109" ref="C124"/>
    <hyperlink r:id="rId110" ref="C125"/>
    <hyperlink r:id="rId111" ref="C126"/>
    <hyperlink r:id="rId112" ref="C127"/>
    <hyperlink r:id="rId113" ref="C128"/>
    <hyperlink r:id="rId114" ref="C129"/>
    <hyperlink r:id="rId115" ref="C130"/>
    <hyperlink r:id="rId116" ref="C131"/>
    <hyperlink r:id="rId117" ref="C132"/>
    <hyperlink r:id="rId118" ref="C133"/>
    <hyperlink r:id="rId119" ref="C134"/>
    <hyperlink r:id="rId120" ref="C135"/>
    <hyperlink r:id="rId121" ref="C136"/>
    <hyperlink r:id="rId122" ref="C137"/>
    <hyperlink r:id="rId123" ref="C138"/>
    <hyperlink r:id="rId124" ref="C139"/>
    <hyperlink r:id="rId125" ref="C140"/>
    <hyperlink r:id="rId126" ref="C141"/>
    <hyperlink r:id="rId127" ref="C142"/>
    <hyperlink r:id="rId128" ref="C143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0"/>
    <hyperlink r:id="rId136" ref="C151"/>
    <hyperlink r:id="rId137" ref="C152"/>
    <hyperlink r:id="rId138" ref="C153"/>
    <hyperlink r:id="rId139" ref="C154"/>
    <hyperlink r:id="rId140" ref="C155"/>
    <hyperlink r:id="rId141" ref="C156"/>
    <hyperlink r:id="rId142" ref="C157"/>
    <hyperlink r:id="rId143" ref="C158"/>
    <hyperlink r:id="rId144" ref="C159"/>
    <hyperlink r:id="rId145" ref="C160"/>
    <hyperlink r:id="rId146" ref="C161"/>
    <hyperlink r:id="rId147" ref="C162"/>
    <hyperlink r:id="rId148" ref="C163"/>
    <hyperlink r:id="rId149" ref="C164"/>
    <hyperlink r:id="rId150" ref="C165"/>
    <hyperlink r:id="rId151" ref="C166"/>
    <hyperlink r:id="rId152" ref="C167"/>
    <hyperlink r:id="rId153" ref="C168"/>
    <hyperlink r:id="rId154" ref="C169"/>
    <hyperlink r:id="rId155" ref="C170"/>
    <hyperlink r:id="rId156" ref="C171"/>
    <hyperlink r:id="rId157" ref="C172"/>
    <hyperlink r:id="rId158" ref="C173"/>
    <hyperlink r:id="rId159" ref="C174"/>
    <hyperlink r:id="rId160" ref="C175"/>
    <hyperlink r:id="rId161" ref="C176"/>
    <hyperlink r:id="rId162" ref="C177"/>
    <hyperlink r:id="rId163" ref="C178"/>
    <hyperlink r:id="rId164" ref="C179"/>
    <hyperlink r:id="rId165" ref="C180"/>
    <hyperlink r:id="rId166" ref="C181"/>
    <hyperlink r:id="rId167" ref="C182"/>
    <hyperlink r:id="rId168" ref="C183"/>
    <hyperlink r:id="rId169" ref="C184"/>
    <hyperlink r:id="rId170" ref="C185"/>
    <hyperlink r:id="rId171" ref="C186"/>
    <hyperlink r:id="rId172" ref="C187"/>
    <hyperlink r:id="rId173" ref="C188"/>
    <hyperlink r:id="rId174" ref="C189"/>
    <hyperlink r:id="rId175" ref="C190"/>
    <hyperlink r:id="rId176" ref="C191"/>
    <hyperlink r:id="rId177" ref="C192"/>
    <hyperlink r:id="rId178" ref="C193"/>
    <hyperlink r:id="rId179" ref="C194"/>
    <hyperlink r:id="rId180" ref="C195"/>
    <hyperlink r:id="rId181" ref="C196"/>
    <hyperlink r:id="rId182" ref="C197"/>
    <hyperlink r:id="rId183" ref="C198"/>
    <hyperlink r:id="rId184" ref="C199"/>
    <hyperlink r:id="rId185" ref="C200"/>
    <hyperlink r:id="rId186" ref="C201"/>
    <hyperlink r:id="rId187" ref="C202"/>
    <hyperlink r:id="rId188" ref="C203"/>
    <hyperlink r:id="rId189" ref="C204"/>
    <hyperlink r:id="rId190" ref="C205"/>
    <hyperlink r:id="rId191" ref="C206"/>
    <hyperlink r:id="rId192" ref="C207"/>
    <hyperlink r:id="rId193" ref="C208"/>
    <hyperlink r:id="rId194" ref="C209"/>
    <hyperlink r:id="rId195" ref="C210"/>
    <hyperlink r:id="rId196" ref="C211"/>
    <hyperlink r:id="rId197" ref="C212"/>
    <hyperlink r:id="rId198" ref="C213"/>
    <hyperlink r:id="rId199" ref="C214"/>
    <hyperlink r:id="rId200" ref="C215"/>
    <hyperlink r:id="rId201" ref="C216"/>
    <hyperlink r:id="rId202" ref="C217"/>
    <hyperlink r:id="rId203" ref="C218"/>
    <hyperlink r:id="rId204" ref="C219"/>
    <hyperlink r:id="rId205" ref="C220"/>
    <hyperlink r:id="rId206" ref="C221"/>
    <hyperlink r:id="rId207" ref="C222"/>
    <hyperlink r:id="rId208" ref="C223"/>
    <hyperlink r:id="rId209" ref="C224"/>
    <hyperlink r:id="rId210" ref="C225"/>
    <hyperlink r:id="rId211" ref="C226"/>
    <hyperlink r:id="rId212" ref="C227"/>
    <hyperlink r:id="rId213" ref="C228"/>
    <hyperlink r:id="rId214" ref="C229"/>
    <hyperlink r:id="rId215" ref="C230"/>
    <hyperlink r:id="rId216" ref="C231"/>
    <hyperlink r:id="rId217" ref="C232"/>
    <hyperlink r:id="rId218" ref="C233"/>
    <hyperlink r:id="rId219" ref="C234"/>
    <hyperlink r:id="rId220" ref="C235"/>
    <hyperlink r:id="rId221" ref="C236"/>
    <hyperlink r:id="rId222" ref="C237"/>
    <hyperlink r:id="rId223" ref="C238"/>
    <hyperlink r:id="rId224" ref="C239"/>
    <hyperlink r:id="rId225" ref="C240"/>
    <hyperlink r:id="rId226" ref="C241"/>
    <hyperlink r:id="rId227" ref="C242"/>
    <hyperlink r:id="rId228" ref="C243"/>
    <hyperlink r:id="rId229" ref="C244"/>
    <hyperlink r:id="rId230" ref="C245"/>
    <hyperlink r:id="rId231" ref="C246"/>
    <hyperlink r:id="rId232" ref="C247"/>
    <hyperlink r:id="rId233" ref="C248"/>
    <hyperlink r:id="rId234" ref="C249"/>
    <hyperlink r:id="rId235" ref="C250"/>
    <hyperlink r:id="rId236" ref="C251"/>
    <hyperlink r:id="rId237" ref="C252"/>
    <hyperlink r:id="rId238" ref="C253"/>
    <hyperlink r:id="rId239" ref="C254"/>
    <hyperlink r:id="rId240" ref="C255"/>
    <hyperlink r:id="rId241" ref="C256"/>
    <hyperlink r:id="rId242" ref="C257"/>
    <hyperlink r:id="rId243" ref="C258"/>
    <hyperlink r:id="rId244" ref="C259"/>
    <hyperlink r:id="rId245" ref="C260"/>
    <hyperlink r:id="rId246" ref="C261"/>
    <hyperlink r:id="rId247" ref="C262"/>
    <hyperlink r:id="rId248" ref="C263"/>
    <hyperlink r:id="rId249" ref="C264"/>
    <hyperlink r:id="rId250" ref="C265"/>
    <hyperlink r:id="rId251" ref="C266"/>
    <hyperlink r:id="rId252" ref="C267"/>
    <hyperlink r:id="rId253" ref="C268"/>
    <hyperlink r:id="rId254" ref="C269"/>
    <hyperlink r:id="rId255" ref="C270"/>
    <hyperlink r:id="rId256" ref="C271"/>
    <hyperlink r:id="rId257" ref="C272"/>
    <hyperlink r:id="rId258" ref="C273"/>
    <hyperlink r:id="rId259" ref="C274"/>
    <hyperlink r:id="rId260" ref="C275"/>
    <hyperlink r:id="rId261" ref="C276"/>
    <hyperlink r:id="rId262" ref="C277"/>
    <hyperlink r:id="rId263" ref="C278"/>
    <hyperlink r:id="rId264" ref="C279"/>
    <hyperlink r:id="rId265" ref="C280"/>
    <hyperlink r:id="rId266" ref="C281"/>
    <hyperlink r:id="rId267" ref="C282"/>
    <hyperlink r:id="rId268" ref="C283"/>
    <hyperlink r:id="rId269" ref="C284"/>
    <hyperlink r:id="rId270" ref="C285"/>
    <hyperlink r:id="rId271" ref="C286"/>
    <hyperlink r:id="rId272" ref="C287"/>
    <hyperlink r:id="rId273" ref="C288"/>
    <hyperlink r:id="rId274" ref="C289"/>
    <hyperlink r:id="rId275" ref="C290"/>
    <hyperlink r:id="rId276" ref="C291"/>
    <hyperlink r:id="rId277" ref="C292"/>
    <hyperlink r:id="rId278" ref="C293"/>
    <hyperlink r:id="rId279" ref="C294"/>
    <hyperlink r:id="rId280" ref="C295"/>
    <hyperlink r:id="rId281" ref="C296"/>
    <hyperlink r:id="rId282" ref="C297"/>
    <hyperlink r:id="rId283" ref="C298"/>
    <hyperlink r:id="rId284" ref="C299"/>
    <hyperlink r:id="rId285" ref="C300"/>
    <hyperlink r:id="rId286" ref="C301"/>
    <hyperlink r:id="rId287" ref="C302"/>
    <hyperlink r:id="rId288" ref="C303"/>
    <hyperlink r:id="rId289" ref="C304"/>
    <hyperlink r:id="rId290" ref="C305"/>
    <hyperlink r:id="rId291" ref="C306"/>
    <hyperlink r:id="rId292" ref="C307"/>
    <hyperlink r:id="rId293" ref="C308"/>
    <hyperlink r:id="rId294" ref="C309"/>
    <hyperlink r:id="rId295" ref="C310"/>
    <hyperlink r:id="rId296" ref="C311"/>
    <hyperlink r:id="rId297" ref="C312"/>
    <hyperlink r:id="rId298" ref="C313"/>
    <hyperlink r:id="rId299" ref="C314"/>
    <hyperlink r:id="rId300" ref="C315"/>
    <hyperlink r:id="rId301" ref="C316"/>
    <hyperlink r:id="rId302" ref="C317"/>
    <hyperlink r:id="rId303" ref="C318"/>
    <hyperlink r:id="rId304" ref="C319"/>
    <hyperlink r:id="rId305" ref="C320"/>
    <hyperlink r:id="rId306" ref="C321"/>
    <hyperlink r:id="rId307" ref="C322"/>
    <hyperlink r:id="rId308" ref="C323"/>
    <hyperlink r:id="rId309" ref="C324"/>
    <hyperlink r:id="rId310" ref="C325"/>
    <hyperlink r:id="rId311" ref="C326"/>
    <hyperlink r:id="rId312" ref="C327"/>
    <hyperlink r:id="rId313" ref="C328"/>
    <hyperlink r:id="rId314" ref="C329"/>
    <hyperlink r:id="rId315" ref="C330"/>
    <hyperlink r:id="rId316" ref="C331"/>
    <hyperlink r:id="rId317" ref="C332"/>
    <hyperlink r:id="rId318" ref="C333"/>
    <hyperlink r:id="rId319" ref="C334"/>
    <hyperlink r:id="rId320" ref="C335"/>
    <hyperlink r:id="rId321" ref="C336"/>
    <hyperlink r:id="rId322" ref="C337"/>
    <hyperlink r:id="rId323" ref="C338"/>
    <hyperlink r:id="rId324" ref="C339"/>
    <hyperlink r:id="rId325" ref="C340"/>
    <hyperlink r:id="rId326" ref="C341"/>
    <hyperlink r:id="rId327" ref="C342"/>
    <hyperlink r:id="rId328" ref="C343"/>
    <hyperlink r:id="rId329" ref="C344"/>
    <hyperlink r:id="rId330" ref="C345"/>
    <hyperlink r:id="rId331" ref="C346"/>
    <hyperlink r:id="rId332" ref="C347"/>
    <hyperlink r:id="rId333" ref="C348"/>
    <hyperlink r:id="rId334" ref="C349"/>
    <hyperlink r:id="rId335" ref="C350"/>
    <hyperlink r:id="rId336" ref="C351"/>
    <hyperlink r:id="rId337" ref="C352"/>
    <hyperlink r:id="rId338" ref="C353"/>
    <hyperlink r:id="rId339" ref="C354"/>
    <hyperlink r:id="rId340" ref="C355"/>
    <hyperlink r:id="rId341" ref="C356"/>
    <hyperlink r:id="rId342" ref="C357"/>
    <hyperlink r:id="rId343" ref="C358"/>
    <hyperlink r:id="rId344" ref="C359"/>
    <hyperlink r:id="rId345" ref="C360"/>
    <hyperlink r:id="rId346" ref="C361"/>
    <hyperlink r:id="rId347" ref="C362"/>
    <hyperlink r:id="rId348" ref="C363"/>
    <hyperlink r:id="rId349" ref="C364"/>
    <hyperlink r:id="rId350" ref="C365"/>
    <hyperlink r:id="rId351" ref="C366"/>
    <hyperlink r:id="rId352" ref="C367"/>
    <hyperlink r:id="rId353" ref="C368"/>
    <hyperlink r:id="rId354" ref="C369"/>
    <hyperlink r:id="rId355" ref="C370"/>
    <hyperlink r:id="rId356" ref="C371"/>
    <hyperlink r:id="rId357" ref="C372"/>
    <hyperlink r:id="rId358" ref="C373"/>
    <hyperlink r:id="rId359" ref="C374"/>
    <hyperlink r:id="rId360" ref="C375"/>
    <hyperlink r:id="rId361" ref="C376"/>
    <hyperlink r:id="rId362" ref="C377"/>
    <hyperlink r:id="rId363" ref="C378"/>
    <hyperlink r:id="rId364" ref="C379"/>
    <hyperlink r:id="rId365" ref="C380"/>
    <hyperlink r:id="rId366" ref="C381"/>
    <hyperlink r:id="rId367" ref="C382"/>
    <hyperlink r:id="rId368" ref="C383"/>
    <hyperlink r:id="rId369" ref="C384"/>
    <hyperlink r:id="rId370" ref="C385"/>
    <hyperlink r:id="rId371" ref="C386"/>
    <hyperlink r:id="rId372" ref="C387"/>
    <hyperlink r:id="rId373" ref="C388"/>
    <hyperlink r:id="rId374" ref="C389"/>
    <hyperlink r:id="rId375" ref="C390"/>
    <hyperlink r:id="rId376" ref="C391"/>
    <hyperlink r:id="rId377" ref="C392"/>
  </hyperlinks>
  <drawing r:id="rId37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tr">
        <f>'Spell List'!B16&amp;" "&amp;'Spell List'!C16</f>
        <v>0 Resistance</v>
      </c>
    </row>
    <row r="5">
      <c r="B5" s="1" t="str">
        <f>'Spell List'!B17&amp;" "&amp;'Spell List'!C17</f>
        <v>0 Acid Splash</v>
      </c>
    </row>
    <row r="6">
      <c r="B6" s="1" t="str">
        <f>'Spell List'!B18&amp;" "&amp;'Spell List'!C18</f>
        <v>0 Detect Magic</v>
      </c>
    </row>
    <row r="7">
      <c r="B7" s="1" t="str">
        <f>'Spell List'!B19&amp;" "&amp;'Spell List'!C19</f>
        <v>0 Detect Poison</v>
      </c>
    </row>
    <row r="8">
      <c r="B8" s="1" t="str">
        <f>'Spell List'!B20&amp;" "&amp;'Spell List'!C20</f>
        <v>0 Read Magic</v>
      </c>
    </row>
    <row r="9">
      <c r="B9" s="1" t="str">
        <f>'Spell List'!B21&amp;" "&amp;'Spell List'!C21</f>
        <v>0 Daze</v>
      </c>
    </row>
    <row r="10">
      <c r="B10" s="1" t="str">
        <f>'Spell List'!B22&amp;" "&amp;'Spell List'!C22</f>
        <v>0 Dancing Lights</v>
      </c>
    </row>
    <row r="11">
      <c r="B11" s="1" t="str">
        <f>'Spell List'!B23&amp;" "&amp;'Spell List'!C23</f>
        <v>0 Flare</v>
      </c>
    </row>
    <row r="12">
      <c r="B12" s="1" t="str">
        <f>'Spell List'!B24&amp;" "&amp;'Spell List'!C24</f>
        <v>0 Light</v>
      </c>
    </row>
    <row r="13">
      <c r="B13" s="1" t="str">
        <f>'Spell List'!B25&amp;" "&amp;'Spell List'!C25</f>
        <v>0 Ray of Frost</v>
      </c>
    </row>
    <row r="14">
      <c r="B14" s="1" t="str">
        <f>'Spell List'!B26&amp;" "&amp;'Spell List'!C26</f>
        <v>0 Ghost Sound</v>
      </c>
    </row>
    <row r="15">
      <c r="B15" s="1" t="str">
        <f>'Spell List'!B27&amp;" "&amp;'Spell List'!C27</f>
        <v>0 Disrupt Undead</v>
      </c>
    </row>
    <row r="16">
      <c r="B16" s="1" t="str">
        <f>'Spell List'!B28&amp;" "&amp;'Spell List'!C28</f>
        <v>0 Touch of Fatigue</v>
      </c>
    </row>
    <row r="17">
      <c r="B17" s="1" t="str">
        <f>'Spell List'!B29&amp;" "&amp;'Spell List'!C29</f>
        <v>0 Mage Hand</v>
      </c>
    </row>
    <row r="18">
      <c r="B18" s="1" t="str">
        <f>'Spell List'!B30&amp;" "&amp;'Spell List'!C30</f>
        <v>0 Mending</v>
      </c>
    </row>
    <row r="19">
      <c r="B19" s="1" t="str">
        <f>'Spell List'!B31&amp;" "&amp;'Spell List'!C31</f>
        <v>0 Message</v>
      </c>
    </row>
    <row r="20">
      <c r="B20" s="1" t="str">
        <f>'Spell List'!B32&amp;" "&amp;'Spell List'!C32</f>
        <v>0 Open/Close</v>
      </c>
    </row>
    <row r="21">
      <c r="B21" s="1" t="str">
        <f>'Spell List'!B33&amp;" "&amp;'Spell List'!C33</f>
        <v>0 Arcane Mark</v>
      </c>
    </row>
    <row r="22">
      <c r="B22" s="1" t="str">
        <f>'Spell List'!B34&amp;" "&amp;'Spell List'!C34</f>
        <v>0 Prestidigitation</v>
      </c>
    </row>
    <row r="23">
      <c r="B23" s="1" t="str">
        <f>'Spell List'!B35&amp;" "&amp;'Spell List'!C35</f>
        <v>1 Alarm</v>
      </c>
    </row>
    <row r="24">
      <c r="B24" s="1" t="str">
        <f>'Spell List'!B36&amp;" "&amp;'Spell List'!C36</f>
        <v>1 Endure Elements</v>
      </c>
    </row>
    <row r="25">
      <c r="B25" s="1" t="str">
        <f>'Spell List'!B37&amp;" "&amp;'Spell List'!C37</f>
        <v>1 Hold Portal</v>
      </c>
    </row>
    <row r="26">
      <c r="B26" s="1" t="str">
        <f>'Spell List'!B38&amp;" "&amp;'Spell List'!C38</f>
        <v>1 Protection from Chaos</v>
      </c>
    </row>
    <row r="27">
      <c r="B27" s="1" t="str">
        <f>'Spell List'!B39&amp;" "&amp;'Spell List'!C39</f>
        <v>1 Protection from Evil</v>
      </c>
    </row>
    <row r="28">
      <c r="B28" s="1" t="str">
        <f>'Spell List'!B40&amp;" "&amp;'Spell List'!C40</f>
        <v>1 Protection from Good</v>
      </c>
    </row>
    <row r="29">
      <c r="B29" s="1" t="str">
        <f>'Spell List'!B41&amp;" "&amp;'Spell List'!C41</f>
        <v>1 Protection from Law</v>
      </c>
    </row>
    <row r="30">
      <c r="B30" s="1" t="str">
        <f>'Spell List'!B42&amp;" "&amp;'Spell List'!C42</f>
        <v>1 Shield</v>
      </c>
    </row>
    <row r="31">
      <c r="B31" s="1" t="str">
        <f>'Spell List'!B43&amp;" "&amp;'Spell List'!C43</f>
        <v>1 Grease</v>
      </c>
    </row>
    <row r="32">
      <c r="B32" s="1" t="str">
        <f>'Spell List'!B44&amp;" "&amp;'Spell List'!C44</f>
        <v>1 Mage Armor</v>
      </c>
    </row>
    <row r="33">
      <c r="B33" s="1" t="str">
        <f>'Spell List'!B45&amp;" "&amp;'Spell List'!C45</f>
        <v>1 Mount</v>
      </c>
    </row>
    <row r="34">
      <c r="B34" s="1" t="str">
        <f>'Spell List'!B46&amp;" "&amp;'Spell List'!C46</f>
        <v>1 Obscuring Mist</v>
      </c>
    </row>
    <row r="35">
      <c r="B35" s="1" t="str">
        <f>'Spell List'!B47&amp;" "&amp;'Spell List'!C47</f>
        <v>1 Summon Monster I</v>
      </c>
    </row>
    <row r="36">
      <c r="B36" s="1" t="str">
        <f>'Spell List'!B48&amp;" "&amp;'Spell List'!C48</f>
        <v>1 Unseen Servant</v>
      </c>
    </row>
    <row r="37">
      <c r="B37" s="1" t="str">
        <f>'Spell List'!B49&amp;" "&amp;'Spell List'!C49</f>
        <v>1 Comprehend Languages</v>
      </c>
    </row>
    <row r="38">
      <c r="B38" s="1" t="str">
        <f>'Spell List'!B50&amp;" "&amp;'Spell List'!C50</f>
        <v>1 Detect Secret Doors</v>
      </c>
    </row>
    <row r="39">
      <c r="B39" s="1" t="str">
        <f>'Spell List'!B51&amp;" "&amp;'Spell List'!C51</f>
        <v>1 Detect Undead</v>
      </c>
    </row>
    <row r="40">
      <c r="B40" s="1" t="str">
        <f>'Spell List'!B52&amp;" "&amp;'Spell List'!C52</f>
        <v>1 Identify</v>
      </c>
    </row>
    <row r="41">
      <c r="B41" s="1" t="str">
        <f>'Spell List'!B53&amp;" "&amp;'Spell List'!C53</f>
        <v>1 True Strike</v>
      </c>
    </row>
    <row r="42">
      <c r="B42" s="1" t="str">
        <f>'Spell List'!B54&amp;" "&amp;'Spell List'!C54</f>
        <v>1 Charm Person</v>
      </c>
    </row>
    <row r="43">
      <c r="B43" s="1" t="str">
        <f>'Spell List'!B55&amp;" "&amp;'Spell List'!C55</f>
        <v>1 Hypnotism</v>
      </c>
    </row>
    <row r="44">
      <c r="B44" s="1" t="str">
        <f>'Spell List'!B56&amp;" "&amp;'Spell List'!C56</f>
        <v>1 Sleep</v>
      </c>
    </row>
    <row r="45">
      <c r="B45" s="1" t="str">
        <f>'Spell List'!B57&amp;" "&amp;'Spell List'!C57</f>
        <v>1 Burning Hands</v>
      </c>
    </row>
    <row r="46">
      <c r="B46" s="1" t="str">
        <f>'Spell List'!B58&amp;" "&amp;'Spell List'!C58</f>
        <v>1 Tenser's Floating Disk</v>
      </c>
    </row>
    <row r="47">
      <c r="B47" s="1" t="str">
        <f>'Spell List'!B59&amp;" "&amp;'Spell List'!C59</f>
        <v>1 Magic Missile</v>
      </c>
    </row>
    <row r="48">
      <c r="B48" s="1" t="str">
        <f>'Spell List'!B60&amp;" "&amp;'Spell List'!C60</f>
        <v>1 Shocking Grasp</v>
      </c>
    </row>
    <row r="49">
      <c r="B49" s="1" t="str">
        <f>'Spell List'!B61&amp;" "&amp;'Spell List'!C61</f>
        <v>1 Color Spray</v>
      </c>
    </row>
    <row r="50">
      <c r="B50" s="1" t="str">
        <f>'Spell List'!B62&amp;" "&amp;'Spell List'!C62</f>
        <v>1 Disguise Self</v>
      </c>
    </row>
    <row r="51">
      <c r="B51" s="1" t="str">
        <f>'Spell List'!B63&amp;" "&amp;'Spell List'!C63</f>
        <v>1 Nystul's Magic Aura</v>
      </c>
    </row>
    <row r="52">
      <c r="B52" s="1" t="str">
        <f>'Spell List'!B64&amp;" "&amp;'Spell List'!C64</f>
        <v>1 Silent Image</v>
      </c>
    </row>
    <row r="53">
      <c r="B53" s="1" t="str">
        <f>'Spell List'!B65&amp;" "&amp;'Spell List'!C65</f>
        <v>1 Ventriloquism</v>
      </c>
    </row>
    <row r="54">
      <c r="B54" s="1" t="str">
        <f>'Spell List'!B66&amp;" "&amp;'Spell List'!C66</f>
        <v>1 Cause Fear</v>
      </c>
    </row>
    <row r="55">
      <c r="B55" s="1" t="str">
        <f>'Spell List'!B67&amp;" "&amp;'Spell List'!C67</f>
        <v>1 Chill Touch</v>
      </c>
    </row>
    <row r="56">
      <c r="B56" s="1" t="str">
        <f>'Spell List'!B68&amp;" "&amp;'Spell List'!C68</f>
        <v>1 Ray of Enfeeblement</v>
      </c>
    </row>
    <row r="57">
      <c r="B57" s="1" t="str">
        <f>'Spell List'!B69&amp;" "&amp;'Spell List'!C69</f>
        <v>1 Animate Rope</v>
      </c>
    </row>
    <row r="58">
      <c r="B58" s="1" t="str">
        <f>'Spell List'!B70&amp;" "&amp;'Spell List'!C70</f>
        <v>1 Enlarge Person</v>
      </c>
    </row>
    <row r="59">
      <c r="B59" s="1" t="str">
        <f>'Spell List'!B71&amp;" "&amp;'Spell List'!C71</f>
        <v>1 Erase</v>
      </c>
    </row>
    <row r="60">
      <c r="B60" s="1" t="str">
        <f>'Spell List'!B72&amp;" "&amp;'Spell List'!C72</f>
        <v>1 Expeditious Retreat</v>
      </c>
    </row>
    <row r="61">
      <c r="B61" s="1" t="str">
        <f>'Spell List'!B73&amp;" "&amp;'Spell List'!C73</f>
        <v>1 Feather Fall</v>
      </c>
    </row>
    <row r="62">
      <c r="B62" s="1" t="str">
        <f>'Spell List'!B74&amp;" "&amp;'Spell List'!C74</f>
        <v>1 Jump</v>
      </c>
    </row>
    <row r="63">
      <c r="B63" s="1" t="str">
        <f>'Spell List'!B75&amp;" "&amp;'Spell List'!C75</f>
        <v>1 Magic Weapon</v>
      </c>
    </row>
    <row r="64">
      <c r="B64" s="1" t="str">
        <f>'Spell List'!B76&amp;" "&amp;'Spell List'!C76</f>
        <v>1 Reduce Person</v>
      </c>
    </row>
    <row r="65">
      <c r="B65" s="1" t="str">
        <f>'Spell List'!B77&amp;" "&amp;'Spell List'!C77</f>
        <v>2 Arcane Lock</v>
      </c>
    </row>
    <row r="66">
      <c r="B66" s="1" t="str">
        <f>'Spell List'!B78&amp;" "&amp;'Spell List'!C78</f>
        <v>2 Obscure Object</v>
      </c>
    </row>
    <row r="67">
      <c r="B67" s="1" t="str">
        <f>'Spell List'!B79&amp;" "&amp;'Spell List'!C79</f>
        <v>2 Protection from Arrows</v>
      </c>
    </row>
    <row r="68">
      <c r="B68" s="1" t="str">
        <f>'Spell List'!B80&amp;" "&amp;'Spell List'!C80</f>
        <v>2 Resist Energy</v>
      </c>
    </row>
    <row r="69">
      <c r="B69" s="1" t="str">
        <f>'Spell List'!B81&amp;" "&amp;'Spell List'!C81</f>
        <v>2 Melf's Acid Arrow</v>
      </c>
    </row>
    <row r="70">
      <c r="B70" s="1" t="str">
        <f>'Spell List'!B82&amp;" "&amp;'Spell List'!C82</f>
        <v>2 Fog Cloud</v>
      </c>
    </row>
    <row r="71">
      <c r="B71" s="1" t="str">
        <f>'Spell List'!B83&amp;" "&amp;'Spell List'!C83</f>
        <v>2 Glitterdust</v>
      </c>
    </row>
    <row r="72">
      <c r="B72" s="1" t="str">
        <f>'Spell List'!B84&amp;" "&amp;'Spell List'!C84</f>
        <v>2 Summon Monster II</v>
      </c>
    </row>
    <row r="73">
      <c r="B73" s="1" t="str">
        <f>'Spell List'!B85&amp;" "&amp;'Spell List'!C85</f>
        <v>2 Summon Swarm</v>
      </c>
    </row>
    <row r="74">
      <c r="B74" s="1" t="str">
        <f>'Spell List'!B86&amp;" "&amp;'Spell List'!C86</f>
        <v>2 Web</v>
      </c>
    </row>
    <row r="75">
      <c r="B75" s="1" t="str">
        <f>'Spell List'!B87&amp;" "&amp;'Spell List'!C87</f>
        <v>2 Detect Thoughts</v>
      </c>
    </row>
    <row r="76">
      <c r="B76" s="1" t="str">
        <f>'Spell List'!B88&amp;" "&amp;'Spell List'!C88</f>
        <v>2 Locate Object</v>
      </c>
    </row>
    <row r="77">
      <c r="B77" s="1" t="str">
        <f>'Spell List'!B89&amp;" "&amp;'Spell List'!C89</f>
        <v>2 See Invisibility</v>
      </c>
    </row>
    <row r="78">
      <c r="B78" s="1" t="str">
        <f>'Spell List'!B90&amp;" "&amp;'Spell List'!C90</f>
        <v>2 Daze Monster</v>
      </c>
    </row>
    <row r="79">
      <c r="B79" s="1" t="str">
        <f>'Spell List'!B91&amp;" "&amp;'Spell List'!C91</f>
        <v>2 Tasha's Hideous Laughter</v>
      </c>
    </row>
    <row r="80">
      <c r="B80" s="1" t="str">
        <f>'Spell List'!B92&amp;" "&amp;'Spell List'!C92</f>
        <v>2 Touch of Idiocy</v>
      </c>
    </row>
    <row r="81">
      <c r="B81" s="1" t="str">
        <f>'Spell List'!B93&amp;" "&amp;'Spell List'!C93</f>
        <v>2 Continual Flame</v>
      </c>
    </row>
    <row r="82">
      <c r="B82" s="1" t="str">
        <f>'Spell List'!B94&amp;" "&amp;'Spell List'!C94</f>
        <v>2 Darkness</v>
      </c>
    </row>
    <row r="83">
      <c r="B83" s="1" t="str">
        <f>'Spell List'!B95&amp;" "&amp;'Spell List'!C95</f>
        <v>2 Flaming Sphere</v>
      </c>
    </row>
    <row r="84">
      <c r="B84" s="1" t="str">
        <f>'Spell List'!B96&amp;" "&amp;'Spell List'!C96</f>
        <v>2 Gust of Wind</v>
      </c>
    </row>
    <row r="85">
      <c r="B85" s="1" t="str">
        <f>'Spell List'!B97&amp;" "&amp;'Spell List'!C97</f>
        <v>2 Scorching Ray</v>
      </c>
    </row>
    <row r="86">
      <c r="B86" s="1" t="str">
        <f>'Spell List'!B98&amp;" "&amp;'Spell List'!C98</f>
        <v>2 Shatter</v>
      </c>
    </row>
    <row r="87">
      <c r="B87" s="1" t="str">
        <f>'Spell List'!B99&amp;" "&amp;'Spell List'!C99</f>
        <v>2 Blur</v>
      </c>
    </row>
    <row r="88">
      <c r="B88" s="1" t="str">
        <f>'Spell List'!B100&amp;" "&amp;'Spell List'!C100</f>
        <v>2 Hypnotic Pattern</v>
      </c>
    </row>
    <row r="89">
      <c r="B89" s="1" t="str">
        <f>'Spell List'!B101&amp;" "&amp;'Spell List'!C101</f>
        <v>2 Invisibility</v>
      </c>
    </row>
    <row r="90">
      <c r="B90" s="1" t="str">
        <f>'Spell List'!B102&amp;" "&amp;'Spell List'!C102</f>
        <v>2 Magic Mouth</v>
      </c>
    </row>
    <row r="91">
      <c r="B91" s="1" t="str">
        <f>'Spell List'!B103&amp;" "&amp;'Spell List'!C103</f>
        <v>2 Minor Image</v>
      </c>
    </row>
    <row r="92">
      <c r="B92" s="1" t="str">
        <f>'Spell List'!B104&amp;" "&amp;'Spell List'!C104</f>
        <v>2 Mirror Image</v>
      </c>
    </row>
    <row r="93">
      <c r="B93" s="1" t="str">
        <f>'Spell List'!B105&amp;" "&amp;'Spell List'!C105</f>
        <v>2 Misdirection</v>
      </c>
    </row>
    <row r="94">
      <c r="B94" s="1" t="str">
        <f>'Spell List'!B106&amp;" "&amp;'Spell List'!C106</f>
        <v>2 Leomund's Trap</v>
      </c>
    </row>
    <row r="95">
      <c r="B95" s="1" t="str">
        <f>'Spell List'!B107&amp;" "&amp;'Spell List'!C107</f>
        <v>2 Blindness/Deafness</v>
      </c>
    </row>
    <row r="96">
      <c r="B96" s="1" t="str">
        <f>'Spell List'!B108&amp;" "&amp;'Spell List'!C108</f>
        <v>2 Command Undead</v>
      </c>
    </row>
    <row r="97">
      <c r="B97" s="1" t="str">
        <f>'Spell List'!B109&amp;" "&amp;'Spell List'!C109</f>
        <v>2 False Life</v>
      </c>
    </row>
    <row r="98">
      <c r="B98" s="1" t="str">
        <f>'Spell List'!B110&amp;" "&amp;'Spell List'!C110</f>
        <v>2 Ghoul Touch</v>
      </c>
    </row>
    <row r="99">
      <c r="B99" s="1" t="str">
        <f>'Spell List'!B111&amp;" "&amp;'Spell List'!C111</f>
        <v>2 Scare</v>
      </c>
    </row>
    <row r="100">
      <c r="B100" s="1" t="str">
        <f>'Spell List'!B112&amp;" "&amp;'Spell List'!C112</f>
        <v>2 Spectral Hand</v>
      </c>
    </row>
    <row r="101">
      <c r="B101" s="1" t="str">
        <f>'Spell List'!B113&amp;" "&amp;'Spell List'!C113</f>
        <v>2 Alter Self</v>
      </c>
    </row>
    <row r="102">
      <c r="B102" s="1" t="str">
        <f>'Spell List'!B114&amp;" "&amp;'Spell List'!C114</f>
        <v>2 Bear's Endurance</v>
      </c>
    </row>
    <row r="103">
      <c r="B103" s="1" t="str">
        <f>'Spell List'!B115&amp;" "&amp;'Spell List'!C115</f>
        <v>2 Bull's Strength</v>
      </c>
    </row>
    <row r="104">
      <c r="B104" s="1" t="str">
        <f>'Spell List'!B116&amp;" "&amp;'Spell List'!C116</f>
        <v>2 Cat's Grace</v>
      </c>
    </row>
    <row r="105">
      <c r="B105" s="1" t="str">
        <f>'Spell List'!B117&amp;" "&amp;'Spell List'!C117</f>
        <v>2 Darkvision</v>
      </c>
    </row>
    <row r="106">
      <c r="B106" s="1" t="str">
        <f>'Spell List'!B118&amp;" "&amp;'Spell List'!C118</f>
        <v>2 Eagle's Splendor</v>
      </c>
    </row>
    <row r="107">
      <c r="B107" s="1" t="str">
        <f>'Spell List'!B119&amp;" "&amp;'Spell List'!C119</f>
        <v>2 Fox's Cunning</v>
      </c>
    </row>
    <row r="108">
      <c r="B108" s="1" t="str">
        <f>'Spell List'!B120&amp;" "&amp;'Spell List'!C120</f>
        <v>2 Knock</v>
      </c>
    </row>
    <row r="109">
      <c r="B109" s="1" t="str">
        <f>'Spell List'!B121&amp;" "&amp;'Spell List'!C121</f>
        <v>2 Levitate</v>
      </c>
    </row>
    <row r="110">
      <c r="B110" s="1" t="str">
        <f>'Spell List'!B122&amp;" "&amp;'Spell List'!C122</f>
        <v>2 Owl's Wisdom</v>
      </c>
    </row>
    <row r="111">
      <c r="B111" s="1" t="str">
        <f>'Spell List'!B123&amp;" "&amp;'Spell List'!C123</f>
        <v>2 Pyrotechnics</v>
      </c>
    </row>
    <row r="112">
      <c r="B112" s="1" t="str">
        <f>'Spell List'!B124&amp;" "&amp;'Spell List'!C124</f>
        <v>2 Rope Trick</v>
      </c>
    </row>
    <row r="113">
      <c r="B113" s="1" t="str">
        <f>'Spell List'!B125&amp;" "&amp;'Spell List'!C125</f>
        <v>2 Spider Climb</v>
      </c>
    </row>
    <row r="114">
      <c r="B114" s="1" t="str">
        <f>'Spell List'!B126&amp;" "&amp;'Spell List'!C126</f>
        <v>2 Whispering Winds</v>
      </c>
    </row>
    <row r="115">
      <c r="B115" s="1" t="str">
        <f>'Spell List'!B127&amp;" "&amp;'Spell List'!C127</f>
        <v>3 Dispel Magic</v>
      </c>
    </row>
    <row r="116">
      <c r="B116" s="1" t="str">
        <f>'Spell List'!B128&amp;" "&amp;'Spell List'!C128</f>
        <v>3 Explosive Runes</v>
      </c>
    </row>
    <row r="117">
      <c r="B117" s="1" t="str">
        <f>'Spell List'!B129&amp;" "&amp;'Spell List'!C129</f>
        <v>3 Magic Circle against Chaos</v>
      </c>
    </row>
    <row r="118">
      <c r="B118" s="1" t="str">
        <f>'Spell List'!B130&amp;" "&amp;'Spell List'!C130</f>
        <v>3 Magic Circle against Evil</v>
      </c>
    </row>
    <row r="119">
      <c r="B119" s="1" t="str">
        <f>'Spell List'!B131&amp;" "&amp;'Spell List'!C131</f>
        <v>3 Magic Circle against Good</v>
      </c>
    </row>
    <row r="120">
      <c r="B120" s="1" t="str">
        <f>'Spell List'!B132&amp;" "&amp;'Spell List'!C132</f>
        <v>3 Magic Circle against Law</v>
      </c>
    </row>
    <row r="121">
      <c r="B121" s="1" t="str">
        <f>'Spell List'!B133&amp;" "&amp;'Spell List'!C133</f>
        <v>3 Nondetection</v>
      </c>
    </row>
    <row r="122">
      <c r="B122" s="1" t="str">
        <f>'Spell List'!B134&amp;" "&amp;'Spell List'!C134</f>
        <v>3 Protection from Energy</v>
      </c>
    </row>
    <row r="123">
      <c r="B123" s="1" t="str">
        <f>'Spell List'!B135&amp;" "&amp;'Spell List'!C135</f>
        <v>3 Phantom Steed</v>
      </c>
    </row>
    <row r="124">
      <c r="B124" s="1" t="str">
        <f>'Spell List'!B136&amp;" "&amp;'Spell List'!C136</f>
        <v>3 Sepia Snake Sigil</v>
      </c>
    </row>
    <row r="125">
      <c r="B125" s="1" t="str">
        <f>'Spell List'!B137&amp;" "&amp;'Spell List'!C137</f>
        <v>3 Sleet Storm</v>
      </c>
    </row>
    <row r="126">
      <c r="B126" s="1" t="str">
        <f>'Spell List'!B138&amp;" "&amp;'Spell List'!C138</f>
        <v>3 Stinking Cloud</v>
      </c>
    </row>
    <row r="127">
      <c r="B127" s="1" t="str">
        <f>'Spell List'!B139&amp;" "&amp;'Spell List'!C139</f>
        <v>3 Summon Monster III</v>
      </c>
    </row>
    <row r="128">
      <c r="B128" s="1" t="str">
        <f>'Spell List'!B140&amp;" "&amp;'Spell List'!C140</f>
        <v>3 Arcane Sight</v>
      </c>
    </row>
    <row r="129">
      <c r="B129" s="1" t="str">
        <f>'Spell List'!B141&amp;" "&amp;'Spell List'!C141</f>
        <v>3 Clairaudience
Clairvoyance</v>
      </c>
    </row>
    <row r="130">
      <c r="B130" s="1" t="str">
        <f>'Spell List'!B142&amp;" "&amp;'Spell List'!C142</f>
        <v>3 Tongues</v>
      </c>
    </row>
    <row r="131">
      <c r="B131" s="1" t="str">
        <f>'Spell List'!B143&amp;" "&amp;'Spell List'!C143</f>
        <v>3 Deep Slumber</v>
      </c>
    </row>
    <row r="132">
      <c r="B132" s="1" t="str">
        <f>'Spell List'!B144&amp;" "&amp;'Spell List'!C144</f>
        <v>3 Heroism</v>
      </c>
    </row>
    <row r="133">
      <c r="B133" s="1" t="str">
        <f>'Spell List'!B145&amp;" "&amp;'Spell List'!C145</f>
        <v>3 Hold Person</v>
      </c>
    </row>
    <row r="134">
      <c r="B134" s="1" t="str">
        <f>'Spell List'!B146&amp;" "&amp;'Spell List'!C146</f>
        <v>3 Rage</v>
      </c>
    </row>
    <row r="135">
      <c r="B135" s="1" t="str">
        <f>'Spell List'!B147&amp;" "&amp;'Spell List'!C147</f>
        <v>3 Suggestion</v>
      </c>
    </row>
    <row r="136">
      <c r="B136" s="1" t="str">
        <f>'Spell List'!B148&amp;" "&amp;'Spell List'!C148</f>
        <v>3 Daylight</v>
      </c>
    </row>
    <row r="137">
      <c r="B137" s="1" t="str">
        <f>'Spell List'!B149&amp;" "&amp;'Spell List'!C149</f>
        <v>3 Fireball</v>
      </c>
    </row>
    <row r="138">
      <c r="B138" s="1" t="str">
        <f>'Spell List'!B150&amp;" "&amp;'Spell List'!C150</f>
        <v>3 Lightning Bolt</v>
      </c>
    </row>
    <row r="139">
      <c r="B139" s="1" t="str">
        <f>'Spell List'!B151&amp;" "&amp;'Spell List'!C151</f>
        <v>3 Leomund's Tiny Hut</v>
      </c>
    </row>
    <row r="140">
      <c r="B140" s="1" t="str">
        <f>'Spell List'!B152&amp;" "&amp;'Spell List'!C152</f>
        <v>3 Wind Wall</v>
      </c>
    </row>
    <row r="141">
      <c r="B141" s="1" t="str">
        <f>'Spell List'!B153&amp;" "&amp;'Spell List'!C153</f>
        <v>3 Displacement</v>
      </c>
    </row>
    <row r="142">
      <c r="B142" s="1" t="str">
        <f>'Spell List'!B154&amp;" "&amp;'Spell List'!C154</f>
        <v>3 Illusory Script</v>
      </c>
    </row>
    <row r="143">
      <c r="B143" s="1" t="str">
        <f>'Spell List'!B155&amp;" "&amp;'Spell List'!C155</f>
        <v>3 Invisibility Sphere</v>
      </c>
    </row>
    <row r="144">
      <c r="B144" s="1" t="str">
        <f>'Spell List'!B156&amp;" "&amp;'Spell List'!C156</f>
        <v>3 Major Image</v>
      </c>
    </row>
    <row r="145">
      <c r="B145" s="1" t="str">
        <f>'Spell List'!B157&amp;" "&amp;'Spell List'!C157</f>
        <v>3 Gentle Repose</v>
      </c>
    </row>
    <row r="146">
      <c r="B146" s="1" t="str">
        <f>'Spell List'!B158&amp;" "&amp;'Spell List'!C158</f>
        <v>3 Halt Undead</v>
      </c>
    </row>
    <row r="147">
      <c r="B147" s="1" t="str">
        <f>'Spell List'!B159&amp;" "&amp;'Spell List'!C159</f>
        <v>3 Ray of Exhaustion</v>
      </c>
    </row>
    <row r="148">
      <c r="B148" s="1" t="str">
        <f>'Spell List'!B160&amp;" "&amp;'Spell List'!C160</f>
        <v>3 Vampiric Touch</v>
      </c>
    </row>
    <row r="149">
      <c r="B149" s="1" t="str">
        <f>'Spell List'!B161&amp;" "&amp;'Spell List'!C161</f>
        <v>3 Blink</v>
      </c>
    </row>
    <row r="150">
      <c r="B150" s="1" t="str">
        <f>'Spell List'!B162&amp;" "&amp;'Spell List'!C162</f>
        <v>3 Flame Arrow</v>
      </c>
    </row>
    <row r="151">
      <c r="B151" s="1" t="str">
        <f>'Spell List'!B163&amp;" "&amp;'Spell List'!C163</f>
        <v>3 Fly</v>
      </c>
    </row>
    <row r="152">
      <c r="B152" s="1" t="str">
        <f>'Spell List'!B164&amp;" "&amp;'Spell List'!C164</f>
        <v>3 Gaseous Form</v>
      </c>
    </row>
    <row r="153">
      <c r="B153" s="1" t="str">
        <f>'Spell List'!B165&amp;" "&amp;'Spell List'!C165</f>
        <v>3 Haste</v>
      </c>
    </row>
    <row r="154">
      <c r="B154" s="1" t="str">
        <f>'Spell List'!B166&amp;" "&amp;'Spell List'!C166</f>
        <v>3 Keen Edge</v>
      </c>
    </row>
    <row r="155">
      <c r="B155" s="1" t="str">
        <f>'Spell List'!B167&amp;" "&amp;'Spell List'!C167</f>
        <v>3 Greater Magic Weapon</v>
      </c>
    </row>
    <row r="156">
      <c r="B156" s="1" t="str">
        <f>'Spell List'!B168&amp;" "&amp;'Spell List'!C168</f>
        <v>3 Secret page</v>
      </c>
    </row>
    <row r="157">
      <c r="B157" s="1" t="str">
        <f>'Spell List'!B169&amp;" "&amp;'Spell List'!C169</f>
        <v>3 Shrink Item</v>
      </c>
    </row>
    <row r="158">
      <c r="B158" s="1" t="str">
        <f>'Spell List'!B170&amp;" "&amp;'Spell List'!C170</f>
        <v>3 Slow</v>
      </c>
    </row>
    <row r="159">
      <c r="B159" s="1" t="str">
        <f>'Spell List'!B171&amp;" "&amp;'Spell List'!C171</f>
        <v>3 Water Breathing</v>
      </c>
    </row>
    <row r="160">
      <c r="B160" s="1" t="str">
        <f>'Spell List'!B172&amp;" "&amp;'Spell List'!C172</f>
        <v>4 Dimensional Anchor</v>
      </c>
    </row>
    <row r="161">
      <c r="B161" s="1" t="str">
        <f>'Spell List'!B173&amp;" "&amp;'Spell List'!C173</f>
        <v>4 Fire Trap</v>
      </c>
    </row>
    <row r="162">
      <c r="B162" s="1" t="str">
        <f>'Spell List'!B174&amp;" "&amp;'Spell List'!C174</f>
        <v>4 Lesser Globe of Invulnerability</v>
      </c>
    </row>
    <row r="163">
      <c r="B163" s="1" t="str">
        <f>'Spell List'!B175&amp;" "&amp;'Spell List'!C175</f>
        <v>4 Remove Curse</v>
      </c>
    </row>
    <row r="164">
      <c r="B164" s="1" t="str">
        <f>'Spell List'!B176&amp;" "&amp;'Spell List'!C176</f>
        <v>4 Stoneskin</v>
      </c>
    </row>
    <row r="165">
      <c r="B165" s="1" t="str">
        <f>'Spell List'!B177&amp;" "&amp;'Spell List'!C177</f>
        <v>4 Evard's Black Tentacles</v>
      </c>
    </row>
    <row r="166">
      <c r="B166" s="1" t="str">
        <f>'Spell List'!B178&amp;" "&amp;'Spell List'!C178</f>
        <v>4 Dimension Door</v>
      </c>
    </row>
    <row r="167">
      <c r="B167" s="1" t="str">
        <f>'Spell List'!B179&amp;" "&amp;'Spell List'!C179</f>
        <v>4 Minor Creation</v>
      </c>
    </row>
    <row r="168">
      <c r="B168" s="1" t="str">
        <f>'Spell List'!B180&amp;" "&amp;'Spell List'!C180</f>
        <v>4 Leomund's Secure Shelter</v>
      </c>
    </row>
    <row r="169">
      <c r="B169" s="1" t="str">
        <f>'Spell List'!B181&amp;" "&amp;'Spell List'!C181</f>
        <v>4 Solid Fog</v>
      </c>
    </row>
    <row r="170">
      <c r="B170" s="1" t="str">
        <f>'Spell List'!B182&amp;" "&amp;'Spell List'!C182</f>
        <v>4 Summon Monster IV</v>
      </c>
    </row>
    <row r="171">
      <c r="B171" s="1" t="str">
        <f>'Spell List'!B183&amp;" "&amp;'Spell List'!C183</f>
        <v>4 Arcane Eye</v>
      </c>
    </row>
    <row r="172">
      <c r="B172" s="1" t="str">
        <f>'Spell List'!B184&amp;" "&amp;'Spell List'!C184</f>
        <v>4 Detect Scrying</v>
      </c>
    </row>
    <row r="173">
      <c r="B173" s="1" t="str">
        <f>'Spell List'!B185&amp;" "&amp;'Spell List'!C185</f>
        <v>4 Locate Creature</v>
      </c>
    </row>
    <row r="174">
      <c r="B174" s="1" t="str">
        <f>'Spell List'!B186&amp;" "&amp;'Spell List'!C186</f>
        <v>4 Scrying</v>
      </c>
    </row>
    <row r="175">
      <c r="B175" s="1" t="str">
        <f>'Spell List'!B187&amp;" "&amp;'Spell List'!C187</f>
        <v>4 Charm Monster</v>
      </c>
    </row>
    <row r="176">
      <c r="B176" s="1" t="str">
        <f>'Spell List'!B188&amp;" "&amp;'Spell List'!C188</f>
        <v>4 Confusion</v>
      </c>
    </row>
    <row r="177">
      <c r="B177" s="1" t="str">
        <f>'Spell List'!B189&amp;" "&amp;'Spell List'!C189</f>
        <v>4 Crushing Despair</v>
      </c>
    </row>
    <row r="178">
      <c r="B178" s="1" t="str">
        <f>'Spell List'!B190&amp;" "&amp;'Spell List'!C190</f>
        <v>4 Lesser Geas</v>
      </c>
    </row>
    <row r="179">
      <c r="B179" s="1" t="str">
        <f>'Spell List'!B191&amp;" "&amp;'Spell List'!C191</f>
        <v>4 Fire Shield</v>
      </c>
    </row>
    <row r="180">
      <c r="B180" s="1" t="str">
        <f>'Spell List'!B192&amp;" "&amp;'Spell List'!C192</f>
        <v>4 Ice Storm</v>
      </c>
    </row>
    <row r="181">
      <c r="B181" s="1" t="str">
        <f>'Spell List'!B193&amp;" "&amp;'Spell List'!C193</f>
        <v>4 Otiluke's Resilient Sphere</v>
      </c>
    </row>
    <row r="182">
      <c r="B182" s="1" t="str">
        <f>'Spell List'!B194&amp;" "&amp;'Spell List'!C194</f>
        <v>4 Shout</v>
      </c>
    </row>
    <row r="183">
      <c r="B183" s="1" t="str">
        <f>'Spell List'!B195&amp;" "&amp;'Spell List'!C195</f>
        <v>4 Wall of Fire</v>
      </c>
    </row>
    <row r="184">
      <c r="B184" s="1" t="str">
        <f>'Spell List'!B196&amp;" "&amp;'Spell List'!C196</f>
        <v>4 Wall of Ice</v>
      </c>
    </row>
    <row r="185">
      <c r="B185" s="1" t="str">
        <f>'Spell List'!B197&amp;" "&amp;'Spell List'!C197</f>
        <v>4 Hallucinatory Terrain</v>
      </c>
    </row>
    <row r="186">
      <c r="B186" s="1" t="str">
        <f>'Spell List'!B198&amp;" "&amp;'Spell List'!C198</f>
        <v>4 Illusory Wall</v>
      </c>
    </row>
    <row r="187">
      <c r="B187" s="1" t="str">
        <f>'Spell List'!B199&amp;" "&amp;'Spell List'!C199</f>
        <v>4 Greater Invisibility</v>
      </c>
    </row>
    <row r="188">
      <c r="B188" s="1" t="str">
        <f>'Spell List'!B200&amp;" "&amp;'Spell List'!C200</f>
        <v>4 Phantasmal Killer</v>
      </c>
    </row>
    <row r="189">
      <c r="B189" s="1" t="str">
        <f>'Spell List'!B201&amp;" "&amp;'Spell List'!C201</f>
        <v>4 Rainbow Pattern</v>
      </c>
    </row>
    <row r="190">
      <c r="B190" s="1" t="str">
        <f>'Spell List'!B202&amp;" "&amp;'Spell List'!C202</f>
        <v>4 Shadow Conjuration</v>
      </c>
    </row>
    <row r="191">
      <c r="B191" s="1" t="str">
        <f>'Spell List'!B203&amp;" "&amp;'Spell List'!C203</f>
        <v>4 Animate Dead</v>
      </c>
    </row>
    <row r="192">
      <c r="B192" s="1" t="str">
        <f>'Spell List'!B204&amp;" "&amp;'Spell List'!C204</f>
        <v>4 Bestow Curse</v>
      </c>
    </row>
    <row r="193">
      <c r="B193" s="1" t="str">
        <f>'Spell List'!B205&amp;" "&amp;'Spell List'!C205</f>
        <v>4 Contagion</v>
      </c>
    </row>
    <row r="194">
      <c r="B194" s="1" t="str">
        <f>'Spell List'!B206&amp;" "&amp;'Spell List'!C206</f>
        <v>4 Enervation</v>
      </c>
    </row>
    <row r="195">
      <c r="B195" s="1" t="str">
        <f>'Spell List'!B207&amp;" "&amp;'Spell List'!C207</f>
        <v>4 Fear</v>
      </c>
    </row>
    <row r="196">
      <c r="B196" s="1" t="str">
        <f>'Spell List'!B208&amp;" "&amp;'Spell List'!C208</f>
        <v>4 Mass Enlarge Person</v>
      </c>
    </row>
    <row r="197">
      <c r="B197" s="1" t="str">
        <f>'Spell List'!B209&amp;" "&amp;'Spell List'!C209</f>
        <v>4 Rary's Mnemonic Enhancer</v>
      </c>
    </row>
    <row r="198">
      <c r="B198" s="1" t="str">
        <f>'Spell List'!B210&amp;" "&amp;'Spell List'!C210</f>
        <v>4 Polymorph</v>
      </c>
    </row>
    <row r="199">
      <c r="B199" s="1" t="str">
        <f>'Spell List'!B211&amp;" "&amp;'Spell List'!C211</f>
        <v>4 Mass Reduce Person</v>
      </c>
    </row>
    <row r="200">
      <c r="B200" s="1" t="str">
        <f>'Spell List'!B212&amp;" "&amp;'Spell List'!C212</f>
        <v>4 Stone Shape</v>
      </c>
    </row>
    <row r="201">
      <c r="B201" s="1" t="str">
        <f>'Spell List'!B213&amp;" "&amp;'Spell List'!C213</f>
        <v>5 Break Enchantment</v>
      </c>
    </row>
    <row r="202">
      <c r="B202" s="1" t="str">
        <f>'Spell List'!B214&amp;" "&amp;'Spell List'!C214</f>
        <v>5 Dismissal</v>
      </c>
    </row>
    <row r="203">
      <c r="B203" s="1" t="str">
        <f>'Spell List'!B215&amp;" "&amp;'Spell List'!C215</f>
        <v>5 Mordenkainen's Private Sanctum</v>
      </c>
    </row>
    <row r="204">
      <c r="B204" s="1" t="str">
        <f>'Spell List'!B216&amp;" "&amp;'Spell List'!C216</f>
        <v>5 Cloudkill</v>
      </c>
    </row>
    <row r="205">
      <c r="B205" s="1" t="str">
        <f>'Spell List'!B217&amp;" "&amp;'Spell List'!C217</f>
        <v>5 Mordenkainen's Faithful Hound</v>
      </c>
    </row>
    <row r="206">
      <c r="B206" s="1" t="str">
        <f>'Spell List'!B218&amp;" "&amp;'Spell List'!C218</f>
        <v>5 Major Creation</v>
      </c>
    </row>
    <row r="207">
      <c r="B207" s="1" t="str">
        <f>'Spell List'!B219&amp;" "&amp;'Spell List'!C219</f>
        <v>5 Lesser Planar Binding</v>
      </c>
    </row>
    <row r="208">
      <c r="B208" s="1" t="str">
        <f>'Spell List'!B220&amp;" "&amp;'Spell List'!C220</f>
        <v>5 Leomund's Secret Chest</v>
      </c>
    </row>
    <row r="209">
      <c r="B209" s="1" t="str">
        <f>'Spell List'!B221&amp;" "&amp;'Spell List'!C221</f>
        <v>5 Summon Monster V</v>
      </c>
    </row>
    <row r="210">
      <c r="B210" s="1" t="str">
        <f>'Spell List'!B222&amp;" "&amp;'Spell List'!C222</f>
        <v>5 Teleport</v>
      </c>
    </row>
    <row r="211">
      <c r="B211" s="1" t="str">
        <f>'Spell List'!B223&amp;" "&amp;'Spell List'!C223</f>
        <v>5 Wall of Stone</v>
      </c>
    </row>
    <row r="212">
      <c r="B212" s="1" t="str">
        <f>'Spell List'!B224&amp;" "&amp;'Spell List'!C224</f>
        <v>5 Contact Other Plane</v>
      </c>
    </row>
    <row r="213">
      <c r="B213" s="1" t="str">
        <f>'Spell List'!B225&amp;" "&amp;'Spell List'!C225</f>
        <v>5 Prying Eyes</v>
      </c>
    </row>
    <row r="214">
      <c r="B214" s="1" t="str">
        <f>'Spell List'!B226&amp;" "&amp;'Spell List'!C226</f>
        <v>5 Rary's Telepathic Bond</v>
      </c>
    </row>
    <row r="215">
      <c r="B215" s="1" t="str">
        <f>'Spell List'!B227&amp;" "&amp;'Spell List'!C227</f>
        <v>5 Dominate Person</v>
      </c>
    </row>
    <row r="216">
      <c r="B216" s="1" t="str">
        <f>'Spell List'!B228&amp;" "&amp;'Spell List'!C228</f>
        <v>5 Feeblemind</v>
      </c>
    </row>
    <row r="217">
      <c r="B217" s="1" t="str">
        <f>'Spell List'!B229&amp;" "&amp;'Spell List'!C229</f>
        <v>5 Hold Monster</v>
      </c>
    </row>
    <row r="218">
      <c r="B218" s="1" t="str">
        <f>'Spell List'!B230&amp;" "&amp;'Spell List'!C230</f>
        <v>5 Mind Fog</v>
      </c>
    </row>
    <row r="219">
      <c r="B219" s="1" t="str">
        <f>'Spell List'!B231&amp;" "&amp;'Spell List'!C231</f>
        <v>5 Symbol of Sleep</v>
      </c>
    </row>
    <row r="220">
      <c r="B220" s="1" t="str">
        <f>'Spell List'!B232&amp;" "&amp;'Spell List'!C232</f>
        <v>5 Cone of Cold</v>
      </c>
    </row>
    <row r="221">
      <c r="B221" s="1" t="str">
        <f>'Spell List'!B233&amp;" "&amp;'Spell List'!C233</f>
        <v>5 Bigby's Interposing Hand</v>
      </c>
    </row>
    <row r="222">
      <c r="B222" s="1" t="str">
        <f>'Spell List'!B234&amp;" "&amp;'Spell List'!C234</f>
        <v>5 Sending</v>
      </c>
    </row>
    <row r="223">
      <c r="B223" s="1" t="str">
        <f>'Spell List'!B235&amp;" "&amp;'Spell List'!C235</f>
        <v>5 Wall of Force</v>
      </c>
    </row>
    <row r="224">
      <c r="B224" s="1" t="str">
        <f>'Spell List'!B236&amp;" "&amp;'Spell List'!C236</f>
        <v>5 Dream</v>
      </c>
    </row>
    <row r="225">
      <c r="B225" s="1" t="str">
        <f>'Spell List'!B237&amp;" "&amp;'Spell List'!C237</f>
        <v>5 False Vision</v>
      </c>
    </row>
    <row r="226">
      <c r="B226" s="1" t="str">
        <f>'Spell List'!B238&amp;" "&amp;'Spell List'!C238</f>
        <v>5 Mirage Arcana</v>
      </c>
    </row>
    <row r="227">
      <c r="B227" s="1" t="str">
        <f>'Spell List'!B239&amp;" "&amp;'Spell List'!C239</f>
        <v>5 Nightmare</v>
      </c>
    </row>
    <row r="228">
      <c r="B228" s="1" t="str">
        <f>'Spell List'!B240&amp;" "&amp;'Spell List'!C240</f>
        <v>5 Persistent Image</v>
      </c>
    </row>
    <row r="229">
      <c r="B229" s="1" t="str">
        <f>'Spell List'!B241&amp;" "&amp;'Spell List'!C241</f>
        <v>5 Seeming</v>
      </c>
    </row>
    <row r="230">
      <c r="B230" s="1" t="str">
        <f>'Spell List'!B242&amp;" "&amp;'Spell List'!C242</f>
        <v>5 Shadow Evocation</v>
      </c>
    </row>
    <row r="231">
      <c r="B231" s="1" t="str">
        <f>'Spell List'!B243&amp;" "&amp;'Spell List'!C243</f>
        <v>5 Blight</v>
      </c>
    </row>
    <row r="232">
      <c r="B232" s="1" t="str">
        <f>'Spell List'!B244&amp;" "&amp;'Spell List'!C244</f>
        <v>5 Magic Jar</v>
      </c>
    </row>
    <row r="233">
      <c r="B233" s="1" t="str">
        <f>'Spell List'!B245&amp;" "&amp;'Spell List'!C245</f>
        <v>5 Symbol of Pain</v>
      </c>
    </row>
    <row r="234">
      <c r="B234" s="1" t="str">
        <f>'Spell List'!B246&amp;" "&amp;'Spell List'!C246</f>
        <v>5 Waves of Fatigue</v>
      </c>
    </row>
    <row r="235">
      <c r="B235" s="1" t="str">
        <f>'Spell List'!B247&amp;" "&amp;'Spell List'!C247</f>
        <v>5 Animal Growth</v>
      </c>
    </row>
    <row r="236">
      <c r="B236" s="1" t="str">
        <f>'Spell List'!B248&amp;" "&amp;'Spell List'!C248</f>
        <v>5 Baleful Polymorph</v>
      </c>
    </row>
    <row r="237">
      <c r="B237" s="1" t="str">
        <f>'Spell List'!B249&amp;" "&amp;'Spell List'!C249</f>
        <v>5 Fabricate</v>
      </c>
    </row>
    <row r="238">
      <c r="B238" s="1" t="str">
        <f>'Spell List'!B250&amp;" "&amp;'Spell List'!C250</f>
        <v>5 Overland Flight</v>
      </c>
    </row>
    <row r="239">
      <c r="B239" s="1" t="str">
        <f>'Spell List'!B251&amp;" "&amp;'Spell List'!C251</f>
        <v>5 Passwall</v>
      </c>
    </row>
    <row r="240">
      <c r="B240" s="1" t="str">
        <f>'Spell List'!B252&amp;" "&amp;'Spell List'!C252</f>
        <v>5 Telekinesis</v>
      </c>
    </row>
    <row r="241">
      <c r="B241" s="1" t="str">
        <f>'Spell List'!B253&amp;" "&amp;'Spell List'!C253</f>
        <v>5 Transmute Mud to Rock</v>
      </c>
    </row>
    <row r="242">
      <c r="B242" s="1" t="str">
        <f>'Spell List'!B254&amp;" "&amp;'Spell List'!C254</f>
        <v>5 Transmute Rock to Mud</v>
      </c>
    </row>
    <row r="243">
      <c r="B243" s="1" t="str">
        <f>'Spell List'!B255&amp;" "&amp;'Spell List'!C255</f>
        <v>5 Permanency</v>
      </c>
    </row>
    <row r="244">
      <c r="B244" s="1" t="str">
        <f>'Spell List'!B256&amp;" "&amp;'Spell List'!C256</f>
        <v>6 Antimagic Field</v>
      </c>
    </row>
    <row r="245">
      <c r="B245" s="1" t="str">
        <f>'Spell List'!B257&amp;" "&amp;'Spell List'!C257</f>
        <v>6 Greater Dispel Magic</v>
      </c>
    </row>
    <row r="246">
      <c r="B246" s="1" t="str">
        <f>'Spell List'!B258&amp;" "&amp;'Spell List'!C258</f>
        <v>6 Globe of Invulnerability</v>
      </c>
    </row>
    <row r="247">
      <c r="B247" s="1" t="str">
        <f>'Spell List'!B259&amp;" "&amp;'Spell List'!C259</f>
        <v>6 Guards and Wards</v>
      </c>
    </row>
    <row r="248">
      <c r="B248" s="1" t="str">
        <f>'Spell List'!B260&amp;" "&amp;'Spell List'!C260</f>
        <v>6 Repulsion</v>
      </c>
    </row>
    <row r="249">
      <c r="B249" s="1" t="str">
        <f>'Spell List'!B261&amp;" "&amp;'Spell List'!C261</f>
        <v>6 Acid Fog</v>
      </c>
    </row>
    <row r="250">
      <c r="B250" s="1" t="str">
        <f>'Spell List'!B262&amp;" "&amp;'Spell List'!C262</f>
        <v>6 Planar Binding</v>
      </c>
    </row>
    <row r="251">
      <c r="B251" s="1" t="str">
        <f>'Spell List'!B263&amp;" "&amp;'Spell List'!C263</f>
        <v>6 Summon Monster VI</v>
      </c>
    </row>
    <row r="252">
      <c r="B252" s="1" t="str">
        <f>'Spell List'!B264&amp;" "&amp;'Spell List'!C264</f>
        <v>6 Wall of Iron</v>
      </c>
    </row>
    <row r="253">
      <c r="B253" s="1" t="str">
        <f>'Spell List'!B265&amp;" "&amp;'Spell List'!C265</f>
        <v>6 Analyze Dweomer</v>
      </c>
    </row>
    <row r="254">
      <c r="B254" s="1" t="str">
        <f>'Spell List'!B266&amp;" "&amp;'Spell List'!C266</f>
        <v>6 Legend Lore</v>
      </c>
    </row>
    <row r="255">
      <c r="B255" s="1" t="str">
        <f>'Spell List'!B267&amp;" "&amp;'Spell List'!C267</f>
        <v>6 True Seeing</v>
      </c>
    </row>
    <row r="256">
      <c r="B256" s="1" t="str">
        <f>'Spell List'!B268&amp;" "&amp;'Spell List'!C268</f>
        <v>6 Geas/Quest</v>
      </c>
    </row>
    <row r="257">
      <c r="B257" s="1" t="str">
        <f>'Spell List'!B269&amp;" "&amp;'Spell List'!C269</f>
        <v>6 Greater Heroism</v>
      </c>
    </row>
    <row r="258">
      <c r="B258" s="1" t="str">
        <f>'Spell List'!B270&amp;" "&amp;'Spell List'!C270</f>
        <v>6 Mass Suggestion</v>
      </c>
    </row>
    <row r="259">
      <c r="B259" s="1" t="str">
        <f>'Spell List'!B271&amp;" "&amp;'Spell List'!C271</f>
        <v>6 Symbol of Persuasion</v>
      </c>
    </row>
    <row r="260">
      <c r="B260" s="1" t="str">
        <f>'Spell List'!B272&amp;" "&amp;'Spell List'!C272</f>
        <v>6 Chain Lightning</v>
      </c>
    </row>
    <row r="261">
      <c r="B261" s="1" t="str">
        <f>'Spell List'!B273&amp;" "&amp;'Spell List'!C273</f>
        <v>6 Contingency</v>
      </c>
    </row>
    <row r="262">
      <c r="B262" s="1" t="str">
        <f>'Spell List'!B274&amp;" "&amp;'Spell List'!C274</f>
        <v>6 Bigby's Forceful Hand</v>
      </c>
    </row>
    <row r="263">
      <c r="B263" s="1" t="str">
        <f>'Spell List'!B275&amp;" "&amp;'Spell List'!C275</f>
        <v>6 Otiluke's Freezing Sphere</v>
      </c>
    </row>
    <row r="264">
      <c r="B264" s="1" t="str">
        <f>'Spell List'!B276&amp;" "&amp;'Spell List'!C276</f>
        <v>6 Mislead</v>
      </c>
    </row>
    <row r="265">
      <c r="B265" s="1" t="str">
        <f>'Spell List'!B277&amp;" "&amp;'Spell List'!C277</f>
        <v>6 Permanent Image</v>
      </c>
    </row>
    <row r="266">
      <c r="B266" s="1" t="str">
        <f>'Spell List'!B278&amp;" "&amp;'Spell List'!C278</f>
        <v>6 Programmed Image</v>
      </c>
    </row>
    <row r="267">
      <c r="B267" s="1" t="str">
        <f>'Spell List'!B279&amp;" "&amp;'Spell List'!C279</f>
        <v>6 Shadow Walk</v>
      </c>
    </row>
    <row r="268">
      <c r="B268" s="1" t="str">
        <f>'Spell List'!B280&amp;" "&amp;'Spell List'!C280</f>
        <v>6 Veil</v>
      </c>
    </row>
    <row r="269">
      <c r="B269" s="1" t="str">
        <f>'Spell List'!B281&amp;" "&amp;'Spell List'!C281</f>
        <v>6 Circle of Death</v>
      </c>
    </row>
    <row r="270">
      <c r="B270" s="1" t="str">
        <f>'Spell List'!B282&amp;" "&amp;'Spell List'!C282</f>
        <v>6 Create Undead</v>
      </c>
    </row>
    <row r="271">
      <c r="B271" s="1" t="str">
        <f>'Spell List'!B283&amp;" "&amp;'Spell List'!C283</f>
        <v>6 Eyebite</v>
      </c>
    </row>
    <row r="272">
      <c r="B272" s="1" t="str">
        <f>'Spell List'!B284&amp;" "&amp;'Spell List'!C284</f>
        <v>6 Symbol of Fear</v>
      </c>
    </row>
    <row r="273">
      <c r="B273" s="1" t="str">
        <f>'Spell List'!B285&amp;" "&amp;'Spell List'!C285</f>
        <v>6 Undeath to Death</v>
      </c>
    </row>
    <row r="274">
      <c r="B274" s="1" t="str">
        <f>'Spell List'!B286&amp;" "&amp;'Spell List'!C286</f>
        <v>6 Mass Bear's Endurance</v>
      </c>
    </row>
    <row r="275">
      <c r="B275" s="1" t="str">
        <f>'Spell List'!B287&amp;" "&amp;'Spell List'!C287</f>
        <v>6 Mass Bull's Strength</v>
      </c>
    </row>
    <row r="276">
      <c r="B276" s="1" t="str">
        <f>'Spell List'!B288&amp;" "&amp;'Spell List'!C288</f>
        <v>6 Mass Cat's Grace</v>
      </c>
    </row>
    <row r="277">
      <c r="B277" s="1" t="str">
        <f>'Spell List'!B289&amp;" "&amp;'Spell List'!C289</f>
        <v>6 Control Water</v>
      </c>
    </row>
    <row r="278">
      <c r="B278" s="1" t="str">
        <f>'Spell List'!B290&amp;" "&amp;'Spell List'!C290</f>
        <v>6 Disintegrate</v>
      </c>
    </row>
    <row r="279">
      <c r="B279" s="1" t="str">
        <f>'Spell List'!B291&amp;" "&amp;'Spell List'!C291</f>
        <v>6 Mass Eagle's Splendor</v>
      </c>
    </row>
    <row r="280">
      <c r="B280" s="1" t="str">
        <f>'Spell List'!B292&amp;" "&amp;'Spell List'!C292</f>
        <v>6 Flesh to Stone</v>
      </c>
    </row>
    <row r="281">
      <c r="B281" s="1" t="str">
        <f>'Spell List'!B293&amp;" "&amp;'Spell List'!C293</f>
        <v>6 Mass Fox's Cunning</v>
      </c>
    </row>
    <row r="282">
      <c r="B282" s="1" t="str">
        <f>'Spell List'!B294&amp;" "&amp;'Spell List'!C294</f>
        <v>6 Mordenkainen's Lucubration</v>
      </c>
    </row>
    <row r="283">
      <c r="B283" s="1" t="str">
        <f>'Spell List'!B295&amp;" "&amp;'Spell List'!C295</f>
        <v>6 Move Earth</v>
      </c>
    </row>
    <row r="284">
      <c r="B284" s="1" t="str">
        <f>'Spell List'!B296&amp;" "&amp;'Spell List'!C296</f>
        <v>6 Mass Owl's Wisdom</v>
      </c>
    </row>
    <row r="285">
      <c r="B285" s="1" t="str">
        <f>'Spell List'!B297&amp;" "&amp;'Spell List'!C297</f>
        <v>6 Stone to Flesh</v>
      </c>
    </row>
    <row r="286">
      <c r="B286" s="1" t="str">
        <f>'Spell List'!B298&amp;" "&amp;'Spell List'!C298</f>
        <v>6 Tenser's Transformation</v>
      </c>
    </row>
    <row r="287">
      <c r="B287" s="1" t="str">
        <f>'Spell List'!B299&amp;" "&amp;'Spell List'!C299</f>
        <v>7 Banishment</v>
      </c>
    </row>
    <row r="288">
      <c r="B288" s="1" t="str">
        <f>'Spell List'!B300&amp;" "&amp;'Spell List'!C300</f>
        <v>7 Sequester</v>
      </c>
    </row>
    <row r="289">
      <c r="B289" s="1" t="str">
        <f>'Spell List'!B301&amp;" "&amp;'Spell List'!C301</f>
        <v>7 Spell Turning</v>
      </c>
    </row>
    <row r="290">
      <c r="B290" s="1" t="str">
        <f>'Spell List'!B302&amp;" "&amp;'Spell List'!C302</f>
        <v>7 Drawmij's Instant Summons</v>
      </c>
    </row>
    <row r="291">
      <c r="B291" s="1" t="str">
        <f>'Spell List'!B303&amp;" "&amp;'Spell List'!C303</f>
        <v>7 Mordenkainen's Magnificent Mansion</v>
      </c>
    </row>
    <row r="292">
      <c r="B292" s="1" t="str">
        <f>'Spell List'!B304&amp;" "&amp;'Spell List'!C304</f>
        <v>7 Phase Door</v>
      </c>
    </row>
    <row r="293">
      <c r="B293" s="1" t="str">
        <f>'Spell List'!B305&amp;" "&amp;'Spell List'!C305</f>
        <v>7 Plane Shift</v>
      </c>
    </row>
    <row r="294">
      <c r="B294" s="1" t="str">
        <f>'Spell List'!B306&amp;" "&amp;'Spell List'!C306</f>
        <v>7 Summon Monster VII</v>
      </c>
    </row>
    <row r="295">
      <c r="B295" s="1" t="str">
        <f>'Spell List'!B307&amp;" "&amp;'Spell List'!C307</f>
        <v>7 Greater Teleport</v>
      </c>
    </row>
    <row r="296">
      <c r="B296" s="1" t="str">
        <f>'Spell List'!B308&amp;" "&amp;'Spell List'!C308</f>
        <v>7 Teleport Object</v>
      </c>
    </row>
    <row r="297">
      <c r="B297" s="1" t="str">
        <f>'Spell List'!B309&amp;" "&amp;'Spell List'!C309</f>
        <v>7 Greater Arcane Eye</v>
      </c>
    </row>
    <row r="298">
      <c r="B298" s="1" t="str">
        <f>'Spell List'!B310&amp;" "&amp;'Spell List'!C310</f>
        <v>7 Greater Scrying</v>
      </c>
    </row>
    <row r="299">
      <c r="B299" s="1" t="str">
        <f>'Spell List'!B311&amp;" "&amp;'Spell List'!C311</f>
        <v>7 Vision</v>
      </c>
    </row>
    <row r="300">
      <c r="B300" s="1" t="str">
        <f>'Spell List'!B312&amp;" "&amp;'Spell List'!C312</f>
        <v>7 Mass Hold Person</v>
      </c>
    </row>
    <row r="301">
      <c r="B301" s="1" t="str">
        <f>'Spell List'!B313&amp;" "&amp;'Spell List'!C313</f>
        <v>7 Insanity</v>
      </c>
    </row>
    <row r="302">
      <c r="B302" s="1" t="str">
        <f>'Spell List'!B314&amp;" "&amp;'Spell List'!C314</f>
        <v>7 Power Word Blind</v>
      </c>
    </row>
    <row r="303">
      <c r="B303" s="1" t="str">
        <f>'Spell List'!B315&amp;" "&amp;'Spell List'!C315</f>
        <v>7 Symbol of Stunning</v>
      </c>
    </row>
    <row r="304">
      <c r="B304" s="1" t="str">
        <f>'Spell List'!B316&amp;" "&amp;'Spell List'!C316</f>
        <v>7 Delayed Blast Fireball</v>
      </c>
    </row>
    <row r="305">
      <c r="B305" s="1" t="str">
        <f>'Spell List'!B317&amp;" "&amp;'Spell List'!C317</f>
        <v>7 Forcecage</v>
      </c>
    </row>
    <row r="306">
      <c r="B306" s="1" t="str">
        <f>'Spell List'!B318&amp;" "&amp;'Spell List'!C318</f>
        <v>7 Bigby's Grasping Hand</v>
      </c>
    </row>
    <row r="307">
      <c r="B307" s="1" t="str">
        <f>'Spell List'!B319&amp;" "&amp;'Spell List'!C319</f>
        <v>7 Mordenkainen's Sword</v>
      </c>
    </row>
    <row r="308">
      <c r="B308" s="1" t="str">
        <f>'Spell List'!B320&amp;" "&amp;'Spell List'!C320</f>
        <v>7 Prismatic Spray</v>
      </c>
    </row>
    <row r="309">
      <c r="B309" s="1" t="str">
        <f>'Spell List'!B321&amp;" "&amp;'Spell List'!C321</f>
        <v>7 Mass Invisibility</v>
      </c>
    </row>
    <row r="310">
      <c r="B310" s="1" t="str">
        <f>'Spell List'!B322&amp;" "&amp;'Spell List'!C322</f>
        <v>7 Project Image</v>
      </c>
    </row>
    <row r="311">
      <c r="B311" s="1" t="str">
        <f>'Spell List'!B323&amp;" "&amp;'Spell List'!C323</f>
        <v>7 Greater Shadow Conjuration</v>
      </c>
    </row>
    <row r="312">
      <c r="B312" s="1" t="str">
        <f>'Spell List'!B324&amp;" "&amp;'Spell List'!C324</f>
        <v>7 Simulacrum</v>
      </c>
    </row>
    <row r="313">
      <c r="B313" s="1" t="str">
        <f>'Spell List'!B325&amp;" "&amp;'Spell List'!C325</f>
        <v>7 Control Undead</v>
      </c>
    </row>
    <row r="314">
      <c r="B314" s="1" t="str">
        <f>'Spell List'!B326&amp;" "&amp;'Spell List'!C326</f>
        <v>7 Finger of Death</v>
      </c>
    </row>
    <row r="315">
      <c r="B315" s="1" t="str">
        <f>'Spell List'!B327&amp;" "&amp;'Spell List'!C327</f>
        <v>7 Symbol of Weakness</v>
      </c>
    </row>
    <row r="316">
      <c r="B316" s="1" t="str">
        <f>'Spell List'!B328&amp;" "&amp;'Spell List'!C328</f>
        <v>7 Waves of Exhaustion</v>
      </c>
    </row>
    <row r="317">
      <c r="B317" s="1" t="str">
        <f>'Spell List'!B329&amp;" "&amp;'Spell List'!C329</f>
        <v>7 Control Weather</v>
      </c>
    </row>
    <row r="318">
      <c r="B318" s="1" t="str">
        <f>'Spell List'!B330&amp;" "&amp;'Spell List'!C330</f>
        <v>7 Ethereal Jaunt</v>
      </c>
    </row>
    <row r="319">
      <c r="B319" s="1" t="str">
        <f>'Spell List'!B331&amp;" "&amp;'Spell List'!C331</f>
        <v>7 Reverse Gravity</v>
      </c>
    </row>
    <row r="320">
      <c r="B320" s="1" t="str">
        <f>'Spell List'!B332&amp;" "&amp;'Spell List'!C332</f>
        <v>7 Statue</v>
      </c>
    </row>
    <row r="321">
      <c r="B321" s="1" t="str">
        <f>'Spell List'!B333&amp;" "&amp;'Spell List'!C333</f>
        <v>7 Limited Wish</v>
      </c>
    </row>
    <row r="322">
      <c r="B322" s="1" t="str">
        <f>'Spell List'!B334&amp;" "&amp;'Spell List'!C334</f>
        <v>8 Dimensional Lock</v>
      </c>
    </row>
    <row r="323">
      <c r="B323" s="1" t="str">
        <f>'Spell List'!B335&amp;" "&amp;'Spell List'!C335</f>
        <v>8 Mind Blank</v>
      </c>
    </row>
    <row r="324">
      <c r="B324" s="1" t="str">
        <f>'Spell List'!B336&amp;" "&amp;'Spell List'!C336</f>
        <v>8 Prismatic Wall</v>
      </c>
    </row>
    <row r="325">
      <c r="B325" s="1" t="str">
        <f>'Spell List'!B337&amp;" "&amp;'Spell List'!C337</f>
        <v>8 Protection from Spells</v>
      </c>
    </row>
    <row r="326">
      <c r="B326" s="1" t="str">
        <f>'Spell List'!B338&amp;" "&amp;'Spell List'!C338</f>
        <v>8 Incendiary Cloud</v>
      </c>
    </row>
    <row r="327">
      <c r="B327" s="1" t="str">
        <f>'Spell List'!B339&amp;" "&amp;'Spell List'!C339</f>
        <v>8 Maze</v>
      </c>
    </row>
    <row r="328">
      <c r="B328" s="1" t="str">
        <f>'Spell List'!B340&amp;" "&amp;'Spell List'!C340</f>
        <v>8 Greater Planar Binding</v>
      </c>
    </row>
    <row r="329">
      <c r="B329" s="1" t="str">
        <f>'Spell List'!B341&amp;" "&amp;'Spell List'!C341</f>
        <v>8 Summon Monster VIII</v>
      </c>
    </row>
    <row r="330">
      <c r="B330" s="1" t="str">
        <f>'Spell List'!B342&amp;" "&amp;'Spell List'!C342</f>
        <v>8 Trap the Soul</v>
      </c>
    </row>
    <row r="331">
      <c r="B331" s="1" t="str">
        <f>'Spell List'!B343&amp;" "&amp;'Spell List'!C343</f>
        <v>8 Discern Location</v>
      </c>
    </row>
    <row r="332">
      <c r="B332" s="1" t="str">
        <f>'Spell List'!B344&amp;" "&amp;'Spell List'!C344</f>
        <v>8 Moment of Prescience</v>
      </c>
    </row>
    <row r="333">
      <c r="B333" s="1" t="str">
        <f>'Spell List'!B345&amp;" "&amp;'Spell List'!C345</f>
        <v>8 Greater Prying Eyes</v>
      </c>
    </row>
    <row r="334">
      <c r="B334" s="1" t="str">
        <f>'Spell List'!B346&amp;" "&amp;'Spell List'!C346</f>
        <v>8 Antipathy</v>
      </c>
    </row>
    <row r="335">
      <c r="B335" s="1" t="str">
        <f>'Spell List'!B347&amp;" "&amp;'Spell List'!C347</f>
        <v>8 Binding</v>
      </c>
    </row>
    <row r="336">
      <c r="B336" s="1" t="str">
        <f>'Spell List'!B348&amp;" "&amp;'Spell List'!C348</f>
        <v>8 Mass Charm Monster</v>
      </c>
    </row>
    <row r="337">
      <c r="B337" s="1" t="str">
        <f>'Spell List'!B349&amp;" "&amp;'Spell List'!C349</f>
        <v>8 Demand</v>
      </c>
    </row>
    <row r="338">
      <c r="B338" s="1" t="str">
        <f>'Spell List'!B350&amp;" "&amp;'Spell List'!C350</f>
        <v>8 Otto's Irresistible Dance</v>
      </c>
    </row>
    <row r="339">
      <c r="B339" s="1" t="str">
        <f>'Spell List'!B351&amp;" "&amp;'Spell List'!C351</f>
        <v>8 Power Word Stun</v>
      </c>
    </row>
    <row r="340">
      <c r="B340" s="1" t="str">
        <f>'Spell List'!B352&amp;" "&amp;'Spell List'!C352</f>
        <v>8 Symbol of Insanity</v>
      </c>
    </row>
    <row r="341">
      <c r="B341" s="1" t="str">
        <f>'Spell List'!B353&amp;" "&amp;'Spell List'!C353</f>
        <v>8 Sympathy</v>
      </c>
    </row>
    <row r="342">
      <c r="B342" s="1" t="str">
        <f>'Spell List'!B354&amp;" "&amp;'Spell List'!C354</f>
        <v>8 Bigby's Clenched Fist</v>
      </c>
    </row>
    <row r="343">
      <c r="B343" s="1" t="str">
        <f>'Spell List'!B355&amp;" "&amp;'Spell List'!C355</f>
        <v>8 Polar Ray</v>
      </c>
    </row>
    <row r="344">
      <c r="B344" s="1" t="str">
        <f>'Spell List'!B356&amp;" "&amp;'Spell List'!C356</f>
        <v>8 Greater Shout</v>
      </c>
    </row>
    <row r="345">
      <c r="B345" s="1" t="str">
        <f>'Spell List'!B357&amp;" "&amp;'Spell List'!C357</f>
        <v>8 Sunburst</v>
      </c>
    </row>
    <row r="346">
      <c r="B346" s="1" t="str">
        <f>'Spell List'!B358&amp;" "&amp;'Spell List'!C358</f>
        <v>8 Otiluke's Telekinetic Sphere</v>
      </c>
    </row>
    <row r="347">
      <c r="B347" s="1" t="str">
        <f>'Spell List'!B359&amp;" "&amp;'Spell List'!C359</f>
        <v>8 Scintillating Pattern</v>
      </c>
    </row>
    <row r="348">
      <c r="B348" s="1" t="str">
        <f>'Spell List'!B360&amp;" "&amp;'Spell List'!C360</f>
        <v>8 Screen</v>
      </c>
    </row>
    <row r="349">
      <c r="B349" s="1" t="str">
        <f>'Spell List'!B361&amp;" "&amp;'Spell List'!C361</f>
        <v>8 Greater Shadow Evocation</v>
      </c>
    </row>
    <row r="350">
      <c r="B350" s="1" t="str">
        <f>'Spell List'!B362&amp;" "&amp;'Spell List'!C362</f>
        <v>8 Clone</v>
      </c>
    </row>
    <row r="351">
      <c r="B351" s="1" t="str">
        <f>'Spell List'!B363&amp;" "&amp;'Spell List'!C363</f>
        <v>8 Create Greater Undead</v>
      </c>
    </row>
    <row r="352">
      <c r="B352" s="1" t="str">
        <f>'Spell List'!B364&amp;" "&amp;'Spell List'!C364</f>
        <v>8 Horrid Wilting</v>
      </c>
    </row>
    <row r="353">
      <c r="B353" s="1" t="str">
        <f>'Spell List'!B365&amp;" "&amp;'Spell List'!C365</f>
        <v>8 Symbol of Death</v>
      </c>
    </row>
    <row r="354">
      <c r="B354" s="1" t="str">
        <f>'Spell List'!B366&amp;" "&amp;'Spell List'!C366</f>
        <v>8 Iron Body</v>
      </c>
    </row>
    <row r="355">
      <c r="B355" s="1" t="str">
        <f>'Spell List'!B367&amp;" "&amp;'Spell List'!C367</f>
        <v>8 Polymorph any Object</v>
      </c>
    </row>
    <row r="356">
      <c r="B356" s="1" t="str">
        <f>'Spell List'!B368&amp;" "&amp;'Spell List'!C368</f>
        <v>8 Temporal Stasis</v>
      </c>
    </row>
    <row r="357">
      <c r="B357" s="1" t="str">
        <f>'Spell List'!B369&amp;" "&amp;'Spell List'!C369</f>
        <v>9 Freedom</v>
      </c>
    </row>
    <row r="358">
      <c r="B358" s="1" t="str">
        <f>'Spell List'!B370&amp;" "&amp;'Spell List'!C370</f>
        <v>9 Imprisonment</v>
      </c>
    </row>
    <row r="359">
      <c r="B359" s="1" t="str">
        <f>'Spell List'!B371&amp;" "&amp;'Spell List'!C371</f>
        <v>9 Mordenkainen's Disjunction</v>
      </c>
    </row>
    <row r="360">
      <c r="B360" s="1" t="str">
        <f>'Spell List'!B372&amp;" "&amp;'Spell List'!C372</f>
        <v>9 Prismatic Sphere</v>
      </c>
    </row>
    <row r="361">
      <c r="B361" s="1" t="str">
        <f>'Spell List'!B373&amp;" "&amp;'Spell List'!C373</f>
        <v>9 Gate</v>
      </c>
    </row>
    <row r="362">
      <c r="B362" s="1" t="str">
        <f>'Spell List'!B374&amp;" "&amp;'Spell List'!C374</f>
        <v>9 Refuge</v>
      </c>
    </row>
    <row r="363">
      <c r="B363" s="1" t="str">
        <f>'Spell List'!B375&amp;" "&amp;'Spell List'!C375</f>
        <v>9 Summon Monster XI</v>
      </c>
    </row>
    <row r="364">
      <c r="B364" s="1" t="str">
        <f>'Spell List'!B376&amp;" "&amp;'Spell List'!C376</f>
        <v>9 Teleportation Circle</v>
      </c>
    </row>
    <row r="365">
      <c r="B365" s="1" t="str">
        <f>'Spell List'!B377&amp;" "&amp;'Spell List'!C377</f>
        <v>9 Foresight</v>
      </c>
    </row>
    <row r="366">
      <c r="B366" s="1" t="str">
        <f>'Spell List'!B378&amp;" "&amp;'Spell List'!C378</f>
        <v>9 Dominate Monster</v>
      </c>
    </row>
    <row r="367">
      <c r="B367" s="1" t="str">
        <f>'Spell List'!B379&amp;" "&amp;'Spell List'!C379</f>
        <v>9 Mass Hold Monster</v>
      </c>
    </row>
    <row r="368">
      <c r="B368" s="1" t="str">
        <f>'Spell List'!B380&amp;" "&amp;'Spell List'!C380</f>
        <v>9 Power Word Kill</v>
      </c>
    </row>
    <row r="369">
      <c r="B369" s="1" t="str">
        <f>'Spell List'!B381&amp;" "&amp;'Spell List'!C381</f>
        <v>9 Bigby's Crushing Hand</v>
      </c>
    </row>
    <row r="370">
      <c r="B370" s="1" t="str">
        <f>'Spell List'!B382&amp;" "&amp;'Spell List'!C382</f>
        <v>9 Meteor Swarm</v>
      </c>
    </row>
    <row r="371">
      <c r="B371" s="1" t="str">
        <f>'Spell List'!B383&amp;" "&amp;'Spell List'!C383</f>
        <v>9 Shades</v>
      </c>
    </row>
    <row r="372">
      <c r="B372" s="1" t="str">
        <f>'Spell List'!B384&amp;" "&amp;'Spell List'!C384</f>
        <v>9 Weird</v>
      </c>
    </row>
    <row r="373">
      <c r="B373" s="1" t="str">
        <f>'Spell List'!B385&amp;" "&amp;'Spell List'!C385</f>
        <v>9 Astral Projection</v>
      </c>
    </row>
    <row r="374">
      <c r="B374" s="1" t="str">
        <f>'Spell List'!B386&amp;" "&amp;'Spell List'!C386</f>
        <v>9 Energy Drain</v>
      </c>
    </row>
    <row r="375">
      <c r="B375" s="1" t="str">
        <f>'Spell List'!B387&amp;" "&amp;'Spell List'!C387</f>
        <v>9 Soul Bind</v>
      </c>
    </row>
    <row r="376">
      <c r="B376" s="1" t="str">
        <f>'Spell List'!B388&amp;" "&amp;'Spell List'!C388</f>
        <v>9 Wail of the Banshee</v>
      </c>
    </row>
    <row r="377">
      <c r="B377" s="1" t="str">
        <f>'Spell List'!B389&amp;" "&amp;'Spell List'!C389</f>
        <v>9 Etherealness</v>
      </c>
    </row>
    <row r="378">
      <c r="B378" s="1" t="str">
        <f>'Spell List'!B390&amp;" "&amp;'Spell List'!C390</f>
        <v>9 Shapechange</v>
      </c>
    </row>
    <row r="379">
      <c r="B379" s="1" t="str">
        <f>'Spell List'!B391&amp;" "&amp;'Spell List'!C391</f>
        <v>9 Time Stop</v>
      </c>
    </row>
    <row r="380">
      <c r="B380" s="1" t="str">
        <f>'Spell List'!B392&amp;" "&amp;'Spell List'!C392</f>
        <v>9 Wish</v>
      </c>
    </row>
  </sheetData>
  <mergeCells count="377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75:C375"/>
    <mergeCell ref="B376:C376"/>
    <mergeCell ref="B377:C377"/>
    <mergeCell ref="B378:C378"/>
    <mergeCell ref="B379:C379"/>
    <mergeCell ref="B380:C380"/>
    <mergeCell ref="B368:C368"/>
    <mergeCell ref="B369:C369"/>
    <mergeCell ref="B370:C370"/>
    <mergeCell ref="B371:C371"/>
    <mergeCell ref="B372:C372"/>
    <mergeCell ref="B373:C373"/>
    <mergeCell ref="B374:C374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27.29"/>
    <col customWidth="1" min="3" max="3" width="21.57"/>
    <col customWidth="1" min="4" max="4" width="21.43"/>
    <col customWidth="1" min="5" max="5" width="6.0"/>
    <col customWidth="1" min="6" max="6" width="12.57"/>
    <col customWidth="1" min="7" max="7" width="3.14"/>
    <col customWidth="1" min="8" max="8" width="14.43"/>
    <col customWidth="1" min="9" max="9" width="8.43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9.57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14">
      <c r="B14" s="65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6"/>
      <c r="AA14" s="18"/>
    </row>
    <row r="15">
      <c r="B15" s="66"/>
      <c r="C15" s="66"/>
      <c r="D15" s="67" t="s">
        <v>16</v>
      </c>
      <c r="E15" s="21"/>
      <c r="F15" s="67" t="s">
        <v>17</v>
      </c>
      <c r="G15" s="21"/>
      <c r="H15" s="67" t="s">
        <v>18</v>
      </c>
      <c r="I15" s="21"/>
      <c r="J15" s="67" t="s">
        <v>19</v>
      </c>
      <c r="K15" s="21"/>
      <c r="L15" s="67" t="s">
        <v>20</v>
      </c>
      <c r="M15" s="21"/>
      <c r="N15" s="67" t="s">
        <v>21</v>
      </c>
      <c r="O15" s="21"/>
      <c r="P15" s="67" t="s">
        <v>22</v>
      </c>
      <c r="Q15" s="21"/>
      <c r="R15" s="67" t="s">
        <v>23</v>
      </c>
      <c r="S15" s="21"/>
      <c r="T15" s="67" t="s">
        <v>24</v>
      </c>
      <c r="U15" s="21"/>
      <c r="V15" s="67" t="s">
        <v>25</v>
      </c>
      <c r="W15" s="9"/>
      <c r="X15" s="9"/>
      <c r="Y15" s="21"/>
      <c r="Z15" s="66" t="s">
        <v>26</v>
      </c>
      <c r="AA15" s="22"/>
    </row>
    <row r="16">
      <c r="B16" s="68" t="str">
        <f t="shared" ref="B16:B36" si="1">if(isblank(indirect("'Known Spells'!B"&amp;row())),,right(indirect("'Known Spells'!B"&amp;row()),len(indirect("'Known Spells'!B"&amp;row()))-2))</f>
        <v/>
      </c>
      <c r="C16" s="23"/>
      <c r="D16" s="69" t="str">
        <f>IFERROR(__xludf.DUMMYFUNCTION("if(isblank(indirect(""B""&amp;row())),,FILTER(SuperList,'Spell List'!$C$16:$C$392=indirect(""B""&amp;row())))"),"")</f>
        <v/>
      </c>
      <c r="E16" s="16"/>
      <c r="F16" s="70"/>
      <c r="G16" s="16"/>
      <c r="H16" s="70"/>
      <c r="I16" s="16"/>
      <c r="J16" s="71"/>
      <c r="K16" s="16"/>
      <c r="L16" s="71"/>
      <c r="M16" s="16"/>
      <c r="N16" s="71"/>
      <c r="O16" s="16"/>
      <c r="P16" s="71"/>
      <c r="Q16" s="16"/>
      <c r="R16" s="71"/>
      <c r="S16" s="16"/>
      <c r="T16" s="71"/>
      <c r="U16" s="16"/>
      <c r="V16" s="72"/>
      <c r="W16" s="3"/>
      <c r="X16" s="3"/>
      <c r="Y16" s="16"/>
      <c r="Z16" s="73"/>
      <c r="AA16" s="22"/>
    </row>
    <row r="17">
      <c r="B17" s="74" t="str">
        <f t="shared" si="1"/>
        <v/>
      </c>
      <c r="C17" s="29"/>
      <c r="D17" s="75" t="str">
        <f>IFERROR(__xludf.DUMMYFUNCTION("if(isblank(indirect(""B""&amp;row())),,FILTER(SuperList,'Spell List'!$C$16:$C$392=indirect(""B""&amp;row())))"),"")</f>
        <v/>
      </c>
      <c r="E17" s="21"/>
      <c r="F17" s="76"/>
      <c r="G17" s="21"/>
      <c r="H17" s="76"/>
      <c r="I17" s="21"/>
      <c r="J17" s="77"/>
      <c r="K17" s="21"/>
      <c r="L17" s="77"/>
      <c r="M17" s="21"/>
      <c r="N17" s="76"/>
      <c r="O17" s="21"/>
      <c r="P17" s="76"/>
      <c r="Q17" s="21"/>
      <c r="R17" s="76"/>
      <c r="S17" s="21"/>
      <c r="T17" s="76"/>
      <c r="U17" s="21"/>
      <c r="V17" s="78"/>
      <c r="W17" s="9"/>
      <c r="X17" s="9"/>
      <c r="Y17" s="21"/>
      <c r="Z17" s="79"/>
      <c r="AA17" s="22"/>
    </row>
    <row r="18">
      <c r="B18" s="68" t="str">
        <f t="shared" si="1"/>
        <v/>
      </c>
      <c r="C18" s="35"/>
      <c r="D18" s="69" t="str">
        <f>IFERROR(__xludf.DUMMYFUNCTION("if(isblank(indirect(""B""&amp;row())),,FILTER(SuperList,'Spell List'!$C$16:$C$392=indirect(""B""&amp;row())))"),"")</f>
        <v/>
      </c>
      <c r="E18" s="16"/>
      <c r="F18" s="71"/>
      <c r="G18" s="16"/>
      <c r="H18" s="71"/>
      <c r="I18" s="16"/>
      <c r="J18" s="71"/>
      <c r="K18" s="16"/>
      <c r="L18" s="71"/>
      <c r="M18" s="16"/>
      <c r="N18" s="71"/>
      <c r="O18" s="16"/>
      <c r="P18" s="71"/>
      <c r="Q18" s="16"/>
      <c r="R18" s="71"/>
      <c r="S18" s="16"/>
      <c r="T18" s="71"/>
      <c r="U18" s="16"/>
      <c r="V18" s="72"/>
      <c r="W18" s="3"/>
      <c r="X18" s="3"/>
      <c r="Y18" s="16"/>
      <c r="Z18" s="73"/>
      <c r="AA18" s="36"/>
    </row>
    <row r="19">
      <c r="B19" s="74" t="str">
        <f t="shared" si="1"/>
        <v/>
      </c>
      <c r="C19" s="37"/>
      <c r="D19" s="75" t="str">
        <f>IFERROR(__xludf.DUMMYFUNCTION("if(isblank(indirect(""B""&amp;row())),,FILTER(SuperList,'Spell List'!$C$16:$C$392=indirect(""B""&amp;row())))"),"")</f>
        <v/>
      </c>
      <c r="E19" s="21"/>
      <c r="F19" s="77"/>
      <c r="G19" s="21"/>
      <c r="H19" s="77"/>
      <c r="I19" s="21"/>
      <c r="J19" s="77"/>
      <c r="K19" s="21"/>
      <c r="L19" s="77"/>
      <c r="M19" s="21"/>
      <c r="N19" s="77"/>
      <c r="O19" s="21"/>
      <c r="P19" s="77"/>
      <c r="Q19" s="21"/>
      <c r="R19" s="77"/>
      <c r="S19" s="21"/>
      <c r="T19" s="77"/>
      <c r="U19" s="21"/>
      <c r="V19" s="80"/>
      <c r="W19" s="9"/>
      <c r="X19" s="9"/>
      <c r="Y19" s="21"/>
      <c r="Z19" s="79"/>
      <c r="AA19" s="38"/>
    </row>
    <row r="20">
      <c r="B20" s="68" t="str">
        <f t="shared" si="1"/>
        <v/>
      </c>
      <c r="C20" s="35"/>
      <c r="D20" s="69" t="str">
        <f>IFERROR(__xludf.DUMMYFUNCTION("if(isblank(indirect(""B""&amp;row())),,FILTER(SuperList,'Spell List'!$C$16:$C$392=indirect(""B""&amp;row())))"),"")</f>
        <v/>
      </c>
      <c r="E20" s="16"/>
      <c r="F20" s="71"/>
      <c r="G20" s="16"/>
      <c r="H20" s="71"/>
      <c r="I20" s="16"/>
      <c r="J20" s="71"/>
      <c r="K20" s="16"/>
      <c r="L20" s="71"/>
      <c r="M20" s="16"/>
      <c r="N20" s="71"/>
      <c r="O20" s="16"/>
      <c r="P20" s="71"/>
      <c r="Q20" s="16"/>
      <c r="R20" s="71"/>
      <c r="S20" s="16"/>
      <c r="T20" s="71"/>
      <c r="U20" s="16"/>
      <c r="V20" s="72"/>
      <c r="W20" s="3"/>
      <c r="X20" s="3"/>
      <c r="Y20" s="16"/>
      <c r="Z20" s="73"/>
      <c r="AA20" s="38"/>
    </row>
    <row r="21">
      <c r="B21" s="74" t="str">
        <f t="shared" si="1"/>
        <v/>
      </c>
      <c r="C21" s="37"/>
      <c r="D21" s="75" t="str">
        <f>IFERROR(__xludf.DUMMYFUNCTION("if(isblank(indirect(""B""&amp;row())),,FILTER(SuperList,'Spell List'!$C$16:$C$392=indirect(""B""&amp;row())))"),"")</f>
        <v/>
      </c>
      <c r="E21" s="21"/>
      <c r="F21" s="77"/>
      <c r="G21" s="21"/>
      <c r="H21" s="77"/>
      <c r="I21" s="21"/>
      <c r="J21" s="77"/>
      <c r="K21" s="21"/>
      <c r="L21" s="77"/>
      <c r="M21" s="21"/>
      <c r="N21" s="77"/>
      <c r="O21" s="21"/>
      <c r="P21" s="77"/>
      <c r="Q21" s="21"/>
      <c r="R21" s="77"/>
      <c r="S21" s="21"/>
      <c r="T21" s="77"/>
      <c r="U21" s="21"/>
      <c r="V21" s="80"/>
      <c r="W21" s="9"/>
      <c r="X21" s="9"/>
      <c r="Y21" s="21"/>
      <c r="Z21" s="81"/>
      <c r="AA21" s="38"/>
    </row>
    <row r="22">
      <c r="B22" s="68" t="str">
        <f t="shared" si="1"/>
        <v/>
      </c>
      <c r="C22" s="35"/>
      <c r="D22" s="69" t="str">
        <f>IFERROR(__xludf.DUMMYFUNCTION("if(isblank(indirect(""B""&amp;row())),,FILTER(SuperList,'Spell List'!$C$16:$C$392=indirect(""B""&amp;row())))"),"")</f>
        <v/>
      </c>
      <c r="E22" s="16"/>
      <c r="F22" s="71"/>
      <c r="G22" s="16"/>
      <c r="H22" s="71"/>
      <c r="I22" s="16"/>
      <c r="J22" s="71"/>
      <c r="K22" s="16"/>
      <c r="L22" s="71"/>
      <c r="M22" s="16"/>
      <c r="N22" s="70"/>
      <c r="O22" s="16"/>
      <c r="P22" s="71"/>
      <c r="Q22" s="16"/>
      <c r="R22" s="71"/>
      <c r="S22" s="16"/>
      <c r="T22" s="71"/>
      <c r="U22" s="16"/>
      <c r="V22" s="72"/>
      <c r="W22" s="3"/>
      <c r="X22" s="3"/>
      <c r="Y22" s="16"/>
      <c r="Z22" s="82"/>
      <c r="AA22" s="38"/>
    </row>
    <row r="23">
      <c r="B23" s="74" t="str">
        <f t="shared" si="1"/>
        <v/>
      </c>
      <c r="C23" s="37"/>
      <c r="D23" s="75" t="str">
        <f>IFERROR(__xludf.DUMMYFUNCTION("if(isblank(indirect(""B""&amp;row())),,FILTER(SuperList,'Spell List'!$C$16:$C$392=indirect(""B""&amp;row())))"),"")</f>
        <v/>
      </c>
      <c r="E23" s="21"/>
      <c r="F23" s="77"/>
      <c r="G23" s="21"/>
      <c r="H23" s="77"/>
      <c r="I23" s="21"/>
      <c r="J23" s="77"/>
      <c r="K23" s="21"/>
      <c r="L23" s="77"/>
      <c r="M23" s="21"/>
      <c r="N23" s="77"/>
      <c r="O23" s="21"/>
      <c r="P23" s="77"/>
      <c r="Q23" s="21"/>
      <c r="R23" s="77"/>
      <c r="S23" s="21"/>
      <c r="T23" s="77"/>
      <c r="U23" s="21"/>
      <c r="V23" s="80"/>
      <c r="W23" s="9"/>
      <c r="X23" s="9"/>
      <c r="Y23" s="21"/>
      <c r="Z23" s="79"/>
      <c r="AA23" s="38"/>
    </row>
    <row r="24">
      <c r="B24" s="68" t="str">
        <f t="shared" si="1"/>
        <v/>
      </c>
      <c r="C24" s="35"/>
      <c r="D24" s="69" t="str">
        <f>IFERROR(__xludf.DUMMYFUNCTION("if(isblank(indirect(""B""&amp;row())),,FILTER(SuperList,'Spell List'!$C$16:$C$392=indirect(""B""&amp;row())))"),"")</f>
        <v/>
      </c>
      <c r="E24" s="16"/>
      <c r="F24" s="71"/>
      <c r="G24" s="16"/>
      <c r="H24" s="70"/>
      <c r="I24" s="16"/>
      <c r="J24" s="71"/>
      <c r="K24" s="16"/>
      <c r="L24" s="71"/>
      <c r="M24" s="16"/>
      <c r="N24" s="71"/>
      <c r="O24" s="16"/>
      <c r="P24" s="71"/>
      <c r="Q24" s="16"/>
      <c r="R24" s="71"/>
      <c r="S24" s="16"/>
      <c r="T24" s="71"/>
      <c r="U24" s="16"/>
      <c r="V24" s="72"/>
      <c r="W24" s="3"/>
      <c r="X24" s="3"/>
      <c r="Y24" s="16"/>
      <c r="Z24" s="73"/>
      <c r="AA24" s="38"/>
    </row>
    <row r="25">
      <c r="B25" s="74" t="str">
        <f t="shared" si="1"/>
        <v/>
      </c>
      <c r="C25" s="29"/>
      <c r="D25" s="75" t="str">
        <f>IFERROR(__xludf.DUMMYFUNCTION("if(isblank(indirect(""B""&amp;row())),,FILTER(SuperList,'Spell List'!$C$16:$C$392=indirect(""B""&amp;row())))"),"")</f>
        <v/>
      </c>
      <c r="E25" s="21"/>
      <c r="F25" s="77"/>
      <c r="G25" s="21"/>
      <c r="H25" s="76"/>
      <c r="I25" s="21"/>
      <c r="J25" s="77"/>
      <c r="K25" s="21"/>
      <c r="L25" s="77"/>
      <c r="M25" s="21"/>
      <c r="N25" s="76"/>
      <c r="O25" s="21"/>
      <c r="P25" s="76"/>
      <c r="Q25" s="21"/>
      <c r="R25" s="77"/>
      <c r="S25" s="21"/>
      <c r="T25" s="76"/>
      <c r="U25" s="21"/>
      <c r="V25" s="78"/>
      <c r="W25" s="9"/>
      <c r="X25" s="9"/>
      <c r="Y25" s="21"/>
      <c r="Z25" s="79"/>
      <c r="AA25" s="38"/>
    </row>
    <row r="26">
      <c r="B26" s="68" t="str">
        <f t="shared" si="1"/>
        <v/>
      </c>
      <c r="C26" s="35"/>
      <c r="D26" s="69" t="str">
        <f>IFERROR(__xludf.DUMMYFUNCTION("if(isblank(indirect(""B""&amp;row())),,FILTER(SuperList,'Spell List'!$C$16:$C$392=indirect(""B""&amp;row())))"),"")</f>
        <v/>
      </c>
      <c r="E26" s="16"/>
      <c r="F26" s="71"/>
      <c r="G26" s="16"/>
      <c r="H26" s="71"/>
      <c r="I26" s="16"/>
      <c r="J26" s="71"/>
      <c r="K26" s="16"/>
      <c r="L26" s="71"/>
      <c r="M26" s="16"/>
      <c r="N26" s="71"/>
      <c r="O26" s="16"/>
      <c r="P26" s="71"/>
      <c r="Q26" s="16"/>
      <c r="R26" s="71"/>
      <c r="S26" s="16"/>
      <c r="T26" s="71"/>
      <c r="U26" s="16"/>
      <c r="V26" s="72"/>
      <c r="W26" s="3"/>
      <c r="X26" s="3"/>
      <c r="Y26" s="16"/>
      <c r="Z26" s="82"/>
      <c r="AA26" s="38"/>
    </row>
    <row r="27">
      <c r="B27" s="74" t="str">
        <f t="shared" si="1"/>
        <v/>
      </c>
      <c r="C27" s="29"/>
      <c r="D27" s="75" t="str">
        <f>IFERROR(__xludf.DUMMYFUNCTION("if(isblank(indirect(""B""&amp;row())),,FILTER(SuperList,'Spell List'!$C$16:$C$392=indirect(""B""&amp;row())))"),"")</f>
        <v/>
      </c>
      <c r="E27" s="21"/>
      <c r="F27" s="76"/>
      <c r="G27" s="21"/>
      <c r="H27" s="76"/>
      <c r="I27" s="21"/>
      <c r="J27" s="77"/>
      <c r="K27" s="21"/>
      <c r="L27" s="77"/>
      <c r="M27" s="21"/>
      <c r="N27" s="76"/>
      <c r="O27" s="21"/>
      <c r="P27" s="76"/>
      <c r="Q27" s="21"/>
      <c r="R27" s="76"/>
      <c r="S27" s="21"/>
      <c r="T27" s="76"/>
      <c r="U27" s="21"/>
      <c r="V27" s="78"/>
      <c r="W27" s="9"/>
      <c r="X27" s="9"/>
      <c r="Y27" s="21"/>
      <c r="Z27" s="81"/>
      <c r="AA27" s="38"/>
    </row>
    <row r="28">
      <c r="B28" s="68" t="str">
        <f t="shared" si="1"/>
        <v/>
      </c>
      <c r="C28" s="41"/>
      <c r="D28" s="69" t="str">
        <f>IFERROR(__xludf.DUMMYFUNCTION("if(isblank(indirect(""B""&amp;row())),,FILTER(SuperList,'Spell List'!$C$16:$C$392=indirect(""B""&amp;row())))"),"")</f>
        <v/>
      </c>
      <c r="E28" s="16"/>
      <c r="F28" s="70"/>
      <c r="G28" s="16"/>
      <c r="H28" s="70"/>
      <c r="I28" s="16"/>
      <c r="J28" s="71"/>
      <c r="K28" s="16"/>
      <c r="L28" s="70"/>
      <c r="M28" s="16"/>
      <c r="N28" s="70"/>
      <c r="O28" s="16"/>
      <c r="P28" s="70"/>
      <c r="Q28" s="16"/>
      <c r="R28" s="70"/>
      <c r="S28" s="16"/>
      <c r="T28" s="70"/>
      <c r="U28" s="16"/>
      <c r="V28" s="83"/>
      <c r="W28" s="3"/>
      <c r="X28" s="3"/>
      <c r="Y28" s="16"/>
      <c r="Z28" s="82"/>
      <c r="AA28" s="38"/>
    </row>
    <row r="29">
      <c r="B29" s="74" t="str">
        <f t="shared" si="1"/>
        <v/>
      </c>
      <c r="C29" s="37"/>
      <c r="D29" s="75" t="str">
        <f>IFERROR(__xludf.DUMMYFUNCTION("if(isblank(indirect(""B""&amp;row())),,FILTER(SuperList,'Spell List'!$C$16:$C$392=indirect(""B""&amp;row())))"),"")</f>
        <v/>
      </c>
      <c r="E29" s="21"/>
      <c r="F29" s="77"/>
      <c r="G29" s="21"/>
      <c r="H29" s="77"/>
      <c r="I29" s="21"/>
      <c r="J29" s="77"/>
      <c r="K29" s="21"/>
      <c r="L29" s="77"/>
      <c r="M29" s="21"/>
      <c r="N29" s="77"/>
      <c r="O29" s="21"/>
      <c r="P29" s="77"/>
      <c r="Q29" s="21"/>
      <c r="R29" s="77"/>
      <c r="S29" s="21"/>
      <c r="T29" s="77"/>
      <c r="U29" s="21"/>
      <c r="V29" s="78"/>
      <c r="W29" s="9"/>
      <c r="X29" s="9"/>
      <c r="Y29" s="21"/>
      <c r="Z29" s="81"/>
      <c r="AA29" s="38"/>
    </row>
    <row r="30">
      <c r="B30" s="68" t="str">
        <f t="shared" si="1"/>
        <v/>
      </c>
      <c r="C30" s="35"/>
      <c r="D30" s="69" t="str">
        <f>IFERROR(__xludf.DUMMYFUNCTION("if(isblank(indirect(""B""&amp;row())),,FILTER(SuperList,'Spell List'!$C$16:$C$392=indirect(""B""&amp;row())))"),"")</f>
        <v/>
      </c>
      <c r="E30" s="16"/>
      <c r="F30" s="71"/>
      <c r="G30" s="16"/>
      <c r="H30" s="71"/>
      <c r="I30" s="16"/>
      <c r="J30" s="71"/>
      <c r="K30" s="16"/>
      <c r="L30" s="71"/>
      <c r="M30" s="16"/>
      <c r="N30" s="71"/>
      <c r="O30" s="16"/>
      <c r="P30" s="71"/>
      <c r="Q30" s="16"/>
      <c r="R30" s="71"/>
      <c r="S30" s="16"/>
      <c r="T30" s="71"/>
      <c r="U30" s="16"/>
      <c r="V30" s="72"/>
      <c r="W30" s="3"/>
      <c r="X30" s="3"/>
      <c r="Y30" s="16"/>
      <c r="Z30" s="73"/>
      <c r="AA30" s="38"/>
    </row>
    <row r="31">
      <c r="B31" s="74" t="str">
        <f t="shared" si="1"/>
        <v/>
      </c>
      <c r="C31" s="37"/>
      <c r="D31" s="75" t="str">
        <f>IFERROR(__xludf.DUMMYFUNCTION("if(isblank(indirect(""B""&amp;row())),,FILTER(SuperList,'Spell List'!$C$16:$C$392=indirect(""B""&amp;row())))"),"")</f>
        <v/>
      </c>
      <c r="E31" s="21"/>
      <c r="F31" s="77"/>
      <c r="G31" s="21"/>
      <c r="H31" s="77"/>
      <c r="I31" s="21"/>
      <c r="J31" s="77"/>
      <c r="K31" s="21"/>
      <c r="L31" s="77"/>
      <c r="M31" s="21"/>
      <c r="N31" s="77"/>
      <c r="O31" s="21"/>
      <c r="P31" s="77"/>
      <c r="Q31" s="21"/>
      <c r="R31" s="77"/>
      <c r="S31" s="21"/>
      <c r="T31" s="77"/>
      <c r="U31" s="21"/>
      <c r="V31" s="80"/>
      <c r="W31" s="9"/>
      <c r="X31" s="9"/>
      <c r="Y31" s="21"/>
      <c r="Z31" s="81"/>
      <c r="AA31" s="38"/>
    </row>
    <row r="32">
      <c r="B32" s="68" t="str">
        <f t="shared" si="1"/>
        <v/>
      </c>
      <c r="C32" s="35"/>
      <c r="D32" s="69" t="str">
        <f>IFERROR(__xludf.DUMMYFUNCTION("if(isblank(indirect(""B""&amp;row())),,FILTER(SuperList,'Spell List'!$C$16:$C$392=indirect(""B""&amp;row())))"),"")</f>
        <v/>
      </c>
      <c r="E32" s="16"/>
      <c r="F32" s="71"/>
      <c r="G32" s="16"/>
      <c r="H32" s="71"/>
      <c r="I32" s="16"/>
      <c r="J32" s="71"/>
      <c r="K32" s="16"/>
      <c r="L32" s="71"/>
      <c r="M32" s="16"/>
      <c r="N32" s="70"/>
      <c r="O32" s="16"/>
      <c r="P32" s="71"/>
      <c r="Q32" s="16"/>
      <c r="R32" s="71"/>
      <c r="S32" s="16"/>
      <c r="T32" s="71"/>
      <c r="U32" s="16"/>
      <c r="V32" s="72"/>
      <c r="W32" s="3"/>
      <c r="X32" s="3"/>
      <c r="Y32" s="16"/>
      <c r="Z32" s="84"/>
      <c r="AA32" s="38"/>
    </row>
    <row r="33">
      <c r="B33" s="74" t="str">
        <f t="shared" si="1"/>
        <v/>
      </c>
      <c r="C33" s="29"/>
      <c r="D33" s="75" t="str">
        <f>IFERROR(__xludf.DUMMYFUNCTION("if(isblank(indirect(""B""&amp;row())),,FILTER(SuperList,'Spell List'!$C$16:$C$392=indirect(""B""&amp;row())))"),"")</f>
        <v/>
      </c>
      <c r="E33" s="21"/>
      <c r="F33" s="77"/>
      <c r="G33" s="21"/>
      <c r="H33" s="77"/>
      <c r="I33" s="21"/>
      <c r="J33" s="77"/>
      <c r="K33" s="21"/>
      <c r="L33" s="76"/>
      <c r="M33" s="21"/>
      <c r="N33" s="76"/>
      <c r="O33" s="21"/>
      <c r="P33" s="76"/>
      <c r="Q33" s="21"/>
      <c r="R33" s="76"/>
      <c r="S33" s="21"/>
      <c r="T33" s="77"/>
      <c r="U33" s="21"/>
      <c r="V33" s="78"/>
      <c r="W33" s="9"/>
      <c r="X33" s="9"/>
      <c r="Y33" s="21"/>
      <c r="Z33" s="81"/>
      <c r="AA33" s="38"/>
    </row>
    <row r="34">
      <c r="B34" s="68" t="str">
        <f t="shared" si="1"/>
        <v/>
      </c>
      <c r="C34" s="35"/>
      <c r="D34" s="69" t="str">
        <f>IFERROR(__xludf.DUMMYFUNCTION("if(isblank(indirect(""B""&amp;row())),,FILTER(SuperList,'Spell List'!$C$16:$C$392=indirect(""B""&amp;row())))"),"")</f>
        <v/>
      </c>
      <c r="E34" s="16"/>
      <c r="F34" s="71"/>
      <c r="G34" s="16"/>
      <c r="H34" s="71"/>
      <c r="I34" s="16"/>
      <c r="J34" s="71"/>
      <c r="K34" s="16"/>
      <c r="L34" s="71"/>
      <c r="M34" s="16"/>
      <c r="N34" s="71"/>
      <c r="O34" s="16"/>
      <c r="P34" s="71"/>
      <c r="Q34" s="16"/>
      <c r="R34" s="71"/>
      <c r="S34" s="16"/>
      <c r="T34" s="71"/>
      <c r="U34" s="16"/>
      <c r="V34" s="72"/>
      <c r="W34" s="3"/>
      <c r="X34" s="3"/>
      <c r="Y34" s="16"/>
      <c r="Z34" s="82"/>
      <c r="AA34" s="38"/>
    </row>
    <row r="35">
      <c r="B35" s="74" t="str">
        <f t="shared" si="1"/>
        <v/>
      </c>
      <c r="C35" s="29"/>
      <c r="D35" s="75" t="str">
        <f>IFERROR(__xludf.DUMMYFUNCTION("if(isblank(indirect(""B""&amp;row())),,FILTER(SuperList,'Spell List'!$C$16:$C$392=indirect(""B""&amp;row())))"),"")</f>
        <v/>
      </c>
      <c r="E35" s="21"/>
      <c r="F35" s="77"/>
      <c r="G35" s="21"/>
      <c r="H35" s="77"/>
      <c r="I35" s="21"/>
      <c r="J35" s="77"/>
      <c r="K35" s="21"/>
      <c r="L35" s="76"/>
      <c r="M35" s="21"/>
      <c r="N35" s="76"/>
      <c r="O35" s="21"/>
      <c r="P35" s="76"/>
      <c r="Q35" s="21"/>
      <c r="R35" s="76"/>
      <c r="S35" s="21"/>
      <c r="T35" s="77"/>
      <c r="U35" s="21"/>
      <c r="V35" s="78"/>
      <c r="W35" s="9"/>
      <c r="X35" s="9"/>
      <c r="Y35" s="21"/>
      <c r="Z35" s="81"/>
      <c r="AA35" s="38"/>
    </row>
    <row r="36">
      <c r="B36" s="68" t="str">
        <f t="shared" si="1"/>
        <v/>
      </c>
      <c r="C36" s="35"/>
      <c r="D36" s="69" t="str">
        <f>IFERROR(__xludf.DUMMYFUNCTION("if(isblank(indirect(""B""&amp;row())),,FILTER(SuperList,'Spell List'!$C$16:$C$392=indirect(""B""&amp;row())))"),"")</f>
        <v/>
      </c>
      <c r="E36" s="16"/>
      <c r="F36" s="71"/>
      <c r="G36" s="16"/>
      <c r="H36" s="71"/>
      <c r="I36" s="16"/>
      <c r="J36" s="71"/>
      <c r="K36" s="16"/>
      <c r="L36" s="71"/>
      <c r="M36" s="16"/>
      <c r="N36" s="71"/>
      <c r="O36" s="16"/>
      <c r="P36" s="71"/>
      <c r="Q36" s="16"/>
      <c r="R36" s="71"/>
      <c r="S36" s="16"/>
      <c r="T36" s="71"/>
      <c r="U36" s="16"/>
      <c r="V36" s="72"/>
      <c r="W36" s="3"/>
      <c r="X36" s="3"/>
      <c r="Y36" s="16"/>
      <c r="Z36" s="82"/>
      <c r="AA36" s="38"/>
    </row>
    <row r="38">
      <c r="B38" s="65" t="s">
        <v>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6"/>
    </row>
    <row r="39">
      <c r="B39" s="66" t="s">
        <v>14</v>
      </c>
      <c r="C39" s="66"/>
      <c r="D39" s="67" t="s">
        <v>16</v>
      </c>
      <c r="E39" s="21"/>
      <c r="F39" s="67" t="s">
        <v>17</v>
      </c>
      <c r="G39" s="21"/>
      <c r="H39" s="67" t="s">
        <v>18</v>
      </c>
      <c r="I39" s="21"/>
      <c r="J39" s="67" t="s">
        <v>19</v>
      </c>
      <c r="K39" s="21"/>
      <c r="L39" s="67" t="s">
        <v>20</v>
      </c>
      <c r="M39" s="21"/>
      <c r="N39" s="67" t="s">
        <v>21</v>
      </c>
      <c r="O39" s="21"/>
      <c r="P39" s="67" t="s">
        <v>22</v>
      </c>
      <c r="Q39" s="21"/>
      <c r="R39" s="67" t="s">
        <v>23</v>
      </c>
      <c r="S39" s="21"/>
      <c r="T39" s="67" t="s">
        <v>24</v>
      </c>
      <c r="U39" s="21"/>
      <c r="V39" s="67" t="s">
        <v>25</v>
      </c>
      <c r="W39" s="9"/>
      <c r="X39" s="9"/>
      <c r="Y39" s="21"/>
      <c r="Z39" s="66" t="s">
        <v>26</v>
      </c>
    </row>
    <row r="40">
      <c r="B40" s="68" t="str">
        <f t="shared" ref="B40:B60" si="2">if(isblank(indirect("'Known Spells'!B"&amp;row())),,right(indirect("'Known Spells'!B"&amp;row()),len(indirect("'Known Spells'!B"&amp;row()))-2))</f>
        <v/>
      </c>
      <c r="C40" s="23"/>
      <c r="D40" s="69" t="str">
        <f>IFERROR(__xludf.DUMMYFUNCTION("if(isblank(indirect(""B""&amp;row())),,FILTER(SuperList,'Spell List'!$C$16:$C$392=indirect(""B""&amp;row())))"),"")</f>
        <v/>
      </c>
      <c r="E40" s="16"/>
      <c r="F40" s="70"/>
      <c r="G40" s="16"/>
      <c r="H40" s="70"/>
      <c r="I40" s="16"/>
      <c r="J40" s="71"/>
      <c r="K40" s="16"/>
      <c r="L40" s="71"/>
      <c r="M40" s="16"/>
      <c r="N40" s="71"/>
      <c r="O40" s="16"/>
      <c r="P40" s="71"/>
      <c r="Q40" s="16"/>
      <c r="R40" s="71"/>
      <c r="S40" s="16"/>
      <c r="T40" s="71"/>
      <c r="U40" s="16"/>
      <c r="V40" s="72"/>
      <c r="W40" s="3"/>
      <c r="X40" s="3"/>
      <c r="Y40" s="16"/>
      <c r="Z40" s="73"/>
    </row>
    <row r="41">
      <c r="B41" s="74" t="str">
        <f t="shared" si="2"/>
        <v/>
      </c>
      <c r="C41" s="29"/>
      <c r="D41" s="75" t="str">
        <f>IFERROR(__xludf.DUMMYFUNCTION("if(isblank(indirect(""B""&amp;row())),,FILTER(SuperList,'Spell List'!$C$16:$C$392=indirect(""B""&amp;row())))"),"")</f>
        <v/>
      </c>
      <c r="E41" s="21"/>
      <c r="F41" s="76"/>
      <c r="G41" s="21"/>
      <c r="H41" s="76"/>
      <c r="I41" s="21"/>
      <c r="J41" s="77"/>
      <c r="K41" s="21"/>
      <c r="L41" s="77"/>
      <c r="M41" s="21"/>
      <c r="N41" s="76"/>
      <c r="O41" s="21"/>
      <c r="P41" s="76"/>
      <c r="Q41" s="21"/>
      <c r="R41" s="76"/>
      <c r="S41" s="21"/>
      <c r="T41" s="76"/>
      <c r="U41" s="21"/>
      <c r="V41" s="78"/>
      <c r="W41" s="9"/>
      <c r="X41" s="9"/>
      <c r="Y41" s="21"/>
      <c r="Z41" s="79"/>
    </row>
    <row r="42">
      <c r="B42" s="68" t="str">
        <f t="shared" si="2"/>
        <v/>
      </c>
      <c r="C42" s="35"/>
      <c r="D42" s="69" t="str">
        <f>IFERROR(__xludf.DUMMYFUNCTION("if(isblank(indirect(""B""&amp;row())),,FILTER(SuperList,'Spell List'!$C$16:$C$392=indirect(""B""&amp;row())))"),"")</f>
        <v/>
      </c>
      <c r="E42" s="16"/>
      <c r="F42" s="71"/>
      <c r="G42" s="16"/>
      <c r="H42" s="71"/>
      <c r="I42" s="16"/>
      <c r="J42" s="71"/>
      <c r="K42" s="16"/>
      <c r="L42" s="71"/>
      <c r="M42" s="16"/>
      <c r="N42" s="71"/>
      <c r="O42" s="16"/>
      <c r="P42" s="71"/>
      <c r="Q42" s="16"/>
      <c r="R42" s="71"/>
      <c r="S42" s="16"/>
      <c r="T42" s="71"/>
      <c r="U42" s="16"/>
      <c r="V42" s="72"/>
      <c r="W42" s="3"/>
      <c r="X42" s="3"/>
      <c r="Y42" s="16"/>
      <c r="Z42" s="73"/>
    </row>
    <row r="43">
      <c r="B43" s="74" t="str">
        <f t="shared" si="2"/>
        <v/>
      </c>
      <c r="C43" s="37"/>
      <c r="D43" s="75" t="str">
        <f>IFERROR(__xludf.DUMMYFUNCTION("if(isblank(indirect(""B""&amp;row())),,FILTER(SuperList,'Spell List'!$C$16:$C$392=indirect(""B""&amp;row())))"),"")</f>
        <v/>
      </c>
      <c r="E43" s="21"/>
      <c r="F43" s="77"/>
      <c r="G43" s="21"/>
      <c r="H43" s="77"/>
      <c r="I43" s="21"/>
      <c r="J43" s="77"/>
      <c r="K43" s="21"/>
      <c r="L43" s="77"/>
      <c r="M43" s="21"/>
      <c r="N43" s="77"/>
      <c r="O43" s="21"/>
      <c r="P43" s="77"/>
      <c r="Q43" s="21"/>
      <c r="R43" s="77"/>
      <c r="S43" s="21"/>
      <c r="T43" s="77"/>
      <c r="U43" s="21"/>
      <c r="V43" s="80"/>
      <c r="W43" s="9"/>
      <c r="X43" s="9"/>
      <c r="Y43" s="21"/>
      <c r="Z43" s="79"/>
    </row>
    <row r="44">
      <c r="B44" s="68" t="str">
        <f t="shared" si="2"/>
        <v/>
      </c>
      <c r="C44" s="35"/>
      <c r="D44" s="69" t="str">
        <f>IFERROR(__xludf.DUMMYFUNCTION("if(isblank(indirect(""B""&amp;row())),,FILTER(SuperList,'Spell List'!$C$16:$C$392=indirect(""B""&amp;row())))"),"")</f>
        <v/>
      </c>
      <c r="E44" s="16"/>
      <c r="F44" s="71"/>
      <c r="G44" s="16"/>
      <c r="H44" s="71"/>
      <c r="I44" s="16"/>
      <c r="J44" s="71"/>
      <c r="K44" s="16"/>
      <c r="L44" s="71"/>
      <c r="M44" s="16"/>
      <c r="N44" s="71"/>
      <c r="O44" s="16"/>
      <c r="P44" s="71"/>
      <c r="Q44" s="16"/>
      <c r="R44" s="71"/>
      <c r="S44" s="16"/>
      <c r="T44" s="71"/>
      <c r="U44" s="16"/>
      <c r="V44" s="72"/>
      <c r="W44" s="3"/>
      <c r="X44" s="3"/>
      <c r="Y44" s="16"/>
      <c r="Z44" s="73"/>
    </row>
    <row r="45">
      <c r="B45" s="74" t="str">
        <f t="shared" si="2"/>
        <v/>
      </c>
      <c r="C45" s="37"/>
      <c r="D45" s="75" t="str">
        <f>IFERROR(__xludf.DUMMYFUNCTION("if(isblank(indirect(""B""&amp;row())),,FILTER(SuperList,'Spell List'!$C$16:$C$392=indirect(""B""&amp;row())))"),"")</f>
        <v/>
      </c>
      <c r="E45" s="21"/>
      <c r="F45" s="77"/>
      <c r="G45" s="21"/>
      <c r="H45" s="77"/>
      <c r="I45" s="21"/>
      <c r="J45" s="77"/>
      <c r="K45" s="21"/>
      <c r="L45" s="77"/>
      <c r="M45" s="21"/>
      <c r="N45" s="77"/>
      <c r="O45" s="21"/>
      <c r="P45" s="77"/>
      <c r="Q45" s="21"/>
      <c r="R45" s="77"/>
      <c r="S45" s="21"/>
      <c r="T45" s="77"/>
      <c r="U45" s="21"/>
      <c r="V45" s="80"/>
      <c r="W45" s="9"/>
      <c r="X45" s="9"/>
      <c r="Y45" s="21"/>
      <c r="Z45" s="81"/>
    </row>
    <row r="46">
      <c r="B46" s="68" t="str">
        <f t="shared" si="2"/>
        <v/>
      </c>
      <c r="C46" s="35"/>
      <c r="D46" s="69" t="str">
        <f>IFERROR(__xludf.DUMMYFUNCTION("if(isblank(indirect(""B""&amp;row())),,FILTER(SuperList,'Spell List'!$C$16:$C$392=indirect(""B""&amp;row())))"),"")</f>
        <v/>
      </c>
      <c r="E46" s="16"/>
      <c r="F46" s="71"/>
      <c r="G46" s="16"/>
      <c r="H46" s="71"/>
      <c r="I46" s="16"/>
      <c r="J46" s="71"/>
      <c r="K46" s="16"/>
      <c r="L46" s="71"/>
      <c r="M46" s="16"/>
      <c r="N46" s="70"/>
      <c r="O46" s="16"/>
      <c r="P46" s="71"/>
      <c r="Q46" s="16"/>
      <c r="R46" s="71"/>
      <c r="S46" s="16"/>
      <c r="T46" s="71"/>
      <c r="U46" s="16"/>
      <c r="V46" s="72"/>
      <c r="W46" s="3"/>
      <c r="X46" s="3"/>
      <c r="Y46" s="16"/>
      <c r="Z46" s="82"/>
    </row>
    <row r="47">
      <c r="B47" s="74" t="str">
        <f t="shared" si="2"/>
        <v/>
      </c>
      <c r="C47" s="37"/>
      <c r="D47" s="75" t="str">
        <f>IFERROR(__xludf.DUMMYFUNCTION("if(isblank(indirect(""B""&amp;row())),,FILTER(SuperList,'Spell List'!$C$16:$C$392=indirect(""B""&amp;row())))"),"")</f>
        <v/>
      </c>
      <c r="E47" s="21"/>
      <c r="F47" s="77"/>
      <c r="G47" s="21"/>
      <c r="H47" s="77"/>
      <c r="I47" s="21"/>
      <c r="J47" s="77"/>
      <c r="K47" s="21"/>
      <c r="L47" s="77"/>
      <c r="M47" s="21"/>
      <c r="N47" s="77"/>
      <c r="O47" s="21"/>
      <c r="P47" s="77"/>
      <c r="Q47" s="21"/>
      <c r="R47" s="77"/>
      <c r="S47" s="21"/>
      <c r="T47" s="77"/>
      <c r="U47" s="21"/>
      <c r="V47" s="80"/>
      <c r="W47" s="9"/>
      <c r="X47" s="9"/>
      <c r="Y47" s="21"/>
      <c r="Z47" s="79"/>
    </row>
    <row r="48">
      <c r="B48" s="68" t="str">
        <f t="shared" si="2"/>
        <v/>
      </c>
      <c r="C48" s="35"/>
      <c r="D48" s="69" t="str">
        <f>IFERROR(__xludf.DUMMYFUNCTION("if(isblank(indirect(""B""&amp;row())),,FILTER(SuperList,'Spell List'!$C$16:$C$392=indirect(""B""&amp;row())))"),"")</f>
        <v/>
      </c>
      <c r="E48" s="16"/>
      <c r="F48" s="71"/>
      <c r="G48" s="16"/>
      <c r="H48" s="70"/>
      <c r="I48" s="16"/>
      <c r="J48" s="71"/>
      <c r="K48" s="16"/>
      <c r="L48" s="71"/>
      <c r="M48" s="16"/>
      <c r="N48" s="71"/>
      <c r="O48" s="16"/>
      <c r="P48" s="71"/>
      <c r="Q48" s="16"/>
      <c r="R48" s="71"/>
      <c r="S48" s="16"/>
      <c r="T48" s="71"/>
      <c r="U48" s="16"/>
      <c r="V48" s="72"/>
      <c r="W48" s="3"/>
      <c r="X48" s="3"/>
      <c r="Y48" s="16"/>
      <c r="Z48" s="73"/>
    </row>
    <row r="49">
      <c r="B49" s="74" t="str">
        <f t="shared" si="2"/>
        <v/>
      </c>
      <c r="C49" s="29"/>
      <c r="D49" s="75" t="str">
        <f>IFERROR(__xludf.DUMMYFUNCTION("if(isblank(indirect(""B""&amp;row())),,FILTER(SuperList,'Spell List'!$C$16:$C$392=indirect(""B""&amp;row())))"),"")</f>
        <v/>
      </c>
      <c r="E49" s="21"/>
      <c r="F49" s="77"/>
      <c r="G49" s="21"/>
      <c r="H49" s="76"/>
      <c r="I49" s="21"/>
      <c r="J49" s="77"/>
      <c r="K49" s="21"/>
      <c r="L49" s="77"/>
      <c r="M49" s="21"/>
      <c r="N49" s="76"/>
      <c r="O49" s="21"/>
      <c r="P49" s="76"/>
      <c r="Q49" s="21"/>
      <c r="R49" s="77"/>
      <c r="S49" s="21"/>
      <c r="T49" s="76"/>
      <c r="U49" s="21"/>
      <c r="V49" s="78"/>
      <c r="W49" s="9"/>
      <c r="X49" s="9"/>
      <c r="Y49" s="21"/>
      <c r="Z49" s="79"/>
    </row>
    <row r="50">
      <c r="B50" s="68" t="str">
        <f t="shared" si="2"/>
        <v/>
      </c>
      <c r="C50" s="35"/>
      <c r="D50" s="69" t="str">
        <f>IFERROR(__xludf.DUMMYFUNCTION("if(isblank(indirect(""B""&amp;row())),,FILTER(SuperList,'Spell List'!$C$16:$C$392=indirect(""B""&amp;row())))"),"")</f>
        <v/>
      </c>
      <c r="E50" s="16"/>
      <c r="F50" s="71"/>
      <c r="G50" s="16"/>
      <c r="H50" s="71"/>
      <c r="I50" s="16"/>
      <c r="J50" s="71"/>
      <c r="K50" s="16"/>
      <c r="L50" s="71"/>
      <c r="M50" s="16"/>
      <c r="N50" s="71"/>
      <c r="O50" s="16"/>
      <c r="P50" s="71"/>
      <c r="Q50" s="16"/>
      <c r="R50" s="71"/>
      <c r="S50" s="16"/>
      <c r="T50" s="71"/>
      <c r="U50" s="16"/>
      <c r="V50" s="72"/>
      <c r="W50" s="3"/>
      <c r="X50" s="3"/>
      <c r="Y50" s="16"/>
      <c r="Z50" s="82"/>
    </row>
    <row r="51">
      <c r="B51" s="74" t="str">
        <f t="shared" si="2"/>
        <v/>
      </c>
      <c r="C51" s="29"/>
      <c r="D51" s="75" t="str">
        <f>IFERROR(__xludf.DUMMYFUNCTION("if(isblank(indirect(""B""&amp;row())),,FILTER(SuperList,'Spell List'!$C$16:$C$392=indirect(""B""&amp;row())))"),"")</f>
        <v/>
      </c>
      <c r="E51" s="21"/>
      <c r="F51" s="76"/>
      <c r="G51" s="21"/>
      <c r="H51" s="76"/>
      <c r="I51" s="21"/>
      <c r="J51" s="77"/>
      <c r="K51" s="21"/>
      <c r="L51" s="77"/>
      <c r="M51" s="21"/>
      <c r="N51" s="76"/>
      <c r="O51" s="21"/>
      <c r="P51" s="76"/>
      <c r="Q51" s="21"/>
      <c r="R51" s="76"/>
      <c r="S51" s="21"/>
      <c r="T51" s="76"/>
      <c r="U51" s="21"/>
      <c r="V51" s="78"/>
      <c r="W51" s="9"/>
      <c r="X51" s="9"/>
      <c r="Y51" s="21"/>
      <c r="Z51" s="81"/>
    </row>
    <row r="52">
      <c r="B52" s="68" t="str">
        <f t="shared" si="2"/>
        <v/>
      </c>
      <c r="C52" s="41"/>
      <c r="D52" s="69" t="str">
        <f>IFERROR(__xludf.DUMMYFUNCTION("if(isblank(indirect(""B""&amp;row())),,FILTER(SuperList,'Spell List'!$C$16:$C$392=indirect(""B""&amp;row())))"),"")</f>
        <v/>
      </c>
      <c r="E52" s="16"/>
      <c r="F52" s="70"/>
      <c r="G52" s="16"/>
      <c r="H52" s="70"/>
      <c r="I52" s="16"/>
      <c r="J52" s="71"/>
      <c r="K52" s="16"/>
      <c r="L52" s="70"/>
      <c r="M52" s="16"/>
      <c r="N52" s="70"/>
      <c r="O52" s="16"/>
      <c r="P52" s="70"/>
      <c r="Q52" s="16"/>
      <c r="R52" s="70"/>
      <c r="S52" s="16"/>
      <c r="T52" s="70"/>
      <c r="U52" s="16"/>
      <c r="V52" s="83"/>
      <c r="W52" s="3"/>
      <c r="X52" s="3"/>
      <c r="Y52" s="16"/>
      <c r="Z52" s="82"/>
    </row>
    <row r="53">
      <c r="B53" s="74" t="str">
        <f t="shared" si="2"/>
        <v/>
      </c>
      <c r="C53" s="37"/>
      <c r="D53" s="75" t="str">
        <f>IFERROR(__xludf.DUMMYFUNCTION("if(isblank(indirect(""B""&amp;row())),,FILTER(SuperList,'Spell List'!$C$16:$C$392=indirect(""B""&amp;row())))"),"")</f>
        <v/>
      </c>
      <c r="E53" s="21"/>
      <c r="F53" s="77"/>
      <c r="G53" s="21"/>
      <c r="H53" s="77"/>
      <c r="I53" s="21"/>
      <c r="J53" s="77"/>
      <c r="K53" s="21"/>
      <c r="L53" s="77"/>
      <c r="M53" s="21"/>
      <c r="N53" s="77"/>
      <c r="O53" s="21"/>
      <c r="P53" s="77"/>
      <c r="Q53" s="21"/>
      <c r="R53" s="77"/>
      <c r="S53" s="21"/>
      <c r="T53" s="77"/>
      <c r="U53" s="21"/>
      <c r="V53" s="78"/>
      <c r="W53" s="9"/>
      <c r="X53" s="9"/>
      <c r="Y53" s="21"/>
      <c r="Z53" s="81"/>
    </row>
    <row r="54">
      <c r="B54" s="68" t="str">
        <f t="shared" si="2"/>
        <v/>
      </c>
      <c r="C54" s="35"/>
      <c r="D54" s="69" t="str">
        <f>IFERROR(__xludf.DUMMYFUNCTION("if(isblank(indirect(""B""&amp;row())),,FILTER(SuperList,'Spell List'!$C$16:$C$392=indirect(""B""&amp;row())))"),"")</f>
        <v/>
      </c>
      <c r="E54" s="16"/>
      <c r="F54" s="71"/>
      <c r="G54" s="16"/>
      <c r="H54" s="71"/>
      <c r="I54" s="16"/>
      <c r="J54" s="71"/>
      <c r="K54" s="16"/>
      <c r="L54" s="71"/>
      <c r="M54" s="16"/>
      <c r="N54" s="71"/>
      <c r="O54" s="16"/>
      <c r="P54" s="71"/>
      <c r="Q54" s="16"/>
      <c r="R54" s="71"/>
      <c r="S54" s="16"/>
      <c r="T54" s="71"/>
      <c r="U54" s="16"/>
      <c r="V54" s="72"/>
      <c r="W54" s="3"/>
      <c r="X54" s="3"/>
      <c r="Y54" s="16"/>
      <c r="Z54" s="73"/>
    </row>
    <row r="55">
      <c r="B55" s="74" t="str">
        <f t="shared" si="2"/>
        <v/>
      </c>
      <c r="C55" s="37"/>
      <c r="D55" s="75" t="str">
        <f>IFERROR(__xludf.DUMMYFUNCTION("if(isblank(indirect(""B""&amp;row())),,FILTER(SuperList,'Spell List'!$C$16:$C$392=indirect(""B""&amp;row())))"),"")</f>
        <v/>
      </c>
      <c r="E55" s="21"/>
      <c r="F55" s="77"/>
      <c r="G55" s="21"/>
      <c r="H55" s="77"/>
      <c r="I55" s="21"/>
      <c r="J55" s="77"/>
      <c r="K55" s="21"/>
      <c r="L55" s="77"/>
      <c r="M55" s="21"/>
      <c r="N55" s="77"/>
      <c r="O55" s="21"/>
      <c r="P55" s="77"/>
      <c r="Q55" s="21"/>
      <c r="R55" s="77"/>
      <c r="S55" s="21"/>
      <c r="T55" s="77"/>
      <c r="U55" s="21"/>
      <c r="V55" s="80"/>
      <c r="W55" s="9"/>
      <c r="X55" s="9"/>
      <c r="Y55" s="21"/>
      <c r="Z55" s="81"/>
    </row>
    <row r="56">
      <c r="B56" s="68" t="str">
        <f t="shared" si="2"/>
        <v/>
      </c>
      <c r="C56" s="35"/>
      <c r="D56" s="69" t="str">
        <f>IFERROR(__xludf.DUMMYFUNCTION("if(isblank(indirect(""B""&amp;row())),,FILTER(SuperList,'Spell List'!$C$16:$C$392=indirect(""B""&amp;row())))"),"")</f>
        <v/>
      </c>
      <c r="E56" s="16"/>
      <c r="F56" s="71"/>
      <c r="G56" s="16"/>
      <c r="H56" s="71"/>
      <c r="I56" s="16"/>
      <c r="J56" s="71"/>
      <c r="K56" s="16"/>
      <c r="L56" s="71"/>
      <c r="M56" s="16"/>
      <c r="N56" s="70"/>
      <c r="O56" s="16"/>
      <c r="P56" s="71"/>
      <c r="Q56" s="16"/>
      <c r="R56" s="71"/>
      <c r="S56" s="16"/>
      <c r="T56" s="71"/>
      <c r="U56" s="16"/>
      <c r="V56" s="72"/>
      <c r="W56" s="3"/>
      <c r="X56" s="3"/>
      <c r="Y56" s="16"/>
      <c r="Z56" s="84"/>
    </row>
    <row r="57">
      <c r="B57" s="74" t="str">
        <f t="shared" si="2"/>
        <v/>
      </c>
      <c r="C57" s="29"/>
      <c r="D57" s="75" t="str">
        <f>IFERROR(__xludf.DUMMYFUNCTION("if(isblank(indirect(""B""&amp;row())),,FILTER(SuperList,'Spell List'!$C$16:$C$392=indirect(""B""&amp;row())))"),"")</f>
        <v/>
      </c>
      <c r="E57" s="21"/>
      <c r="F57" s="77"/>
      <c r="G57" s="21"/>
      <c r="H57" s="77"/>
      <c r="I57" s="21"/>
      <c r="J57" s="77"/>
      <c r="K57" s="21"/>
      <c r="L57" s="76"/>
      <c r="M57" s="21"/>
      <c r="N57" s="76"/>
      <c r="O57" s="21"/>
      <c r="P57" s="76"/>
      <c r="Q57" s="21"/>
      <c r="R57" s="76"/>
      <c r="S57" s="21"/>
      <c r="T57" s="77"/>
      <c r="U57" s="21"/>
      <c r="V57" s="78"/>
      <c r="W57" s="9"/>
      <c r="X57" s="9"/>
      <c r="Y57" s="21"/>
      <c r="Z57" s="81"/>
    </row>
    <row r="58">
      <c r="B58" s="68" t="str">
        <f t="shared" si="2"/>
        <v/>
      </c>
      <c r="C58" s="35"/>
      <c r="D58" s="69" t="str">
        <f>IFERROR(__xludf.DUMMYFUNCTION("if(isblank(indirect(""B""&amp;row())),,FILTER(SuperList,'Spell List'!$C$16:$C$392=indirect(""B""&amp;row())))"),"")</f>
        <v/>
      </c>
      <c r="E58" s="16"/>
      <c r="F58" s="71"/>
      <c r="G58" s="16"/>
      <c r="H58" s="71"/>
      <c r="I58" s="16"/>
      <c r="J58" s="71"/>
      <c r="K58" s="16"/>
      <c r="L58" s="71"/>
      <c r="M58" s="16"/>
      <c r="N58" s="71"/>
      <c r="O58" s="16"/>
      <c r="P58" s="71"/>
      <c r="Q58" s="16"/>
      <c r="R58" s="71"/>
      <c r="S58" s="16"/>
      <c r="T58" s="71"/>
      <c r="U58" s="16"/>
      <c r="V58" s="72"/>
      <c r="W58" s="3"/>
      <c r="X58" s="3"/>
      <c r="Y58" s="16"/>
      <c r="Z58" s="82"/>
    </row>
    <row r="59">
      <c r="B59" s="74" t="str">
        <f t="shared" si="2"/>
        <v/>
      </c>
      <c r="C59" s="29"/>
      <c r="D59" s="75" t="str">
        <f>IFERROR(__xludf.DUMMYFUNCTION("if(isblank(indirect(""B""&amp;row())),,FILTER(SuperList,'Spell List'!$C$16:$C$392=indirect(""B""&amp;row())))"),"")</f>
        <v/>
      </c>
      <c r="E59" s="21"/>
      <c r="F59" s="77"/>
      <c r="G59" s="21"/>
      <c r="H59" s="77"/>
      <c r="I59" s="21"/>
      <c r="J59" s="77"/>
      <c r="K59" s="21"/>
      <c r="L59" s="76"/>
      <c r="M59" s="21"/>
      <c r="N59" s="76"/>
      <c r="O59" s="21"/>
      <c r="P59" s="76"/>
      <c r="Q59" s="21"/>
      <c r="R59" s="76"/>
      <c r="S59" s="21"/>
      <c r="T59" s="77"/>
      <c r="U59" s="21"/>
      <c r="V59" s="78"/>
      <c r="W59" s="9"/>
      <c r="X59" s="9"/>
      <c r="Y59" s="21"/>
      <c r="Z59" s="81"/>
    </row>
    <row r="60">
      <c r="B60" s="68" t="str">
        <f t="shared" si="2"/>
        <v/>
      </c>
      <c r="C60" s="35"/>
      <c r="D60" s="69" t="str">
        <f>IFERROR(__xludf.DUMMYFUNCTION("if(isblank(indirect(""B""&amp;row())),,FILTER(SuperList,'Spell List'!$C$16:$C$392=indirect(""B""&amp;row())))"),"")</f>
        <v/>
      </c>
      <c r="E60" s="16"/>
      <c r="F60" s="71"/>
      <c r="G60" s="16"/>
      <c r="H60" s="71"/>
      <c r="I60" s="16"/>
      <c r="J60" s="71"/>
      <c r="K60" s="16"/>
      <c r="L60" s="71"/>
      <c r="M60" s="16"/>
      <c r="N60" s="71"/>
      <c r="O60" s="16"/>
      <c r="P60" s="71"/>
      <c r="Q60" s="16"/>
      <c r="R60" s="71"/>
      <c r="S60" s="16"/>
      <c r="T60" s="71"/>
      <c r="U60" s="16"/>
      <c r="V60" s="72"/>
      <c r="W60" s="3"/>
      <c r="X60" s="3"/>
      <c r="Y60" s="16"/>
      <c r="Z60" s="82"/>
    </row>
    <row r="62">
      <c r="B62" s="65" t="s">
        <v>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16"/>
    </row>
    <row r="63">
      <c r="B63" s="66" t="s">
        <v>14</v>
      </c>
      <c r="C63" s="66"/>
      <c r="D63" s="67" t="s">
        <v>16</v>
      </c>
      <c r="E63" s="21"/>
      <c r="F63" s="67" t="s">
        <v>17</v>
      </c>
      <c r="G63" s="21"/>
      <c r="H63" s="67" t="s">
        <v>18</v>
      </c>
      <c r="I63" s="21"/>
      <c r="J63" s="67" t="s">
        <v>19</v>
      </c>
      <c r="K63" s="21"/>
      <c r="L63" s="67" t="s">
        <v>20</v>
      </c>
      <c r="M63" s="21"/>
      <c r="N63" s="67" t="s">
        <v>21</v>
      </c>
      <c r="O63" s="21"/>
      <c r="P63" s="67" t="s">
        <v>22</v>
      </c>
      <c r="Q63" s="21"/>
      <c r="R63" s="67" t="s">
        <v>23</v>
      </c>
      <c r="S63" s="21"/>
      <c r="T63" s="67" t="s">
        <v>24</v>
      </c>
      <c r="U63" s="21"/>
      <c r="V63" s="67" t="s">
        <v>25</v>
      </c>
      <c r="W63" s="9"/>
      <c r="X63" s="9"/>
      <c r="Y63" s="21"/>
      <c r="Z63" s="66" t="s">
        <v>26</v>
      </c>
    </row>
    <row r="64">
      <c r="B64" s="68" t="str">
        <f t="shared" ref="B64:B84" si="3">if(isblank(indirect("'Known Spells'!B"&amp;row())),,right(indirect("'Known Spells'!B"&amp;row()),len(indirect("'Known Spells'!B"&amp;row()))-2))</f>
        <v/>
      </c>
      <c r="C64" s="23"/>
      <c r="D64" s="69" t="str">
        <f>IFERROR(__xludf.DUMMYFUNCTION("if(isblank(indirect(""B""&amp;row())),,FILTER(SuperList,'Spell List'!$C$16:$C$392=indirect(""B""&amp;row())))"),"")</f>
        <v/>
      </c>
      <c r="E64" s="16"/>
      <c r="F64" s="70"/>
      <c r="G64" s="16"/>
      <c r="H64" s="70"/>
      <c r="I64" s="16"/>
      <c r="J64" s="71"/>
      <c r="K64" s="16"/>
      <c r="L64" s="71"/>
      <c r="M64" s="16"/>
      <c r="N64" s="71"/>
      <c r="O64" s="16"/>
      <c r="P64" s="71"/>
      <c r="Q64" s="16"/>
      <c r="R64" s="71"/>
      <c r="S64" s="16"/>
      <c r="T64" s="71"/>
      <c r="U64" s="16"/>
      <c r="V64" s="72"/>
      <c r="W64" s="3"/>
      <c r="X64" s="3"/>
      <c r="Y64" s="16"/>
      <c r="Z64" s="73"/>
    </row>
    <row r="65">
      <c r="B65" s="74" t="str">
        <f t="shared" si="3"/>
        <v/>
      </c>
      <c r="C65" s="29"/>
      <c r="D65" s="75" t="str">
        <f>IFERROR(__xludf.DUMMYFUNCTION("if(isblank(indirect(""B""&amp;row())),,FILTER(SuperList,'Spell List'!$C$16:$C$392=indirect(""B""&amp;row())))"),"")</f>
        <v/>
      </c>
      <c r="E65" s="21"/>
      <c r="F65" s="76"/>
      <c r="G65" s="21"/>
      <c r="H65" s="76"/>
      <c r="I65" s="21"/>
      <c r="J65" s="77"/>
      <c r="K65" s="21"/>
      <c r="L65" s="77"/>
      <c r="M65" s="21"/>
      <c r="N65" s="76"/>
      <c r="O65" s="21"/>
      <c r="P65" s="76"/>
      <c r="Q65" s="21"/>
      <c r="R65" s="76"/>
      <c r="S65" s="21"/>
      <c r="T65" s="76"/>
      <c r="U65" s="21"/>
      <c r="V65" s="78"/>
      <c r="W65" s="9"/>
      <c r="X65" s="9"/>
      <c r="Y65" s="21"/>
      <c r="Z65" s="79"/>
    </row>
    <row r="66">
      <c r="B66" s="68" t="str">
        <f t="shared" si="3"/>
        <v/>
      </c>
      <c r="C66" s="35"/>
      <c r="D66" s="69" t="str">
        <f>IFERROR(__xludf.DUMMYFUNCTION("if(isblank(indirect(""B""&amp;row())),,FILTER(SuperList,'Spell List'!$C$16:$C$392=indirect(""B""&amp;row())))"),"")</f>
        <v/>
      </c>
      <c r="E66" s="16"/>
      <c r="F66" s="71"/>
      <c r="G66" s="16"/>
      <c r="H66" s="71"/>
      <c r="I66" s="16"/>
      <c r="J66" s="71"/>
      <c r="K66" s="16"/>
      <c r="L66" s="71"/>
      <c r="M66" s="16"/>
      <c r="N66" s="71"/>
      <c r="O66" s="16"/>
      <c r="P66" s="71"/>
      <c r="Q66" s="16"/>
      <c r="R66" s="71"/>
      <c r="S66" s="16"/>
      <c r="T66" s="71"/>
      <c r="U66" s="16"/>
      <c r="V66" s="72"/>
      <c r="W66" s="3"/>
      <c r="X66" s="3"/>
      <c r="Y66" s="16"/>
      <c r="Z66" s="73"/>
    </row>
    <row r="67">
      <c r="B67" s="74" t="str">
        <f t="shared" si="3"/>
        <v/>
      </c>
      <c r="C67" s="37"/>
      <c r="D67" s="75" t="str">
        <f>IFERROR(__xludf.DUMMYFUNCTION("if(isblank(indirect(""B""&amp;row())),,FILTER(SuperList,'Spell List'!$C$16:$C$392=indirect(""B""&amp;row())))"),"")</f>
        <v/>
      </c>
      <c r="E67" s="21"/>
      <c r="F67" s="77"/>
      <c r="G67" s="21"/>
      <c r="H67" s="77"/>
      <c r="I67" s="21"/>
      <c r="J67" s="77"/>
      <c r="K67" s="21"/>
      <c r="L67" s="77"/>
      <c r="M67" s="21"/>
      <c r="N67" s="77"/>
      <c r="O67" s="21"/>
      <c r="P67" s="77"/>
      <c r="Q67" s="21"/>
      <c r="R67" s="77"/>
      <c r="S67" s="21"/>
      <c r="T67" s="77"/>
      <c r="U67" s="21"/>
      <c r="V67" s="80"/>
      <c r="W67" s="9"/>
      <c r="X67" s="9"/>
      <c r="Y67" s="21"/>
      <c r="Z67" s="79"/>
    </row>
    <row r="68">
      <c r="B68" s="68" t="str">
        <f t="shared" si="3"/>
        <v/>
      </c>
      <c r="C68" s="35"/>
      <c r="D68" s="69" t="str">
        <f>IFERROR(__xludf.DUMMYFUNCTION("if(isblank(indirect(""B""&amp;row())),,FILTER(SuperList,'Spell List'!$C$16:$C$392=indirect(""B""&amp;row())))"),"")</f>
        <v/>
      </c>
      <c r="E68" s="16"/>
      <c r="F68" s="71"/>
      <c r="G68" s="16"/>
      <c r="H68" s="71"/>
      <c r="I68" s="16"/>
      <c r="J68" s="71"/>
      <c r="K68" s="16"/>
      <c r="L68" s="71"/>
      <c r="M68" s="16"/>
      <c r="N68" s="71"/>
      <c r="O68" s="16"/>
      <c r="P68" s="71"/>
      <c r="Q68" s="16"/>
      <c r="R68" s="71"/>
      <c r="S68" s="16"/>
      <c r="T68" s="71"/>
      <c r="U68" s="16"/>
      <c r="V68" s="72"/>
      <c r="W68" s="3"/>
      <c r="X68" s="3"/>
      <c r="Y68" s="16"/>
      <c r="Z68" s="73"/>
    </row>
    <row r="69">
      <c r="B69" s="74" t="str">
        <f t="shared" si="3"/>
        <v/>
      </c>
      <c r="C69" s="37"/>
      <c r="D69" s="75" t="str">
        <f>IFERROR(__xludf.DUMMYFUNCTION("if(isblank(indirect(""B""&amp;row())),,FILTER(SuperList,'Spell List'!$C$16:$C$392=indirect(""B""&amp;row())))"),"")</f>
        <v/>
      </c>
      <c r="E69" s="21"/>
      <c r="F69" s="77"/>
      <c r="G69" s="21"/>
      <c r="H69" s="77"/>
      <c r="I69" s="21"/>
      <c r="J69" s="77"/>
      <c r="K69" s="21"/>
      <c r="L69" s="77"/>
      <c r="M69" s="21"/>
      <c r="N69" s="77"/>
      <c r="O69" s="21"/>
      <c r="P69" s="77"/>
      <c r="Q69" s="21"/>
      <c r="R69" s="77"/>
      <c r="S69" s="21"/>
      <c r="T69" s="77"/>
      <c r="U69" s="21"/>
      <c r="V69" s="80"/>
      <c r="W69" s="9"/>
      <c r="X69" s="9"/>
      <c r="Y69" s="21"/>
      <c r="Z69" s="81"/>
    </row>
    <row r="70">
      <c r="B70" s="68" t="str">
        <f t="shared" si="3"/>
        <v/>
      </c>
      <c r="C70" s="35"/>
      <c r="D70" s="69" t="str">
        <f>IFERROR(__xludf.DUMMYFUNCTION("if(isblank(indirect(""B""&amp;row())),,FILTER(SuperList,'Spell List'!$C$16:$C$392=indirect(""B""&amp;row())))"),"")</f>
        <v/>
      </c>
      <c r="E70" s="16"/>
      <c r="F70" s="71"/>
      <c r="G70" s="16"/>
      <c r="H70" s="71"/>
      <c r="I70" s="16"/>
      <c r="J70" s="71"/>
      <c r="K70" s="16"/>
      <c r="L70" s="71"/>
      <c r="M70" s="16"/>
      <c r="N70" s="70"/>
      <c r="O70" s="16"/>
      <c r="P70" s="71"/>
      <c r="Q70" s="16"/>
      <c r="R70" s="71"/>
      <c r="S70" s="16"/>
      <c r="T70" s="71"/>
      <c r="U70" s="16"/>
      <c r="V70" s="72"/>
      <c r="W70" s="3"/>
      <c r="X70" s="3"/>
      <c r="Y70" s="16"/>
      <c r="Z70" s="82"/>
    </row>
    <row r="71">
      <c r="B71" s="74" t="str">
        <f t="shared" si="3"/>
        <v/>
      </c>
      <c r="C71" s="37"/>
      <c r="D71" s="75" t="str">
        <f>IFERROR(__xludf.DUMMYFUNCTION("if(isblank(indirect(""B""&amp;row())),,FILTER(SuperList,'Spell List'!$C$16:$C$392=indirect(""B""&amp;row())))"),"")</f>
        <v/>
      </c>
      <c r="E71" s="21"/>
      <c r="F71" s="77"/>
      <c r="G71" s="21"/>
      <c r="H71" s="77"/>
      <c r="I71" s="21"/>
      <c r="J71" s="77"/>
      <c r="K71" s="21"/>
      <c r="L71" s="77"/>
      <c r="M71" s="21"/>
      <c r="N71" s="77"/>
      <c r="O71" s="21"/>
      <c r="P71" s="77"/>
      <c r="Q71" s="21"/>
      <c r="R71" s="77"/>
      <c r="S71" s="21"/>
      <c r="T71" s="77"/>
      <c r="U71" s="21"/>
      <c r="V71" s="80"/>
      <c r="W71" s="9"/>
      <c r="X71" s="9"/>
      <c r="Y71" s="21"/>
      <c r="Z71" s="79"/>
    </row>
    <row r="72">
      <c r="B72" s="68" t="str">
        <f t="shared" si="3"/>
        <v/>
      </c>
      <c r="C72" s="35"/>
      <c r="D72" s="69" t="str">
        <f>IFERROR(__xludf.DUMMYFUNCTION("if(isblank(indirect(""B""&amp;row())),,FILTER(SuperList,'Spell List'!$C$16:$C$392=indirect(""B""&amp;row())))"),"")</f>
        <v/>
      </c>
      <c r="E72" s="16"/>
      <c r="F72" s="71"/>
      <c r="G72" s="16"/>
      <c r="H72" s="70"/>
      <c r="I72" s="16"/>
      <c r="J72" s="71"/>
      <c r="K72" s="16"/>
      <c r="L72" s="71"/>
      <c r="M72" s="16"/>
      <c r="N72" s="71"/>
      <c r="O72" s="16"/>
      <c r="P72" s="71"/>
      <c r="Q72" s="16"/>
      <c r="R72" s="71"/>
      <c r="S72" s="16"/>
      <c r="T72" s="71"/>
      <c r="U72" s="16"/>
      <c r="V72" s="72"/>
      <c r="W72" s="3"/>
      <c r="X72" s="3"/>
      <c r="Y72" s="16"/>
      <c r="Z72" s="73"/>
    </row>
    <row r="73">
      <c r="B73" s="74" t="str">
        <f t="shared" si="3"/>
        <v/>
      </c>
      <c r="C73" s="29"/>
      <c r="D73" s="75" t="str">
        <f>IFERROR(__xludf.DUMMYFUNCTION("if(isblank(indirect(""B""&amp;row())),,FILTER(SuperList,'Spell List'!$C$16:$C$392=indirect(""B""&amp;row())))"),"")</f>
        <v/>
      </c>
      <c r="E73" s="21"/>
      <c r="F73" s="77"/>
      <c r="G73" s="21"/>
      <c r="H73" s="76"/>
      <c r="I73" s="21"/>
      <c r="J73" s="77"/>
      <c r="K73" s="21"/>
      <c r="L73" s="77"/>
      <c r="M73" s="21"/>
      <c r="N73" s="76"/>
      <c r="O73" s="21"/>
      <c r="P73" s="76"/>
      <c r="Q73" s="21"/>
      <c r="R73" s="77"/>
      <c r="S73" s="21"/>
      <c r="T73" s="76"/>
      <c r="U73" s="21"/>
      <c r="V73" s="78"/>
      <c r="W73" s="9"/>
      <c r="X73" s="9"/>
      <c r="Y73" s="21"/>
      <c r="Z73" s="79"/>
    </row>
    <row r="74">
      <c r="B74" s="68" t="str">
        <f t="shared" si="3"/>
        <v/>
      </c>
      <c r="C74" s="35"/>
      <c r="D74" s="69" t="str">
        <f>IFERROR(__xludf.DUMMYFUNCTION("if(isblank(indirect(""B""&amp;row())),,FILTER(SuperList,'Spell List'!$C$16:$C$392=indirect(""B""&amp;row())))"),"")</f>
        <v/>
      </c>
      <c r="E74" s="16"/>
      <c r="F74" s="71"/>
      <c r="G74" s="16"/>
      <c r="H74" s="71"/>
      <c r="I74" s="16"/>
      <c r="J74" s="71"/>
      <c r="K74" s="16"/>
      <c r="L74" s="71"/>
      <c r="M74" s="16"/>
      <c r="N74" s="71"/>
      <c r="O74" s="16"/>
      <c r="P74" s="71"/>
      <c r="Q74" s="16"/>
      <c r="R74" s="71"/>
      <c r="S74" s="16"/>
      <c r="T74" s="71"/>
      <c r="U74" s="16"/>
      <c r="V74" s="72"/>
      <c r="W74" s="3"/>
      <c r="X74" s="3"/>
      <c r="Y74" s="16"/>
      <c r="Z74" s="82"/>
    </row>
    <row r="75">
      <c r="B75" s="74" t="str">
        <f t="shared" si="3"/>
        <v/>
      </c>
      <c r="C75" s="29"/>
      <c r="D75" s="75" t="str">
        <f>IFERROR(__xludf.DUMMYFUNCTION("if(isblank(indirect(""B""&amp;row())),,FILTER(SuperList,'Spell List'!$C$16:$C$392=indirect(""B""&amp;row())))"),"")</f>
        <v/>
      </c>
      <c r="E75" s="21"/>
      <c r="F75" s="76"/>
      <c r="G75" s="21"/>
      <c r="H75" s="76"/>
      <c r="I75" s="21"/>
      <c r="J75" s="77"/>
      <c r="K75" s="21"/>
      <c r="L75" s="77"/>
      <c r="M75" s="21"/>
      <c r="N75" s="76"/>
      <c r="O75" s="21"/>
      <c r="P75" s="76"/>
      <c r="Q75" s="21"/>
      <c r="R75" s="76"/>
      <c r="S75" s="21"/>
      <c r="T75" s="76"/>
      <c r="U75" s="21"/>
      <c r="V75" s="78"/>
      <c r="W75" s="9"/>
      <c r="X75" s="9"/>
      <c r="Y75" s="21"/>
      <c r="Z75" s="81"/>
    </row>
    <row r="76">
      <c r="B76" s="68" t="str">
        <f t="shared" si="3"/>
        <v/>
      </c>
      <c r="C76" s="41"/>
      <c r="D76" s="69" t="str">
        <f>IFERROR(__xludf.DUMMYFUNCTION("if(isblank(indirect(""B""&amp;row())),,FILTER(SuperList,'Spell List'!$C$16:$C$392=indirect(""B""&amp;row())))"),"")</f>
        <v/>
      </c>
      <c r="E76" s="16"/>
      <c r="F76" s="70"/>
      <c r="G76" s="16"/>
      <c r="H76" s="70"/>
      <c r="I76" s="16"/>
      <c r="J76" s="71"/>
      <c r="K76" s="16"/>
      <c r="L76" s="70"/>
      <c r="M76" s="16"/>
      <c r="N76" s="70"/>
      <c r="O76" s="16"/>
      <c r="P76" s="70"/>
      <c r="Q76" s="16"/>
      <c r="R76" s="70"/>
      <c r="S76" s="16"/>
      <c r="T76" s="70"/>
      <c r="U76" s="16"/>
      <c r="V76" s="83"/>
      <c r="W76" s="3"/>
      <c r="X76" s="3"/>
      <c r="Y76" s="16"/>
      <c r="Z76" s="82"/>
    </row>
    <row r="77">
      <c r="B77" s="74" t="str">
        <f t="shared" si="3"/>
        <v/>
      </c>
      <c r="C77" s="37"/>
      <c r="D77" s="75" t="str">
        <f>IFERROR(__xludf.DUMMYFUNCTION("if(isblank(indirect(""B""&amp;row())),,FILTER(SuperList,'Spell List'!$C$16:$C$392=indirect(""B""&amp;row())))"),"")</f>
        <v/>
      </c>
      <c r="E77" s="21"/>
      <c r="F77" s="77"/>
      <c r="G77" s="21"/>
      <c r="H77" s="77"/>
      <c r="I77" s="21"/>
      <c r="J77" s="77"/>
      <c r="K77" s="21"/>
      <c r="L77" s="77"/>
      <c r="M77" s="21"/>
      <c r="N77" s="77"/>
      <c r="O77" s="21"/>
      <c r="P77" s="77"/>
      <c r="Q77" s="21"/>
      <c r="R77" s="77"/>
      <c r="S77" s="21"/>
      <c r="T77" s="77"/>
      <c r="U77" s="21"/>
      <c r="V77" s="78"/>
      <c r="W77" s="9"/>
      <c r="X77" s="9"/>
      <c r="Y77" s="21"/>
      <c r="Z77" s="81"/>
    </row>
    <row r="78">
      <c r="B78" s="68" t="str">
        <f t="shared" si="3"/>
        <v/>
      </c>
      <c r="C78" s="35"/>
      <c r="D78" s="69" t="str">
        <f>IFERROR(__xludf.DUMMYFUNCTION("if(isblank(indirect(""B""&amp;row())),,FILTER(SuperList,'Spell List'!$C$16:$C$392=indirect(""B""&amp;row())))"),"")</f>
        <v/>
      </c>
      <c r="E78" s="16"/>
      <c r="F78" s="71"/>
      <c r="G78" s="16"/>
      <c r="H78" s="71"/>
      <c r="I78" s="16"/>
      <c r="J78" s="71"/>
      <c r="K78" s="16"/>
      <c r="L78" s="71"/>
      <c r="M78" s="16"/>
      <c r="N78" s="71"/>
      <c r="O78" s="16"/>
      <c r="P78" s="71"/>
      <c r="Q78" s="16"/>
      <c r="R78" s="71"/>
      <c r="S78" s="16"/>
      <c r="T78" s="71"/>
      <c r="U78" s="16"/>
      <c r="V78" s="72"/>
      <c r="W78" s="3"/>
      <c r="X78" s="3"/>
      <c r="Y78" s="16"/>
      <c r="Z78" s="73"/>
    </row>
    <row r="79">
      <c r="B79" s="74" t="str">
        <f t="shared" si="3"/>
        <v/>
      </c>
      <c r="C79" s="37"/>
      <c r="D79" s="75" t="str">
        <f>IFERROR(__xludf.DUMMYFUNCTION("if(isblank(indirect(""B""&amp;row())),,FILTER(SuperList,'Spell List'!$C$16:$C$392=indirect(""B""&amp;row())))"),"")</f>
        <v/>
      </c>
      <c r="E79" s="21"/>
      <c r="F79" s="77"/>
      <c r="G79" s="21"/>
      <c r="H79" s="77"/>
      <c r="I79" s="21"/>
      <c r="J79" s="77"/>
      <c r="K79" s="21"/>
      <c r="L79" s="77"/>
      <c r="M79" s="21"/>
      <c r="N79" s="77"/>
      <c r="O79" s="21"/>
      <c r="P79" s="77"/>
      <c r="Q79" s="21"/>
      <c r="R79" s="77"/>
      <c r="S79" s="21"/>
      <c r="T79" s="77"/>
      <c r="U79" s="21"/>
      <c r="V79" s="80"/>
      <c r="W79" s="9"/>
      <c r="X79" s="9"/>
      <c r="Y79" s="21"/>
      <c r="Z79" s="81"/>
    </row>
    <row r="80">
      <c r="B80" s="68" t="str">
        <f t="shared" si="3"/>
        <v/>
      </c>
      <c r="C80" s="35"/>
      <c r="D80" s="69" t="str">
        <f>IFERROR(__xludf.DUMMYFUNCTION("if(isblank(indirect(""B""&amp;row())),,FILTER(SuperList,'Spell List'!$C$16:$C$392=indirect(""B""&amp;row())))"),"")</f>
        <v/>
      </c>
      <c r="E80" s="16"/>
      <c r="F80" s="71"/>
      <c r="G80" s="16"/>
      <c r="H80" s="71"/>
      <c r="I80" s="16"/>
      <c r="J80" s="71"/>
      <c r="K80" s="16"/>
      <c r="L80" s="71"/>
      <c r="M80" s="16"/>
      <c r="N80" s="70"/>
      <c r="O80" s="16"/>
      <c r="P80" s="71"/>
      <c r="Q80" s="16"/>
      <c r="R80" s="71"/>
      <c r="S80" s="16"/>
      <c r="T80" s="71"/>
      <c r="U80" s="16"/>
      <c r="V80" s="72"/>
      <c r="W80" s="3"/>
      <c r="X80" s="3"/>
      <c r="Y80" s="16"/>
      <c r="Z80" s="84"/>
    </row>
    <row r="81">
      <c r="B81" s="74" t="str">
        <f t="shared" si="3"/>
        <v/>
      </c>
      <c r="C81" s="29"/>
      <c r="D81" s="75" t="str">
        <f>IFERROR(__xludf.DUMMYFUNCTION("if(isblank(indirect(""B""&amp;row())),,FILTER(SuperList,'Spell List'!$C$16:$C$392=indirect(""B""&amp;row())))"),"")</f>
        <v/>
      </c>
      <c r="E81" s="21"/>
      <c r="F81" s="77"/>
      <c r="G81" s="21"/>
      <c r="H81" s="77"/>
      <c r="I81" s="21"/>
      <c r="J81" s="77"/>
      <c r="K81" s="21"/>
      <c r="L81" s="76"/>
      <c r="M81" s="21"/>
      <c r="N81" s="76"/>
      <c r="O81" s="21"/>
      <c r="P81" s="76"/>
      <c r="Q81" s="21"/>
      <c r="R81" s="76"/>
      <c r="S81" s="21"/>
      <c r="T81" s="77"/>
      <c r="U81" s="21"/>
      <c r="V81" s="78"/>
      <c r="W81" s="9"/>
      <c r="X81" s="9"/>
      <c r="Y81" s="21"/>
      <c r="Z81" s="81"/>
    </row>
    <row r="82">
      <c r="B82" s="68" t="str">
        <f t="shared" si="3"/>
        <v/>
      </c>
      <c r="C82" s="35"/>
      <c r="D82" s="69" t="str">
        <f>IFERROR(__xludf.DUMMYFUNCTION("if(isblank(indirect(""B""&amp;row())),,FILTER(SuperList,'Spell List'!$C$16:$C$392=indirect(""B""&amp;row())))"),"")</f>
        <v/>
      </c>
      <c r="E82" s="16"/>
      <c r="F82" s="71"/>
      <c r="G82" s="16"/>
      <c r="H82" s="71"/>
      <c r="I82" s="16"/>
      <c r="J82" s="71"/>
      <c r="K82" s="16"/>
      <c r="L82" s="71"/>
      <c r="M82" s="16"/>
      <c r="N82" s="71"/>
      <c r="O82" s="16"/>
      <c r="P82" s="71"/>
      <c r="Q82" s="16"/>
      <c r="R82" s="71"/>
      <c r="S82" s="16"/>
      <c r="T82" s="71"/>
      <c r="U82" s="16"/>
      <c r="V82" s="72"/>
      <c r="W82" s="3"/>
      <c r="X82" s="3"/>
      <c r="Y82" s="16"/>
      <c r="Z82" s="82"/>
    </row>
    <row r="83">
      <c r="B83" s="74" t="str">
        <f t="shared" si="3"/>
        <v/>
      </c>
      <c r="C83" s="29"/>
      <c r="D83" s="75" t="str">
        <f>IFERROR(__xludf.DUMMYFUNCTION("if(isblank(indirect(""B""&amp;row())),,FILTER(SuperList,'Spell List'!$C$16:$C$392=indirect(""B""&amp;row())))"),"")</f>
        <v/>
      </c>
      <c r="E83" s="21"/>
      <c r="F83" s="77"/>
      <c r="G83" s="21"/>
      <c r="H83" s="77"/>
      <c r="I83" s="21"/>
      <c r="J83" s="77"/>
      <c r="K83" s="21"/>
      <c r="L83" s="76"/>
      <c r="M83" s="21"/>
      <c r="N83" s="76"/>
      <c r="O83" s="21"/>
      <c r="P83" s="76"/>
      <c r="Q83" s="21"/>
      <c r="R83" s="76"/>
      <c r="S83" s="21"/>
      <c r="T83" s="77"/>
      <c r="U83" s="21"/>
      <c r="V83" s="78"/>
      <c r="W83" s="9"/>
      <c r="X83" s="9"/>
      <c r="Y83" s="21"/>
      <c r="Z83" s="81"/>
    </row>
    <row r="84">
      <c r="B84" s="68" t="str">
        <f t="shared" si="3"/>
        <v/>
      </c>
      <c r="C84" s="35"/>
      <c r="D84" s="69" t="str">
        <f>IFERROR(__xludf.DUMMYFUNCTION("if(isblank(indirect(""B""&amp;row())),,FILTER(SuperList,'Spell List'!$C$16:$C$392=indirect(""B""&amp;row())))"),"")</f>
        <v/>
      </c>
      <c r="E84" s="16"/>
      <c r="F84" s="71"/>
      <c r="G84" s="16"/>
      <c r="H84" s="71"/>
      <c r="I84" s="16"/>
      <c r="J84" s="71"/>
      <c r="K84" s="16"/>
      <c r="L84" s="71"/>
      <c r="M84" s="16"/>
      <c r="N84" s="71"/>
      <c r="O84" s="16"/>
      <c r="P84" s="71"/>
      <c r="Q84" s="16"/>
      <c r="R84" s="71"/>
      <c r="S84" s="16"/>
      <c r="T84" s="71"/>
      <c r="U84" s="16"/>
      <c r="V84" s="72"/>
      <c r="W84" s="3"/>
      <c r="X84" s="3"/>
      <c r="Y84" s="16"/>
      <c r="Z84" s="82"/>
    </row>
    <row r="86">
      <c r="B86" s="65" t="s">
        <v>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16"/>
    </row>
    <row r="87">
      <c r="B87" s="66" t="s">
        <v>14</v>
      </c>
      <c r="C87" s="66"/>
      <c r="D87" s="67" t="s">
        <v>16</v>
      </c>
      <c r="E87" s="21"/>
      <c r="F87" s="67" t="s">
        <v>17</v>
      </c>
      <c r="G87" s="21"/>
      <c r="H87" s="67" t="s">
        <v>18</v>
      </c>
      <c r="I87" s="21"/>
      <c r="J87" s="67" t="s">
        <v>19</v>
      </c>
      <c r="K87" s="21"/>
      <c r="L87" s="67" t="s">
        <v>20</v>
      </c>
      <c r="M87" s="21"/>
      <c r="N87" s="67" t="s">
        <v>21</v>
      </c>
      <c r="O87" s="21"/>
      <c r="P87" s="67" t="s">
        <v>22</v>
      </c>
      <c r="Q87" s="21"/>
      <c r="R87" s="67" t="s">
        <v>23</v>
      </c>
      <c r="S87" s="21"/>
      <c r="T87" s="67" t="s">
        <v>24</v>
      </c>
      <c r="U87" s="21"/>
      <c r="V87" s="67" t="s">
        <v>25</v>
      </c>
      <c r="W87" s="9"/>
      <c r="X87" s="9"/>
      <c r="Y87" s="21"/>
      <c r="Z87" s="66" t="s">
        <v>26</v>
      </c>
    </row>
    <row r="88">
      <c r="B88" s="68" t="str">
        <f t="shared" ref="B88:B108" si="4">if(isblank(indirect("'Known Spells'!B"&amp;row())),,right(indirect("'Known Spells'!B"&amp;row()),len(indirect("'Known Spells'!B"&amp;row()))-2))</f>
        <v/>
      </c>
      <c r="C88" s="23"/>
      <c r="D88" s="69" t="str">
        <f>IFERROR(__xludf.DUMMYFUNCTION("if(isblank(indirect(""B""&amp;row())),,FILTER(SuperList,'Spell List'!$C$16:$C$392=indirect(""B""&amp;row())))"),"")</f>
        <v/>
      </c>
      <c r="E88" s="16"/>
      <c r="F88" s="70"/>
      <c r="G88" s="16"/>
      <c r="H88" s="70"/>
      <c r="I88" s="16"/>
      <c r="J88" s="71"/>
      <c r="K88" s="16"/>
      <c r="L88" s="71"/>
      <c r="M88" s="16"/>
      <c r="N88" s="71"/>
      <c r="O88" s="16"/>
      <c r="P88" s="71"/>
      <c r="Q88" s="16"/>
      <c r="R88" s="71"/>
      <c r="S88" s="16"/>
      <c r="T88" s="71"/>
      <c r="U88" s="16"/>
      <c r="V88" s="72"/>
      <c r="W88" s="3"/>
      <c r="X88" s="3"/>
      <c r="Y88" s="16"/>
      <c r="Z88" s="73"/>
    </row>
    <row r="89">
      <c r="B89" s="74" t="str">
        <f t="shared" si="4"/>
        <v/>
      </c>
      <c r="C89" s="29"/>
      <c r="D89" s="75" t="str">
        <f>IFERROR(__xludf.DUMMYFUNCTION("if(isblank(indirect(""B""&amp;row())),,FILTER(SuperList,'Spell List'!$C$16:$C$392=indirect(""B""&amp;row())))"),"")</f>
        <v/>
      </c>
      <c r="E89" s="21"/>
      <c r="F89" s="76"/>
      <c r="G89" s="21"/>
      <c r="H89" s="76"/>
      <c r="I89" s="21"/>
      <c r="J89" s="77"/>
      <c r="K89" s="21"/>
      <c r="L89" s="77"/>
      <c r="M89" s="21"/>
      <c r="N89" s="76"/>
      <c r="O89" s="21"/>
      <c r="P89" s="76"/>
      <c r="Q89" s="21"/>
      <c r="R89" s="76"/>
      <c r="S89" s="21"/>
      <c r="T89" s="76"/>
      <c r="U89" s="21"/>
      <c r="V89" s="78"/>
      <c r="W89" s="9"/>
      <c r="X89" s="9"/>
      <c r="Y89" s="21"/>
      <c r="Z89" s="79"/>
    </row>
    <row r="90">
      <c r="B90" s="68" t="str">
        <f t="shared" si="4"/>
        <v/>
      </c>
      <c r="C90" s="35"/>
      <c r="D90" s="69" t="str">
        <f>IFERROR(__xludf.DUMMYFUNCTION("if(isblank(indirect(""B""&amp;row())),,FILTER(SuperList,'Spell List'!$C$16:$C$392=indirect(""B""&amp;row())))"),"")</f>
        <v/>
      </c>
      <c r="E90" s="16"/>
      <c r="F90" s="71"/>
      <c r="G90" s="16"/>
      <c r="H90" s="71"/>
      <c r="I90" s="16"/>
      <c r="J90" s="71"/>
      <c r="K90" s="16"/>
      <c r="L90" s="71"/>
      <c r="M90" s="16"/>
      <c r="N90" s="71"/>
      <c r="O90" s="16"/>
      <c r="P90" s="71"/>
      <c r="Q90" s="16"/>
      <c r="R90" s="71"/>
      <c r="S90" s="16"/>
      <c r="T90" s="71"/>
      <c r="U90" s="16"/>
      <c r="V90" s="72"/>
      <c r="W90" s="3"/>
      <c r="X90" s="3"/>
      <c r="Y90" s="16"/>
      <c r="Z90" s="73"/>
    </row>
    <row r="91">
      <c r="B91" s="74" t="str">
        <f t="shared" si="4"/>
        <v/>
      </c>
      <c r="C91" s="37"/>
      <c r="D91" s="75" t="str">
        <f>IFERROR(__xludf.DUMMYFUNCTION("if(isblank(indirect(""B""&amp;row())),,FILTER(SuperList,'Spell List'!$C$16:$C$392=indirect(""B""&amp;row())))"),"")</f>
        <v/>
      </c>
      <c r="E91" s="21"/>
      <c r="F91" s="77"/>
      <c r="G91" s="21"/>
      <c r="H91" s="77"/>
      <c r="I91" s="21"/>
      <c r="J91" s="77"/>
      <c r="K91" s="21"/>
      <c r="L91" s="77"/>
      <c r="M91" s="21"/>
      <c r="N91" s="77"/>
      <c r="O91" s="21"/>
      <c r="P91" s="77"/>
      <c r="Q91" s="21"/>
      <c r="R91" s="77"/>
      <c r="S91" s="21"/>
      <c r="T91" s="77"/>
      <c r="U91" s="21"/>
      <c r="V91" s="80"/>
      <c r="W91" s="9"/>
      <c r="X91" s="9"/>
      <c r="Y91" s="21"/>
      <c r="Z91" s="79"/>
    </row>
    <row r="92">
      <c r="B92" s="68" t="str">
        <f t="shared" si="4"/>
        <v/>
      </c>
      <c r="C92" s="35"/>
      <c r="D92" s="69" t="str">
        <f>IFERROR(__xludf.DUMMYFUNCTION("if(isblank(indirect(""B""&amp;row())),,FILTER(SuperList,'Spell List'!$C$16:$C$392=indirect(""B""&amp;row())))"),"")</f>
        <v/>
      </c>
      <c r="E92" s="16"/>
      <c r="F92" s="71"/>
      <c r="G92" s="16"/>
      <c r="H92" s="71"/>
      <c r="I92" s="16"/>
      <c r="J92" s="71"/>
      <c r="K92" s="16"/>
      <c r="L92" s="71"/>
      <c r="M92" s="16"/>
      <c r="N92" s="71"/>
      <c r="O92" s="16"/>
      <c r="P92" s="71"/>
      <c r="Q92" s="16"/>
      <c r="R92" s="71"/>
      <c r="S92" s="16"/>
      <c r="T92" s="71"/>
      <c r="U92" s="16"/>
      <c r="V92" s="72"/>
      <c r="W92" s="3"/>
      <c r="X92" s="3"/>
      <c r="Y92" s="16"/>
      <c r="Z92" s="73"/>
    </row>
    <row r="93">
      <c r="B93" s="74" t="str">
        <f t="shared" si="4"/>
        <v/>
      </c>
      <c r="C93" s="37"/>
      <c r="D93" s="75" t="str">
        <f>IFERROR(__xludf.DUMMYFUNCTION("if(isblank(indirect(""B""&amp;row())),,FILTER(SuperList,'Spell List'!$C$16:$C$392=indirect(""B""&amp;row())))"),"")</f>
        <v/>
      </c>
      <c r="E93" s="21"/>
      <c r="F93" s="77"/>
      <c r="G93" s="21"/>
      <c r="H93" s="77"/>
      <c r="I93" s="21"/>
      <c r="J93" s="77"/>
      <c r="K93" s="21"/>
      <c r="L93" s="77"/>
      <c r="M93" s="21"/>
      <c r="N93" s="77"/>
      <c r="O93" s="21"/>
      <c r="P93" s="77"/>
      <c r="Q93" s="21"/>
      <c r="R93" s="77"/>
      <c r="S93" s="21"/>
      <c r="T93" s="77"/>
      <c r="U93" s="21"/>
      <c r="V93" s="80"/>
      <c r="W93" s="9"/>
      <c r="X93" s="9"/>
      <c r="Y93" s="21"/>
      <c r="Z93" s="81"/>
    </row>
    <row r="94">
      <c r="B94" s="68" t="str">
        <f t="shared" si="4"/>
        <v/>
      </c>
      <c r="C94" s="35"/>
      <c r="D94" s="69" t="str">
        <f>IFERROR(__xludf.DUMMYFUNCTION("if(isblank(indirect(""B""&amp;row())),,FILTER(SuperList,'Spell List'!$C$16:$C$392=indirect(""B""&amp;row())))"),"")</f>
        <v/>
      </c>
      <c r="E94" s="16"/>
      <c r="F94" s="71"/>
      <c r="G94" s="16"/>
      <c r="H94" s="71"/>
      <c r="I94" s="16"/>
      <c r="J94" s="71"/>
      <c r="K94" s="16"/>
      <c r="L94" s="71"/>
      <c r="M94" s="16"/>
      <c r="N94" s="70"/>
      <c r="O94" s="16"/>
      <c r="P94" s="71"/>
      <c r="Q94" s="16"/>
      <c r="R94" s="71"/>
      <c r="S94" s="16"/>
      <c r="T94" s="71"/>
      <c r="U94" s="16"/>
      <c r="V94" s="72"/>
      <c r="W94" s="3"/>
      <c r="X94" s="3"/>
      <c r="Y94" s="16"/>
      <c r="Z94" s="82"/>
    </row>
    <row r="95">
      <c r="B95" s="74" t="str">
        <f t="shared" si="4"/>
        <v/>
      </c>
      <c r="C95" s="37"/>
      <c r="D95" s="75" t="str">
        <f>IFERROR(__xludf.DUMMYFUNCTION("if(isblank(indirect(""B""&amp;row())),,FILTER(SuperList,'Spell List'!$C$16:$C$392=indirect(""B""&amp;row())))"),"")</f>
        <v/>
      </c>
      <c r="E95" s="21"/>
      <c r="F95" s="77"/>
      <c r="G95" s="21"/>
      <c r="H95" s="77"/>
      <c r="I95" s="21"/>
      <c r="J95" s="77"/>
      <c r="K95" s="21"/>
      <c r="L95" s="77"/>
      <c r="M95" s="21"/>
      <c r="N95" s="77"/>
      <c r="O95" s="21"/>
      <c r="P95" s="77"/>
      <c r="Q95" s="21"/>
      <c r="R95" s="77"/>
      <c r="S95" s="21"/>
      <c r="T95" s="77"/>
      <c r="U95" s="21"/>
      <c r="V95" s="80"/>
      <c r="W95" s="9"/>
      <c r="X95" s="9"/>
      <c r="Y95" s="21"/>
      <c r="Z95" s="79"/>
    </row>
    <row r="96">
      <c r="B96" s="68" t="str">
        <f t="shared" si="4"/>
        <v/>
      </c>
      <c r="C96" s="35"/>
      <c r="D96" s="69" t="str">
        <f>IFERROR(__xludf.DUMMYFUNCTION("if(isblank(indirect(""B""&amp;row())),,FILTER(SuperList,'Spell List'!$C$16:$C$392=indirect(""B""&amp;row())))"),"")</f>
        <v/>
      </c>
      <c r="E96" s="16"/>
      <c r="F96" s="71"/>
      <c r="G96" s="16"/>
      <c r="H96" s="70"/>
      <c r="I96" s="16"/>
      <c r="J96" s="71"/>
      <c r="K96" s="16"/>
      <c r="L96" s="71"/>
      <c r="M96" s="16"/>
      <c r="N96" s="71"/>
      <c r="O96" s="16"/>
      <c r="P96" s="71"/>
      <c r="Q96" s="16"/>
      <c r="R96" s="71"/>
      <c r="S96" s="16"/>
      <c r="T96" s="71"/>
      <c r="U96" s="16"/>
      <c r="V96" s="72"/>
      <c r="W96" s="3"/>
      <c r="X96" s="3"/>
      <c r="Y96" s="16"/>
      <c r="Z96" s="73"/>
    </row>
    <row r="97">
      <c r="B97" s="74" t="str">
        <f t="shared" si="4"/>
        <v/>
      </c>
      <c r="C97" s="29"/>
      <c r="D97" s="75" t="str">
        <f>IFERROR(__xludf.DUMMYFUNCTION("if(isblank(indirect(""B""&amp;row())),,FILTER(SuperList,'Spell List'!$C$16:$C$392=indirect(""B""&amp;row())))"),"")</f>
        <v/>
      </c>
      <c r="E97" s="21"/>
      <c r="F97" s="77"/>
      <c r="G97" s="21"/>
      <c r="H97" s="76"/>
      <c r="I97" s="21"/>
      <c r="J97" s="77"/>
      <c r="K97" s="21"/>
      <c r="L97" s="77"/>
      <c r="M97" s="21"/>
      <c r="N97" s="76"/>
      <c r="O97" s="21"/>
      <c r="P97" s="76"/>
      <c r="Q97" s="21"/>
      <c r="R97" s="77"/>
      <c r="S97" s="21"/>
      <c r="T97" s="76"/>
      <c r="U97" s="21"/>
      <c r="V97" s="78"/>
      <c r="W97" s="9"/>
      <c r="X97" s="9"/>
      <c r="Y97" s="21"/>
      <c r="Z97" s="79"/>
    </row>
    <row r="98">
      <c r="B98" s="68" t="str">
        <f t="shared" si="4"/>
        <v/>
      </c>
      <c r="C98" s="35"/>
      <c r="D98" s="69" t="str">
        <f>IFERROR(__xludf.DUMMYFUNCTION("if(isblank(indirect(""B""&amp;row())),,FILTER(SuperList,'Spell List'!$C$16:$C$392=indirect(""B""&amp;row())))"),"")</f>
        <v/>
      </c>
      <c r="E98" s="16"/>
      <c r="F98" s="71"/>
      <c r="G98" s="16"/>
      <c r="H98" s="71"/>
      <c r="I98" s="16"/>
      <c r="J98" s="71"/>
      <c r="K98" s="16"/>
      <c r="L98" s="71"/>
      <c r="M98" s="16"/>
      <c r="N98" s="71"/>
      <c r="O98" s="16"/>
      <c r="P98" s="71"/>
      <c r="Q98" s="16"/>
      <c r="R98" s="71"/>
      <c r="S98" s="16"/>
      <c r="T98" s="71"/>
      <c r="U98" s="16"/>
      <c r="V98" s="72"/>
      <c r="W98" s="3"/>
      <c r="X98" s="3"/>
      <c r="Y98" s="16"/>
      <c r="Z98" s="82"/>
    </row>
    <row r="99">
      <c r="B99" s="74" t="str">
        <f t="shared" si="4"/>
        <v/>
      </c>
      <c r="C99" s="29"/>
      <c r="D99" s="75" t="str">
        <f>IFERROR(__xludf.DUMMYFUNCTION("if(isblank(indirect(""B""&amp;row())),,FILTER(SuperList,'Spell List'!$C$16:$C$392=indirect(""B""&amp;row())))"),"")</f>
        <v/>
      </c>
      <c r="E99" s="21"/>
      <c r="F99" s="76"/>
      <c r="G99" s="21"/>
      <c r="H99" s="76"/>
      <c r="I99" s="21"/>
      <c r="J99" s="77"/>
      <c r="K99" s="21"/>
      <c r="L99" s="77"/>
      <c r="M99" s="21"/>
      <c r="N99" s="76"/>
      <c r="O99" s="21"/>
      <c r="P99" s="76"/>
      <c r="Q99" s="21"/>
      <c r="R99" s="76"/>
      <c r="S99" s="21"/>
      <c r="T99" s="76"/>
      <c r="U99" s="21"/>
      <c r="V99" s="78"/>
      <c r="W99" s="9"/>
      <c r="X99" s="9"/>
      <c r="Y99" s="21"/>
      <c r="Z99" s="81"/>
    </row>
    <row r="100">
      <c r="B100" s="68" t="str">
        <f t="shared" si="4"/>
        <v/>
      </c>
      <c r="C100" s="41"/>
      <c r="D100" s="69" t="str">
        <f>IFERROR(__xludf.DUMMYFUNCTION("if(isblank(indirect(""B""&amp;row())),,FILTER(SuperList,'Spell List'!$C$16:$C$392=indirect(""B""&amp;row())))"),"")</f>
        <v/>
      </c>
      <c r="E100" s="16"/>
      <c r="F100" s="70"/>
      <c r="G100" s="16"/>
      <c r="H100" s="70"/>
      <c r="I100" s="16"/>
      <c r="J100" s="71"/>
      <c r="K100" s="16"/>
      <c r="L100" s="70"/>
      <c r="M100" s="16"/>
      <c r="N100" s="70"/>
      <c r="O100" s="16"/>
      <c r="P100" s="70"/>
      <c r="Q100" s="16"/>
      <c r="R100" s="70"/>
      <c r="S100" s="16"/>
      <c r="T100" s="70"/>
      <c r="U100" s="16"/>
      <c r="V100" s="83"/>
      <c r="W100" s="3"/>
      <c r="X100" s="3"/>
      <c r="Y100" s="16"/>
      <c r="Z100" s="82"/>
    </row>
    <row r="101">
      <c r="B101" s="74" t="str">
        <f t="shared" si="4"/>
        <v/>
      </c>
      <c r="C101" s="37"/>
      <c r="D101" s="75" t="str">
        <f>IFERROR(__xludf.DUMMYFUNCTION("if(isblank(indirect(""B""&amp;row())),,FILTER(SuperList,'Spell List'!$C$16:$C$392=indirect(""B""&amp;row())))"),"")</f>
        <v/>
      </c>
      <c r="E101" s="21"/>
      <c r="F101" s="77"/>
      <c r="G101" s="21"/>
      <c r="H101" s="77"/>
      <c r="I101" s="21"/>
      <c r="J101" s="77"/>
      <c r="K101" s="21"/>
      <c r="L101" s="77"/>
      <c r="M101" s="21"/>
      <c r="N101" s="77"/>
      <c r="O101" s="21"/>
      <c r="P101" s="77"/>
      <c r="Q101" s="21"/>
      <c r="R101" s="77"/>
      <c r="S101" s="21"/>
      <c r="T101" s="77"/>
      <c r="U101" s="21"/>
      <c r="V101" s="78"/>
      <c r="W101" s="9"/>
      <c r="X101" s="9"/>
      <c r="Y101" s="21"/>
      <c r="Z101" s="81"/>
    </row>
    <row r="102">
      <c r="B102" s="68" t="str">
        <f t="shared" si="4"/>
        <v/>
      </c>
      <c r="C102" s="35"/>
      <c r="D102" s="69" t="str">
        <f>IFERROR(__xludf.DUMMYFUNCTION("if(isblank(indirect(""B""&amp;row())),,FILTER(SuperList,'Spell List'!$C$16:$C$392=indirect(""B""&amp;row())))"),"")</f>
        <v/>
      </c>
      <c r="E102" s="16"/>
      <c r="F102" s="71"/>
      <c r="G102" s="16"/>
      <c r="H102" s="71"/>
      <c r="I102" s="16"/>
      <c r="J102" s="71"/>
      <c r="K102" s="16"/>
      <c r="L102" s="71"/>
      <c r="M102" s="16"/>
      <c r="N102" s="71"/>
      <c r="O102" s="16"/>
      <c r="P102" s="71"/>
      <c r="Q102" s="16"/>
      <c r="R102" s="71"/>
      <c r="S102" s="16"/>
      <c r="T102" s="71"/>
      <c r="U102" s="16"/>
      <c r="V102" s="72"/>
      <c r="W102" s="3"/>
      <c r="X102" s="3"/>
      <c r="Y102" s="16"/>
      <c r="Z102" s="73"/>
    </row>
    <row r="103">
      <c r="B103" s="74" t="str">
        <f t="shared" si="4"/>
        <v/>
      </c>
      <c r="C103" s="37"/>
      <c r="D103" s="75" t="str">
        <f>IFERROR(__xludf.DUMMYFUNCTION("if(isblank(indirect(""B""&amp;row())),,FILTER(SuperList,'Spell List'!$C$16:$C$392=indirect(""B""&amp;row())))"),"")</f>
        <v/>
      </c>
      <c r="E103" s="21"/>
      <c r="F103" s="77"/>
      <c r="G103" s="21"/>
      <c r="H103" s="77"/>
      <c r="I103" s="21"/>
      <c r="J103" s="77"/>
      <c r="K103" s="21"/>
      <c r="L103" s="77"/>
      <c r="M103" s="21"/>
      <c r="N103" s="77"/>
      <c r="O103" s="21"/>
      <c r="P103" s="77"/>
      <c r="Q103" s="21"/>
      <c r="R103" s="77"/>
      <c r="S103" s="21"/>
      <c r="T103" s="77"/>
      <c r="U103" s="21"/>
      <c r="V103" s="80"/>
      <c r="W103" s="9"/>
      <c r="X103" s="9"/>
      <c r="Y103" s="21"/>
      <c r="Z103" s="81"/>
    </row>
    <row r="104">
      <c r="B104" s="68" t="str">
        <f t="shared" si="4"/>
        <v/>
      </c>
      <c r="C104" s="35"/>
      <c r="D104" s="69" t="str">
        <f>IFERROR(__xludf.DUMMYFUNCTION("if(isblank(indirect(""B""&amp;row())),,FILTER(SuperList,'Spell List'!$C$16:$C$392=indirect(""B""&amp;row())))"),"")</f>
        <v/>
      </c>
      <c r="E104" s="16"/>
      <c r="F104" s="71"/>
      <c r="G104" s="16"/>
      <c r="H104" s="71"/>
      <c r="I104" s="16"/>
      <c r="J104" s="71"/>
      <c r="K104" s="16"/>
      <c r="L104" s="71"/>
      <c r="M104" s="16"/>
      <c r="N104" s="70"/>
      <c r="O104" s="16"/>
      <c r="P104" s="71"/>
      <c r="Q104" s="16"/>
      <c r="R104" s="71"/>
      <c r="S104" s="16"/>
      <c r="T104" s="71"/>
      <c r="U104" s="16"/>
      <c r="V104" s="72"/>
      <c r="W104" s="3"/>
      <c r="X104" s="3"/>
      <c r="Y104" s="16"/>
      <c r="Z104" s="84"/>
    </row>
    <row r="105">
      <c r="B105" s="74" t="str">
        <f t="shared" si="4"/>
        <v/>
      </c>
      <c r="C105" s="29"/>
      <c r="D105" s="75" t="str">
        <f>IFERROR(__xludf.DUMMYFUNCTION("if(isblank(indirect(""B""&amp;row())),,FILTER(SuperList,'Spell List'!$C$16:$C$392=indirect(""B""&amp;row())))"),"")</f>
        <v/>
      </c>
      <c r="E105" s="21"/>
      <c r="F105" s="77"/>
      <c r="G105" s="21"/>
      <c r="H105" s="77"/>
      <c r="I105" s="21"/>
      <c r="J105" s="77"/>
      <c r="K105" s="21"/>
      <c r="L105" s="76"/>
      <c r="M105" s="21"/>
      <c r="N105" s="76"/>
      <c r="O105" s="21"/>
      <c r="P105" s="76"/>
      <c r="Q105" s="21"/>
      <c r="R105" s="76"/>
      <c r="S105" s="21"/>
      <c r="T105" s="77"/>
      <c r="U105" s="21"/>
      <c r="V105" s="78"/>
      <c r="W105" s="9"/>
      <c r="X105" s="9"/>
      <c r="Y105" s="21"/>
      <c r="Z105" s="81"/>
    </row>
    <row r="106">
      <c r="B106" s="68" t="str">
        <f t="shared" si="4"/>
        <v/>
      </c>
      <c r="C106" s="35"/>
      <c r="D106" s="69" t="str">
        <f>IFERROR(__xludf.DUMMYFUNCTION("if(isblank(indirect(""B""&amp;row())),,FILTER(SuperList,'Spell List'!$C$16:$C$392=indirect(""B""&amp;row())))"),"")</f>
        <v/>
      </c>
      <c r="E106" s="16"/>
      <c r="F106" s="71"/>
      <c r="G106" s="16"/>
      <c r="H106" s="71"/>
      <c r="I106" s="16"/>
      <c r="J106" s="71"/>
      <c r="K106" s="16"/>
      <c r="L106" s="71"/>
      <c r="M106" s="16"/>
      <c r="N106" s="71"/>
      <c r="O106" s="16"/>
      <c r="P106" s="71"/>
      <c r="Q106" s="16"/>
      <c r="R106" s="71"/>
      <c r="S106" s="16"/>
      <c r="T106" s="71"/>
      <c r="U106" s="16"/>
      <c r="V106" s="72"/>
      <c r="W106" s="3"/>
      <c r="X106" s="3"/>
      <c r="Y106" s="16"/>
      <c r="Z106" s="82"/>
    </row>
    <row r="107">
      <c r="B107" s="74" t="str">
        <f t="shared" si="4"/>
        <v/>
      </c>
      <c r="C107" s="29"/>
      <c r="D107" s="75" t="str">
        <f>IFERROR(__xludf.DUMMYFUNCTION("if(isblank(indirect(""B""&amp;row())),,FILTER(SuperList,'Spell List'!$C$16:$C$392=indirect(""B""&amp;row())))"),"")</f>
        <v/>
      </c>
      <c r="E107" s="21"/>
      <c r="F107" s="77"/>
      <c r="G107" s="21"/>
      <c r="H107" s="77"/>
      <c r="I107" s="21"/>
      <c r="J107" s="77"/>
      <c r="K107" s="21"/>
      <c r="L107" s="76"/>
      <c r="M107" s="21"/>
      <c r="N107" s="76"/>
      <c r="O107" s="21"/>
      <c r="P107" s="76"/>
      <c r="Q107" s="21"/>
      <c r="R107" s="76"/>
      <c r="S107" s="21"/>
      <c r="T107" s="77"/>
      <c r="U107" s="21"/>
      <c r="V107" s="78"/>
      <c r="W107" s="9"/>
      <c r="X107" s="9"/>
      <c r="Y107" s="21"/>
      <c r="Z107" s="81"/>
    </row>
    <row r="108">
      <c r="B108" s="68" t="str">
        <f t="shared" si="4"/>
        <v/>
      </c>
      <c r="C108" s="35"/>
      <c r="D108" s="69" t="str">
        <f>IFERROR(__xludf.DUMMYFUNCTION("if(isblank(indirect(""B""&amp;row())),,FILTER(SuperList,'Spell List'!$C$16:$C$392=indirect(""B""&amp;row())))"),"")</f>
        <v/>
      </c>
      <c r="E108" s="16"/>
      <c r="F108" s="71"/>
      <c r="G108" s="16"/>
      <c r="H108" s="71"/>
      <c r="I108" s="16"/>
      <c r="J108" s="71"/>
      <c r="K108" s="16"/>
      <c r="L108" s="71"/>
      <c r="M108" s="16"/>
      <c r="N108" s="71"/>
      <c r="O108" s="16"/>
      <c r="P108" s="71"/>
      <c r="Q108" s="16"/>
      <c r="R108" s="71"/>
      <c r="S108" s="16"/>
      <c r="T108" s="71"/>
      <c r="U108" s="16"/>
      <c r="V108" s="72"/>
      <c r="W108" s="3"/>
      <c r="X108" s="3"/>
      <c r="Y108" s="16"/>
      <c r="Z108" s="82"/>
    </row>
    <row r="110">
      <c r="B110" s="65" t="s">
        <v>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16"/>
    </row>
    <row r="111">
      <c r="B111" s="66" t="s">
        <v>14</v>
      </c>
      <c r="C111" s="66"/>
      <c r="D111" s="67" t="s">
        <v>16</v>
      </c>
      <c r="E111" s="21"/>
      <c r="F111" s="67" t="s">
        <v>17</v>
      </c>
      <c r="G111" s="21"/>
      <c r="H111" s="67" t="s">
        <v>18</v>
      </c>
      <c r="I111" s="21"/>
      <c r="J111" s="67" t="s">
        <v>19</v>
      </c>
      <c r="K111" s="21"/>
      <c r="L111" s="67" t="s">
        <v>20</v>
      </c>
      <c r="M111" s="21"/>
      <c r="N111" s="67" t="s">
        <v>21</v>
      </c>
      <c r="O111" s="21"/>
      <c r="P111" s="67" t="s">
        <v>22</v>
      </c>
      <c r="Q111" s="21"/>
      <c r="R111" s="67" t="s">
        <v>23</v>
      </c>
      <c r="S111" s="21"/>
      <c r="T111" s="67" t="s">
        <v>24</v>
      </c>
      <c r="U111" s="21"/>
      <c r="V111" s="67" t="s">
        <v>25</v>
      </c>
      <c r="W111" s="9"/>
      <c r="X111" s="9"/>
      <c r="Y111" s="21"/>
      <c r="Z111" s="66" t="s">
        <v>26</v>
      </c>
    </row>
    <row r="112">
      <c r="B112" s="68" t="str">
        <f t="shared" ref="B112:B132" si="5">if(isblank(indirect("'Known Spells'!B"&amp;row())),,right(indirect("'Known Spells'!B"&amp;row()),len(indirect("'Known Spells'!B"&amp;row()))-2))</f>
        <v/>
      </c>
      <c r="C112" s="23"/>
      <c r="D112" s="69" t="str">
        <f>IFERROR(__xludf.DUMMYFUNCTION("if(isblank(indirect(""B""&amp;row())),,FILTER(SuperList,'Spell List'!$C$16:$C$392=indirect(""B""&amp;row())))"),"")</f>
        <v/>
      </c>
      <c r="E112" s="16"/>
      <c r="F112" s="70"/>
      <c r="G112" s="16"/>
      <c r="H112" s="70"/>
      <c r="I112" s="16"/>
      <c r="J112" s="71"/>
      <c r="K112" s="16"/>
      <c r="L112" s="71"/>
      <c r="M112" s="16"/>
      <c r="N112" s="71"/>
      <c r="O112" s="16"/>
      <c r="P112" s="71"/>
      <c r="Q112" s="16"/>
      <c r="R112" s="71"/>
      <c r="S112" s="16"/>
      <c r="T112" s="71"/>
      <c r="U112" s="16"/>
      <c r="V112" s="72"/>
      <c r="W112" s="3"/>
      <c r="X112" s="3"/>
      <c r="Y112" s="16"/>
      <c r="Z112" s="73"/>
    </row>
    <row r="113">
      <c r="B113" s="74" t="str">
        <f t="shared" si="5"/>
        <v/>
      </c>
      <c r="C113" s="29"/>
      <c r="D113" s="75" t="str">
        <f>IFERROR(__xludf.DUMMYFUNCTION("if(isblank(indirect(""B""&amp;row())),,FILTER(SuperList,'Spell List'!$C$16:$C$392=indirect(""B""&amp;row())))"),"")</f>
        <v/>
      </c>
      <c r="E113" s="21"/>
      <c r="F113" s="76"/>
      <c r="G113" s="21"/>
      <c r="H113" s="76"/>
      <c r="I113" s="21"/>
      <c r="J113" s="77"/>
      <c r="K113" s="21"/>
      <c r="L113" s="77"/>
      <c r="M113" s="21"/>
      <c r="N113" s="76"/>
      <c r="O113" s="21"/>
      <c r="P113" s="76"/>
      <c r="Q113" s="21"/>
      <c r="R113" s="76"/>
      <c r="S113" s="21"/>
      <c r="T113" s="76"/>
      <c r="U113" s="21"/>
      <c r="V113" s="78"/>
      <c r="W113" s="9"/>
      <c r="X113" s="9"/>
      <c r="Y113" s="21"/>
      <c r="Z113" s="79"/>
    </row>
    <row r="114">
      <c r="B114" s="68" t="str">
        <f t="shared" si="5"/>
        <v/>
      </c>
      <c r="C114" s="35"/>
      <c r="D114" s="69" t="str">
        <f>IFERROR(__xludf.DUMMYFUNCTION("if(isblank(indirect(""B""&amp;row())),,FILTER(SuperList,'Spell List'!$C$16:$C$392=indirect(""B""&amp;row())))"),"")</f>
        <v/>
      </c>
      <c r="E114" s="16"/>
      <c r="F114" s="71"/>
      <c r="G114" s="16"/>
      <c r="H114" s="71"/>
      <c r="I114" s="16"/>
      <c r="J114" s="71"/>
      <c r="K114" s="16"/>
      <c r="L114" s="71"/>
      <c r="M114" s="16"/>
      <c r="N114" s="71"/>
      <c r="O114" s="16"/>
      <c r="P114" s="71"/>
      <c r="Q114" s="16"/>
      <c r="R114" s="71"/>
      <c r="S114" s="16"/>
      <c r="T114" s="71"/>
      <c r="U114" s="16"/>
      <c r="V114" s="72"/>
      <c r="W114" s="3"/>
      <c r="X114" s="3"/>
      <c r="Y114" s="16"/>
      <c r="Z114" s="73"/>
    </row>
    <row r="115">
      <c r="B115" s="74" t="str">
        <f t="shared" si="5"/>
        <v/>
      </c>
      <c r="C115" s="37"/>
      <c r="D115" s="75" t="str">
        <f>IFERROR(__xludf.DUMMYFUNCTION("if(isblank(indirect(""B""&amp;row())),,FILTER(SuperList,'Spell List'!$C$16:$C$392=indirect(""B""&amp;row())))"),"")</f>
        <v/>
      </c>
      <c r="E115" s="21"/>
      <c r="F115" s="77"/>
      <c r="G115" s="21"/>
      <c r="H115" s="77"/>
      <c r="I115" s="21"/>
      <c r="J115" s="77"/>
      <c r="K115" s="21"/>
      <c r="L115" s="77"/>
      <c r="M115" s="21"/>
      <c r="N115" s="77"/>
      <c r="O115" s="21"/>
      <c r="P115" s="77"/>
      <c r="Q115" s="21"/>
      <c r="R115" s="77"/>
      <c r="S115" s="21"/>
      <c r="T115" s="77"/>
      <c r="U115" s="21"/>
      <c r="V115" s="80"/>
      <c r="W115" s="9"/>
      <c r="X115" s="9"/>
      <c r="Y115" s="21"/>
      <c r="Z115" s="79"/>
    </row>
    <row r="116">
      <c r="B116" s="68" t="str">
        <f t="shared" si="5"/>
        <v/>
      </c>
      <c r="C116" s="35"/>
      <c r="D116" s="69" t="str">
        <f>IFERROR(__xludf.DUMMYFUNCTION("if(isblank(indirect(""B""&amp;row())),,FILTER(SuperList,'Spell List'!$C$16:$C$392=indirect(""B""&amp;row())))"),"")</f>
        <v/>
      </c>
      <c r="E116" s="16"/>
      <c r="F116" s="71"/>
      <c r="G116" s="16"/>
      <c r="H116" s="71"/>
      <c r="I116" s="16"/>
      <c r="J116" s="71"/>
      <c r="K116" s="16"/>
      <c r="L116" s="71"/>
      <c r="M116" s="16"/>
      <c r="N116" s="71"/>
      <c r="O116" s="16"/>
      <c r="P116" s="71"/>
      <c r="Q116" s="16"/>
      <c r="R116" s="71"/>
      <c r="S116" s="16"/>
      <c r="T116" s="71"/>
      <c r="U116" s="16"/>
      <c r="V116" s="72"/>
      <c r="W116" s="3"/>
      <c r="X116" s="3"/>
      <c r="Y116" s="16"/>
      <c r="Z116" s="73"/>
    </row>
    <row r="117">
      <c r="B117" s="74" t="str">
        <f t="shared" si="5"/>
        <v/>
      </c>
      <c r="C117" s="37"/>
      <c r="D117" s="75" t="str">
        <f>IFERROR(__xludf.DUMMYFUNCTION("if(isblank(indirect(""B""&amp;row())),,FILTER(SuperList,'Spell List'!$C$16:$C$392=indirect(""B""&amp;row())))"),"")</f>
        <v/>
      </c>
      <c r="E117" s="21"/>
      <c r="F117" s="77"/>
      <c r="G117" s="21"/>
      <c r="H117" s="77"/>
      <c r="I117" s="21"/>
      <c r="J117" s="77"/>
      <c r="K117" s="21"/>
      <c r="L117" s="77"/>
      <c r="M117" s="21"/>
      <c r="N117" s="77"/>
      <c r="O117" s="21"/>
      <c r="P117" s="77"/>
      <c r="Q117" s="21"/>
      <c r="R117" s="77"/>
      <c r="S117" s="21"/>
      <c r="T117" s="77"/>
      <c r="U117" s="21"/>
      <c r="V117" s="80"/>
      <c r="W117" s="9"/>
      <c r="X117" s="9"/>
      <c r="Y117" s="21"/>
      <c r="Z117" s="81"/>
    </row>
    <row r="118">
      <c r="B118" s="68" t="str">
        <f t="shared" si="5"/>
        <v/>
      </c>
      <c r="C118" s="35"/>
      <c r="D118" s="69" t="str">
        <f>IFERROR(__xludf.DUMMYFUNCTION("if(isblank(indirect(""B""&amp;row())),,FILTER(SuperList,'Spell List'!$C$16:$C$392=indirect(""B""&amp;row())))"),"")</f>
        <v/>
      </c>
      <c r="E118" s="16"/>
      <c r="F118" s="71"/>
      <c r="G118" s="16"/>
      <c r="H118" s="71"/>
      <c r="I118" s="16"/>
      <c r="J118" s="71"/>
      <c r="K118" s="16"/>
      <c r="L118" s="71"/>
      <c r="M118" s="16"/>
      <c r="N118" s="70"/>
      <c r="O118" s="16"/>
      <c r="P118" s="71"/>
      <c r="Q118" s="16"/>
      <c r="R118" s="71"/>
      <c r="S118" s="16"/>
      <c r="T118" s="71"/>
      <c r="U118" s="16"/>
      <c r="V118" s="72"/>
      <c r="W118" s="3"/>
      <c r="X118" s="3"/>
      <c r="Y118" s="16"/>
      <c r="Z118" s="82"/>
    </row>
    <row r="119">
      <c r="B119" s="74" t="str">
        <f t="shared" si="5"/>
        <v/>
      </c>
      <c r="C119" s="37"/>
      <c r="D119" s="75" t="str">
        <f>IFERROR(__xludf.DUMMYFUNCTION("if(isblank(indirect(""B""&amp;row())),,FILTER(SuperList,'Spell List'!$C$16:$C$392=indirect(""B""&amp;row())))"),"")</f>
        <v/>
      </c>
      <c r="E119" s="21"/>
      <c r="F119" s="77"/>
      <c r="G119" s="21"/>
      <c r="H119" s="77"/>
      <c r="I119" s="21"/>
      <c r="J119" s="77"/>
      <c r="K119" s="21"/>
      <c r="L119" s="77"/>
      <c r="M119" s="21"/>
      <c r="N119" s="77"/>
      <c r="O119" s="21"/>
      <c r="P119" s="77"/>
      <c r="Q119" s="21"/>
      <c r="R119" s="77"/>
      <c r="S119" s="21"/>
      <c r="T119" s="77"/>
      <c r="U119" s="21"/>
      <c r="V119" s="80"/>
      <c r="W119" s="9"/>
      <c r="X119" s="9"/>
      <c r="Y119" s="21"/>
      <c r="Z119" s="79"/>
    </row>
    <row r="120">
      <c r="B120" s="68" t="str">
        <f t="shared" si="5"/>
        <v/>
      </c>
      <c r="C120" s="35"/>
      <c r="D120" s="69" t="str">
        <f>IFERROR(__xludf.DUMMYFUNCTION("if(isblank(indirect(""B""&amp;row())),,FILTER(SuperList,'Spell List'!$C$16:$C$392=indirect(""B""&amp;row())))"),"")</f>
        <v/>
      </c>
      <c r="E120" s="16"/>
      <c r="F120" s="71"/>
      <c r="G120" s="16"/>
      <c r="H120" s="70"/>
      <c r="I120" s="16"/>
      <c r="J120" s="71"/>
      <c r="K120" s="16"/>
      <c r="L120" s="71"/>
      <c r="M120" s="16"/>
      <c r="N120" s="71"/>
      <c r="O120" s="16"/>
      <c r="P120" s="71"/>
      <c r="Q120" s="16"/>
      <c r="R120" s="71"/>
      <c r="S120" s="16"/>
      <c r="T120" s="71"/>
      <c r="U120" s="16"/>
      <c r="V120" s="72"/>
      <c r="W120" s="3"/>
      <c r="X120" s="3"/>
      <c r="Y120" s="16"/>
      <c r="Z120" s="73"/>
    </row>
    <row r="121">
      <c r="B121" s="74" t="str">
        <f t="shared" si="5"/>
        <v/>
      </c>
      <c r="C121" s="29"/>
      <c r="D121" s="75" t="str">
        <f>IFERROR(__xludf.DUMMYFUNCTION("if(isblank(indirect(""B""&amp;row())),,FILTER(SuperList,'Spell List'!$C$16:$C$392=indirect(""B""&amp;row())))"),"")</f>
        <v/>
      </c>
      <c r="E121" s="21"/>
      <c r="F121" s="77"/>
      <c r="G121" s="21"/>
      <c r="H121" s="76"/>
      <c r="I121" s="21"/>
      <c r="J121" s="77"/>
      <c r="K121" s="21"/>
      <c r="L121" s="77"/>
      <c r="M121" s="21"/>
      <c r="N121" s="76"/>
      <c r="O121" s="21"/>
      <c r="P121" s="76"/>
      <c r="Q121" s="21"/>
      <c r="R121" s="77"/>
      <c r="S121" s="21"/>
      <c r="T121" s="76"/>
      <c r="U121" s="21"/>
      <c r="V121" s="78"/>
      <c r="W121" s="9"/>
      <c r="X121" s="9"/>
      <c r="Y121" s="21"/>
      <c r="Z121" s="79"/>
    </row>
    <row r="122">
      <c r="B122" s="68" t="str">
        <f t="shared" si="5"/>
        <v/>
      </c>
      <c r="C122" s="35"/>
      <c r="D122" s="69" t="str">
        <f>IFERROR(__xludf.DUMMYFUNCTION("if(isblank(indirect(""B""&amp;row())),,FILTER(SuperList,'Spell List'!$C$16:$C$392=indirect(""B""&amp;row())))"),"")</f>
        <v/>
      </c>
      <c r="E122" s="16"/>
      <c r="F122" s="71"/>
      <c r="G122" s="16"/>
      <c r="H122" s="71"/>
      <c r="I122" s="16"/>
      <c r="J122" s="71"/>
      <c r="K122" s="16"/>
      <c r="L122" s="71"/>
      <c r="M122" s="16"/>
      <c r="N122" s="71"/>
      <c r="O122" s="16"/>
      <c r="P122" s="71"/>
      <c r="Q122" s="16"/>
      <c r="R122" s="71"/>
      <c r="S122" s="16"/>
      <c r="T122" s="71"/>
      <c r="U122" s="16"/>
      <c r="V122" s="72"/>
      <c r="W122" s="3"/>
      <c r="X122" s="3"/>
      <c r="Y122" s="16"/>
      <c r="Z122" s="82"/>
    </row>
    <row r="123">
      <c r="B123" s="74" t="str">
        <f t="shared" si="5"/>
        <v/>
      </c>
      <c r="C123" s="29"/>
      <c r="D123" s="75" t="str">
        <f>IFERROR(__xludf.DUMMYFUNCTION("if(isblank(indirect(""B""&amp;row())),,FILTER(SuperList,'Spell List'!$C$16:$C$392=indirect(""B""&amp;row())))"),"")</f>
        <v/>
      </c>
      <c r="E123" s="21"/>
      <c r="F123" s="76"/>
      <c r="G123" s="21"/>
      <c r="H123" s="76"/>
      <c r="I123" s="21"/>
      <c r="J123" s="77"/>
      <c r="K123" s="21"/>
      <c r="L123" s="77"/>
      <c r="M123" s="21"/>
      <c r="N123" s="76"/>
      <c r="O123" s="21"/>
      <c r="P123" s="76"/>
      <c r="Q123" s="21"/>
      <c r="R123" s="76"/>
      <c r="S123" s="21"/>
      <c r="T123" s="76"/>
      <c r="U123" s="21"/>
      <c r="V123" s="78"/>
      <c r="W123" s="9"/>
      <c r="X123" s="9"/>
      <c r="Y123" s="21"/>
      <c r="Z123" s="81"/>
    </row>
    <row r="124">
      <c r="B124" s="68" t="str">
        <f t="shared" si="5"/>
        <v/>
      </c>
      <c r="C124" s="41"/>
      <c r="D124" s="69" t="str">
        <f>IFERROR(__xludf.DUMMYFUNCTION("if(isblank(indirect(""B""&amp;row())),,FILTER(SuperList,'Spell List'!$C$16:$C$392=indirect(""B""&amp;row())))"),"")</f>
        <v/>
      </c>
      <c r="E124" s="16"/>
      <c r="F124" s="70"/>
      <c r="G124" s="16"/>
      <c r="H124" s="70"/>
      <c r="I124" s="16"/>
      <c r="J124" s="71"/>
      <c r="K124" s="16"/>
      <c r="L124" s="70"/>
      <c r="M124" s="16"/>
      <c r="N124" s="70"/>
      <c r="O124" s="16"/>
      <c r="P124" s="70"/>
      <c r="Q124" s="16"/>
      <c r="R124" s="70"/>
      <c r="S124" s="16"/>
      <c r="T124" s="70"/>
      <c r="U124" s="16"/>
      <c r="V124" s="83"/>
      <c r="W124" s="3"/>
      <c r="X124" s="3"/>
      <c r="Y124" s="16"/>
      <c r="Z124" s="82"/>
    </row>
    <row r="125">
      <c r="B125" s="74" t="str">
        <f t="shared" si="5"/>
        <v/>
      </c>
      <c r="C125" s="37"/>
      <c r="D125" s="75" t="str">
        <f>IFERROR(__xludf.DUMMYFUNCTION("if(isblank(indirect(""B""&amp;row())),,FILTER(SuperList,'Spell List'!$C$16:$C$392=indirect(""B""&amp;row())))"),"")</f>
        <v/>
      </c>
      <c r="E125" s="21"/>
      <c r="F125" s="77"/>
      <c r="G125" s="21"/>
      <c r="H125" s="77"/>
      <c r="I125" s="21"/>
      <c r="J125" s="77"/>
      <c r="K125" s="21"/>
      <c r="L125" s="77"/>
      <c r="M125" s="21"/>
      <c r="N125" s="77"/>
      <c r="O125" s="21"/>
      <c r="P125" s="77"/>
      <c r="Q125" s="21"/>
      <c r="R125" s="77"/>
      <c r="S125" s="21"/>
      <c r="T125" s="77"/>
      <c r="U125" s="21"/>
      <c r="V125" s="78"/>
      <c r="W125" s="9"/>
      <c r="X125" s="9"/>
      <c r="Y125" s="21"/>
      <c r="Z125" s="81"/>
    </row>
    <row r="126">
      <c r="B126" s="68" t="str">
        <f t="shared" si="5"/>
        <v/>
      </c>
      <c r="C126" s="35"/>
      <c r="D126" s="69" t="str">
        <f>IFERROR(__xludf.DUMMYFUNCTION("if(isblank(indirect(""B""&amp;row())),,FILTER(SuperList,'Spell List'!$C$16:$C$392=indirect(""B""&amp;row())))"),"")</f>
        <v/>
      </c>
      <c r="E126" s="16"/>
      <c r="F126" s="71"/>
      <c r="G126" s="16"/>
      <c r="H126" s="71"/>
      <c r="I126" s="16"/>
      <c r="J126" s="71"/>
      <c r="K126" s="16"/>
      <c r="L126" s="71"/>
      <c r="M126" s="16"/>
      <c r="N126" s="71"/>
      <c r="O126" s="16"/>
      <c r="P126" s="71"/>
      <c r="Q126" s="16"/>
      <c r="R126" s="71"/>
      <c r="S126" s="16"/>
      <c r="T126" s="71"/>
      <c r="U126" s="16"/>
      <c r="V126" s="72"/>
      <c r="W126" s="3"/>
      <c r="X126" s="3"/>
      <c r="Y126" s="16"/>
      <c r="Z126" s="73"/>
    </row>
    <row r="127">
      <c r="B127" s="74" t="str">
        <f t="shared" si="5"/>
        <v/>
      </c>
      <c r="C127" s="37"/>
      <c r="D127" s="75" t="str">
        <f>IFERROR(__xludf.DUMMYFUNCTION("if(isblank(indirect(""B""&amp;row())),,FILTER(SuperList,'Spell List'!$C$16:$C$392=indirect(""B""&amp;row())))"),"")</f>
        <v/>
      </c>
      <c r="E127" s="21"/>
      <c r="F127" s="77"/>
      <c r="G127" s="21"/>
      <c r="H127" s="77"/>
      <c r="I127" s="21"/>
      <c r="J127" s="77"/>
      <c r="K127" s="21"/>
      <c r="L127" s="77"/>
      <c r="M127" s="21"/>
      <c r="N127" s="77"/>
      <c r="O127" s="21"/>
      <c r="P127" s="77"/>
      <c r="Q127" s="21"/>
      <c r="R127" s="77"/>
      <c r="S127" s="21"/>
      <c r="T127" s="77"/>
      <c r="U127" s="21"/>
      <c r="V127" s="80"/>
      <c r="W127" s="9"/>
      <c r="X127" s="9"/>
      <c r="Y127" s="21"/>
      <c r="Z127" s="81"/>
    </row>
    <row r="128">
      <c r="B128" s="68" t="str">
        <f t="shared" si="5"/>
        <v/>
      </c>
      <c r="C128" s="35"/>
      <c r="D128" s="69" t="str">
        <f>IFERROR(__xludf.DUMMYFUNCTION("if(isblank(indirect(""B""&amp;row())),,FILTER(SuperList,'Spell List'!$C$16:$C$392=indirect(""B""&amp;row())))"),"")</f>
        <v/>
      </c>
      <c r="E128" s="16"/>
      <c r="F128" s="71"/>
      <c r="G128" s="16"/>
      <c r="H128" s="71"/>
      <c r="I128" s="16"/>
      <c r="J128" s="71"/>
      <c r="K128" s="16"/>
      <c r="L128" s="71"/>
      <c r="M128" s="16"/>
      <c r="N128" s="70"/>
      <c r="O128" s="16"/>
      <c r="P128" s="71"/>
      <c r="Q128" s="16"/>
      <c r="R128" s="71"/>
      <c r="S128" s="16"/>
      <c r="T128" s="71"/>
      <c r="U128" s="16"/>
      <c r="V128" s="72"/>
      <c r="W128" s="3"/>
      <c r="X128" s="3"/>
      <c r="Y128" s="16"/>
      <c r="Z128" s="84"/>
    </row>
    <row r="129">
      <c r="B129" s="74" t="str">
        <f t="shared" si="5"/>
        <v/>
      </c>
      <c r="C129" s="29"/>
      <c r="D129" s="75" t="str">
        <f>IFERROR(__xludf.DUMMYFUNCTION("if(isblank(indirect(""B""&amp;row())),,FILTER(SuperList,'Spell List'!$C$16:$C$392=indirect(""B""&amp;row())))"),"")</f>
        <v/>
      </c>
      <c r="E129" s="21"/>
      <c r="F129" s="77"/>
      <c r="G129" s="21"/>
      <c r="H129" s="77"/>
      <c r="I129" s="21"/>
      <c r="J129" s="77"/>
      <c r="K129" s="21"/>
      <c r="L129" s="76"/>
      <c r="M129" s="21"/>
      <c r="N129" s="76"/>
      <c r="O129" s="21"/>
      <c r="P129" s="76"/>
      <c r="Q129" s="21"/>
      <c r="R129" s="76"/>
      <c r="S129" s="21"/>
      <c r="T129" s="77"/>
      <c r="U129" s="21"/>
      <c r="V129" s="78"/>
      <c r="W129" s="9"/>
      <c r="X129" s="9"/>
      <c r="Y129" s="21"/>
      <c r="Z129" s="81"/>
    </row>
    <row r="130">
      <c r="B130" s="68" t="str">
        <f t="shared" si="5"/>
        <v/>
      </c>
      <c r="C130" s="35"/>
      <c r="D130" s="69" t="str">
        <f>IFERROR(__xludf.DUMMYFUNCTION("if(isblank(indirect(""B""&amp;row())),,FILTER(SuperList,'Spell List'!$C$16:$C$392=indirect(""B""&amp;row())))"),"")</f>
        <v/>
      </c>
      <c r="E130" s="16"/>
      <c r="F130" s="71"/>
      <c r="G130" s="16"/>
      <c r="H130" s="71"/>
      <c r="I130" s="16"/>
      <c r="J130" s="71"/>
      <c r="K130" s="16"/>
      <c r="L130" s="71"/>
      <c r="M130" s="16"/>
      <c r="N130" s="71"/>
      <c r="O130" s="16"/>
      <c r="P130" s="71"/>
      <c r="Q130" s="16"/>
      <c r="R130" s="71"/>
      <c r="S130" s="16"/>
      <c r="T130" s="71"/>
      <c r="U130" s="16"/>
      <c r="V130" s="72"/>
      <c r="W130" s="3"/>
      <c r="X130" s="3"/>
      <c r="Y130" s="16"/>
      <c r="Z130" s="82"/>
    </row>
    <row r="131">
      <c r="B131" s="74" t="str">
        <f t="shared" si="5"/>
        <v/>
      </c>
      <c r="C131" s="29"/>
      <c r="D131" s="75" t="str">
        <f>IFERROR(__xludf.DUMMYFUNCTION("if(isblank(indirect(""B""&amp;row())),,FILTER(SuperList,'Spell List'!$C$16:$C$392=indirect(""B""&amp;row())))"),"")</f>
        <v/>
      </c>
      <c r="E131" s="21"/>
      <c r="F131" s="77"/>
      <c r="G131" s="21"/>
      <c r="H131" s="77"/>
      <c r="I131" s="21"/>
      <c r="J131" s="77"/>
      <c r="K131" s="21"/>
      <c r="L131" s="76"/>
      <c r="M131" s="21"/>
      <c r="N131" s="76"/>
      <c r="O131" s="21"/>
      <c r="P131" s="76"/>
      <c r="Q131" s="21"/>
      <c r="R131" s="76"/>
      <c r="S131" s="21"/>
      <c r="T131" s="77"/>
      <c r="U131" s="21"/>
      <c r="V131" s="78"/>
      <c r="W131" s="9"/>
      <c r="X131" s="9"/>
      <c r="Y131" s="21"/>
      <c r="Z131" s="81"/>
    </row>
    <row r="132">
      <c r="B132" s="68" t="str">
        <f t="shared" si="5"/>
        <v/>
      </c>
      <c r="C132" s="35"/>
      <c r="D132" s="69" t="str">
        <f>IFERROR(__xludf.DUMMYFUNCTION("if(isblank(indirect(""B""&amp;row())),,FILTER(SuperList,'Spell List'!$C$16:$C$392=indirect(""B""&amp;row())))"),"")</f>
        <v/>
      </c>
      <c r="E132" s="16"/>
      <c r="F132" s="71"/>
      <c r="G132" s="16"/>
      <c r="H132" s="71"/>
      <c r="I132" s="16"/>
      <c r="J132" s="71"/>
      <c r="K132" s="16"/>
      <c r="L132" s="71"/>
      <c r="M132" s="16"/>
      <c r="N132" s="71"/>
      <c r="O132" s="16"/>
      <c r="P132" s="71"/>
      <c r="Q132" s="16"/>
      <c r="R132" s="71"/>
      <c r="S132" s="16"/>
      <c r="T132" s="71"/>
      <c r="U132" s="16"/>
      <c r="V132" s="72"/>
      <c r="W132" s="3"/>
      <c r="X132" s="3"/>
      <c r="Y132" s="16"/>
      <c r="Z132" s="82"/>
    </row>
    <row r="134">
      <c r="B134" s="65" t="s">
        <v>8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16"/>
    </row>
    <row r="135">
      <c r="B135" s="66" t="s">
        <v>14</v>
      </c>
      <c r="C135" s="66"/>
      <c r="D135" s="67" t="s">
        <v>16</v>
      </c>
      <c r="E135" s="21"/>
      <c r="F135" s="67" t="s">
        <v>17</v>
      </c>
      <c r="G135" s="21"/>
      <c r="H135" s="67" t="s">
        <v>18</v>
      </c>
      <c r="I135" s="21"/>
      <c r="J135" s="67" t="s">
        <v>19</v>
      </c>
      <c r="K135" s="21"/>
      <c r="L135" s="67" t="s">
        <v>20</v>
      </c>
      <c r="M135" s="21"/>
      <c r="N135" s="67" t="s">
        <v>21</v>
      </c>
      <c r="O135" s="21"/>
      <c r="P135" s="67" t="s">
        <v>22</v>
      </c>
      <c r="Q135" s="21"/>
      <c r="R135" s="67" t="s">
        <v>23</v>
      </c>
      <c r="S135" s="21"/>
      <c r="T135" s="67" t="s">
        <v>24</v>
      </c>
      <c r="U135" s="21"/>
      <c r="V135" s="67" t="s">
        <v>25</v>
      </c>
      <c r="W135" s="9"/>
      <c r="X135" s="9"/>
      <c r="Y135" s="21"/>
      <c r="Z135" s="66" t="s">
        <v>26</v>
      </c>
    </row>
    <row r="136">
      <c r="B136" s="68" t="str">
        <f t="shared" ref="B136:B156" si="6">if(isblank(indirect("'Known Spells'!B"&amp;row())),,right(indirect("'Known Spells'!B"&amp;row()),len(indirect("'Known Spells'!B"&amp;row()))-2))</f>
        <v/>
      </c>
      <c r="C136" s="23"/>
      <c r="D136" s="69" t="str">
        <f>IFERROR(__xludf.DUMMYFUNCTION("if(isblank(indirect(""B""&amp;row())),,FILTER(SuperList,'Spell List'!$C$16:$C$392=indirect(""B""&amp;row())))"),"")</f>
        <v/>
      </c>
      <c r="E136" s="16"/>
      <c r="F136" s="70"/>
      <c r="G136" s="16"/>
      <c r="H136" s="70"/>
      <c r="I136" s="16"/>
      <c r="J136" s="71"/>
      <c r="K136" s="16"/>
      <c r="L136" s="71"/>
      <c r="M136" s="16"/>
      <c r="N136" s="71"/>
      <c r="O136" s="16"/>
      <c r="P136" s="71"/>
      <c r="Q136" s="16"/>
      <c r="R136" s="71"/>
      <c r="S136" s="16"/>
      <c r="T136" s="71"/>
      <c r="U136" s="16"/>
      <c r="V136" s="72"/>
      <c r="W136" s="3"/>
      <c r="X136" s="3"/>
      <c r="Y136" s="16"/>
      <c r="Z136" s="73"/>
    </row>
    <row r="137">
      <c r="B137" s="74" t="str">
        <f t="shared" si="6"/>
        <v/>
      </c>
      <c r="C137" s="29"/>
      <c r="D137" s="75" t="str">
        <f>IFERROR(__xludf.DUMMYFUNCTION("if(isblank(indirect(""B""&amp;row())),,FILTER(SuperList,'Spell List'!$C$16:$C$392=indirect(""B""&amp;row())))"),"")</f>
        <v/>
      </c>
      <c r="E137" s="21"/>
      <c r="F137" s="76"/>
      <c r="G137" s="21"/>
      <c r="H137" s="76"/>
      <c r="I137" s="21"/>
      <c r="J137" s="77"/>
      <c r="K137" s="21"/>
      <c r="L137" s="77"/>
      <c r="M137" s="21"/>
      <c r="N137" s="76"/>
      <c r="O137" s="21"/>
      <c r="P137" s="76"/>
      <c r="Q137" s="21"/>
      <c r="R137" s="76"/>
      <c r="S137" s="21"/>
      <c r="T137" s="76"/>
      <c r="U137" s="21"/>
      <c r="V137" s="78"/>
      <c r="W137" s="9"/>
      <c r="X137" s="9"/>
      <c r="Y137" s="21"/>
      <c r="Z137" s="79"/>
    </row>
    <row r="138">
      <c r="B138" s="68" t="str">
        <f t="shared" si="6"/>
        <v/>
      </c>
      <c r="C138" s="35"/>
      <c r="D138" s="69" t="str">
        <f>IFERROR(__xludf.DUMMYFUNCTION("if(isblank(indirect(""B""&amp;row())),,FILTER(SuperList,'Spell List'!$C$16:$C$392=indirect(""B""&amp;row())))"),"")</f>
        <v/>
      </c>
      <c r="E138" s="16"/>
      <c r="F138" s="71"/>
      <c r="G138" s="16"/>
      <c r="H138" s="71"/>
      <c r="I138" s="16"/>
      <c r="J138" s="71"/>
      <c r="K138" s="16"/>
      <c r="L138" s="71"/>
      <c r="M138" s="16"/>
      <c r="N138" s="71"/>
      <c r="O138" s="16"/>
      <c r="P138" s="71"/>
      <c r="Q138" s="16"/>
      <c r="R138" s="71"/>
      <c r="S138" s="16"/>
      <c r="T138" s="71"/>
      <c r="U138" s="16"/>
      <c r="V138" s="72"/>
      <c r="W138" s="3"/>
      <c r="X138" s="3"/>
      <c r="Y138" s="16"/>
      <c r="Z138" s="73"/>
    </row>
    <row r="139">
      <c r="B139" s="74" t="str">
        <f t="shared" si="6"/>
        <v/>
      </c>
      <c r="C139" s="37"/>
      <c r="D139" s="75" t="str">
        <f>IFERROR(__xludf.DUMMYFUNCTION("if(isblank(indirect(""B""&amp;row())),,FILTER(SuperList,'Spell List'!$C$16:$C$392=indirect(""B""&amp;row())))"),"")</f>
        <v/>
      </c>
      <c r="E139" s="21"/>
      <c r="F139" s="77"/>
      <c r="G139" s="21"/>
      <c r="H139" s="77"/>
      <c r="I139" s="21"/>
      <c r="J139" s="77"/>
      <c r="K139" s="21"/>
      <c r="L139" s="77"/>
      <c r="M139" s="21"/>
      <c r="N139" s="77"/>
      <c r="O139" s="21"/>
      <c r="P139" s="77"/>
      <c r="Q139" s="21"/>
      <c r="R139" s="77"/>
      <c r="S139" s="21"/>
      <c r="T139" s="77"/>
      <c r="U139" s="21"/>
      <c r="V139" s="80"/>
      <c r="W139" s="9"/>
      <c r="X139" s="9"/>
      <c r="Y139" s="21"/>
      <c r="Z139" s="79"/>
    </row>
    <row r="140">
      <c r="B140" s="68" t="str">
        <f t="shared" si="6"/>
        <v/>
      </c>
      <c r="C140" s="35"/>
      <c r="D140" s="69" t="str">
        <f>IFERROR(__xludf.DUMMYFUNCTION("if(isblank(indirect(""B""&amp;row())),,FILTER(SuperList,'Spell List'!$C$16:$C$392=indirect(""B""&amp;row())))"),"")</f>
        <v/>
      </c>
      <c r="E140" s="16"/>
      <c r="F140" s="71"/>
      <c r="G140" s="16"/>
      <c r="H140" s="71"/>
      <c r="I140" s="16"/>
      <c r="J140" s="71"/>
      <c r="K140" s="16"/>
      <c r="L140" s="71"/>
      <c r="M140" s="16"/>
      <c r="N140" s="71"/>
      <c r="O140" s="16"/>
      <c r="P140" s="71"/>
      <c r="Q140" s="16"/>
      <c r="R140" s="71"/>
      <c r="S140" s="16"/>
      <c r="T140" s="71"/>
      <c r="U140" s="16"/>
      <c r="V140" s="72"/>
      <c r="W140" s="3"/>
      <c r="X140" s="3"/>
      <c r="Y140" s="16"/>
      <c r="Z140" s="73"/>
    </row>
    <row r="141">
      <c r="B141" s="74" t="str">
        <f t="shared" si="6"/>
        <v/>
      </c>
      <c r="C141" s="37"/>
      <c r="D141" s="75" t="str">
        <f>IFERROR(__xludf.DUMMYFUNCTION("if(isblank(indirect(""B""&amp;row())),,FILTER(SuperList,'Spell List'!$C$16:$C$392=indirect(""B""&amp;row())))"),"")</f>
        <v/>
      </c>
      <c r="E141" s="21"/>
      <c r="F141" s="77"/>
      <c r="G141" s="21"/>
      <c r="H141" s="77"/>
      <c r="I141" s="21"/>
      <c r="J141" s="77"/>
      <c r="K141" s="21"/>
      <c r="L141" s="77"/>
      <c r="M141" s="21"/>
      <c r="N141" s="77"/>
      <c r="O141" s="21"/>
      <c r="P141" s="77"/>
      <c r="Q141" s="21"/>
      <c r="R141" s="77"/>
      <c r="S141" s="21"/>
      <c r="T141" s="77"/>
      <c r="U141" s="21"/>
      <c r="V141" s="80"/>
      <c r="W141" s="9"/>
      <c r="X141" s="9"/>
      <c r="Y141" s="21"/>
      <c r="Z141" s="81"/>
    </row>
    <row r="142">
      <c r="B142" s="68" t="str">
        <f t="shared" si="6"/>
        <v/>
      </c>
      <c r="C142" s="35"/>
      <c r="D142" s="69" t="str">
        <f>IFERROR(__xludf.DUMMYFUNCTION("if(isblank(indirect(""B""&amp;row())),,FILTER(SuperList,'Spell List'!$C$16:$C$392=indirect(""B""&amp;row())))"),"")</f>
        <v/>
      </c>
      <c r="E142" s="16"/>
      <c r="F142" s="71"/>
      <c r="G142" s="16"/>
      <c r="H142" s="71"/>
      <c r="I142" s="16"/>
      <c r="J142" s="71"/>
      <c r="K142" s="16"/>
      <c r="L142" s="71"/>
      <c r="M142" s="16"/>
      <c r="N142" s="70"/>
      <c r="O142" s="16"/>
      <c r="P142" s="71"/>
      <c r="Q142" s="16"/>
      <c r="R142" s="71"/>
      <c r="S142" s="16"/>
      <c r="T142" s="71"/>
      <c r="U142" s="16"/>
      <c r="V142" s="72"/>
      <c r="W142" s="3"/>
      <c r="X142" s="3"/>
      <c r="Y142" s="16"/>
      <c r="Z142" s="82"/>
    </row>
    <row r="143">
      <c r="B143" s="74" t="str">
        <f t="shared" si="6"/>
        <v/>
      </c>
      <c r="C143" s="37"/>
      <c r="D143" s="75" t="str">
        <f>IFERROR(__xludf.DUMMYFUNCTION("if(isblank(indirect(""B""&amp;row())),,FILTER(SuperList,'Spell List'!$C$16:$C$392=indirect(""B""&amp;row())))"),"")</f>
        <v/>
      </c>
      <c r="E143" s="21"/>
      <c r="F143" s="77"/>
      <c r="G143" s="21"/>
      <c r="H143" s="77"/>
      <c r="I143" s="21"/>
      <c r="J143" s="77"/>
      <c r="K143" s="21"/>
      <c r="L143" s="77"/>
      <c r="M143" s="21"/>
      <c r="N143" s="77"/>
      <c r="O143" s="21"/>
      <c r="P143" s="77"/>
      <c r="Q143" s="21"/>
      <c r="R143" s="77"/>
      <c r="S143" s="21"/>
      <c r="T143" s="77"/>
      <c r="U143" s="21"/>
      <c r="V143" s="80"/>
      <c r="W143" s="9"/>
      <c r="X143" s="9"/>
      <c r="Y143" s="21"/>
      <c r="Z143" s="79"/>
    </row>
    <row r="144">
      <c r="B144" s="68" t="str">
        <f t="shared" si="6"/>
        <v/>
      </c>
      <c r="C144" s="35"/>
      <c r="D144" s="69" t="str">
        <f>IFERROR(__xludf.DUMMYFUNCTION("if(isblank(indirect(""B""&amp;row())),,FILTER(SuperList,'Spell List'!$C$16:$C$392=indirect(""B""&amp;row())))"),"")</f>
        <v/>
      </c>
      <c r="E144" s="16"/>
      <c r="F144" s="71"/>
      <c r="G144" s="16"/>
      <c r="H144" s="70"/>
      <c r="I144" s="16"/>
      <c r="J144" s="71"/>
      <c r="K144" s="16"/>
      <c r="L144" s="71"/>
      <c r="M144" s="16"/>
      <c r="N144" s="71"/>
      <c r="O144" s="16"/>
      <c r="P144" s="71"/>
      <c r="Q144" s="16"/>
      <c r="R144" s="71"/>
      <c r="S144" s="16"/>
      <c r="T144" s="71"/>
      <c r="U144" s="16"/>
      <c r="V144" s="72"/>
      <c r="W144" s="3"/>
      <c r="X144" s="3"/>
      <c r="Y144" s="16"/>
      <c r="Z144" s="73"/>
    </row>
    <row r="145">
      <c r="B145" s="74" t="str">
        <f t="shared" si="6"/>
        <v/>
      </c>
      <c r="C145" s="29"/>
      <c r="D145" s="75" t="str">
        <f>IFERROR(__xludf.DUMMYFUNCTION("if(isblank(indirect(""B""&amp;row())),,FILTER(SuperList,'Spell List'!$C$16:$C$392=indirect(""B""&amp;row())))"),"")</f>
        <v/>
      </c>
      <c r="E145" s="21"/>
      <c r="F145" s="77"/>
      <c r="G145" s="21"/>
      <c r="H145" s="76"/>
      <c r="I145" s="21"/>
      <c r="J145" s="77"/>
      <c r="K145" s="21"/>
      <c r="L145" s="77"/>
      <c r="M145" s="21"/>
      <c r="N145" s="76"/>
      <c r="O145" s="21"/>
      <c r="P145" s="76"/>
      <c r="Q145" s="21"/>
      <c r="R145" s="77"/>
      <c r="S145" s="21"/>
      <c r="T145" s="76"/>
      <c r="U145" s="21"/>
      <c r="V145" s="78"/>
      <c r="W145" s="9"/>
      <c r="X145" s="9"/>
      <c r="Y145" s="21"/>
      <c r="Z145" s="79"/>
    </row>
    <row r="146">
      <c r="B146" s="68" t="str">
        <f t="shared" si="6"/>
        <v/>
      </c>
      <c r="C146" s="35"/>
      <c r="D146" s="69" t="str">
        <f>IFERROR(__xludf.DUMMYFUNCTION("if(isblank(indirect(""B""&amp;row())),,FILTER(SuperList,'Spell List'!$C$16:$C$392=indirect(""B""&amp;row())))"),"")</f>
        <v/>
      </c>
      <c r="E146" s="16"/>
      <c r="F146" s="71"/>
      <c r="G146" s="16"/>
      <c r="H146" s="71"/>
      <c r="I146" s="16"/>
      <c r="J146" s="71"/>
      <c r="K146" s="16"/>
      <c r="L146" s="71"/>
      <c r="M146" s="16"/>
      <c r="N146" s="71"/>
      <c r="O146" s="16"/>
      <c r="P146" s="71"/>
      <c r="Q146" s="16"/>
      <c r="R146" s="71"/>
      <c r="S146" s="16"/>
      <c r="T146" s="71"/>
      <c r="U146" s="16"/>
      <c r="V146" s="72"/>
      <c r="W146" s="3"/>
      <c r="X146" s="3"/>
      <c r="Y146" s="16"/>
      <c r="Z146" s="82"/>
    </row>
    <row r="147">
      <c r="B147" s="74" t="str">
        <f t="shared" si="6"/>
        <v/>
      </c>
      <c r="C147" s="29"/>
      <c r="D147" s="75" t="str">
        <f>IFERROR(__xludf.DUMMYFUNCTION("if(isblank(indirect(""B""&amp;row())),,FILTER(SuperList,'Spell List'!$C$16:$C$392=indirect(""B""&amp;row())))"),"")</f>
        <v/>
      </c>
      <c r="E147" s="21"/>
      <c r="F147" s="76"/>
      <c r="G147" s="21"/>
      <c r="H147" s="76"/>
      <c r="I147" s="21"/>
      <c r="J147" s="77"/>
      <c r="K147" s="21"/>
      <c r="L147" s="77"/>
      <c r="M147" s="21"/>
      <c r="N147" s="76"/>
      <c r="O147" s="21"/>
      <c r="P147" s="76"/>
      <c r="Q147" s="21"/>
      <c r="R147" s="76"/>
      <c r="S147" s="21"/>
      <c r="T147" s="76"/>
      <c r="U147" s="21"/>
      <c r="V147" s="78"/>
      <c r="W147" s="9"/>
      <c r="X147" s="9"/>
      <c r="Y147" s="21"/>
      <c r="Z147" s="81"/>
    </row>
    <row r="148">
      <c r="B148" s="68" t="str">
        <f t="shared" si="6"/>
        <v/>
      </c>
      <c r="C148" s="41"/>
      <c r="D148" s="69" t="str">
        <f>IFERROR(__xludf.DUMMYFUNCTION("if(isblank(indirect(""B""&amp;row())),,FILTER(SuperList,'Spell List'!$C$16:$C$392=indirect(""B""&amp;row())))"),"")</f>
        <v/>
      </c>
      <c r="E148" s="16"/>
      <c r="F148" s="70"/>
      <c r="G148" s="16"/>
      <c r="H148" s="70"/>
      <c r="I148" s="16"/>
      <c r="J148" s="71"/>
      <c r="K148" s="16"/>
      <c r="L148" s="70"/>
      <c r="M148" s="16"/>
      <c r="N148" s="70"/>
      <c r="O148" s="16"/>
      <c r="P148" s="70"/>
      <c r="Q148" s="16"/>
      <c r="R148" s="70"/>
      <c r="S148" s="16"/>
      <c r="T148" s="70"/>
      <c r="U148" s="16"/>
      <c r="V148" s="83"/>
      <c r="W148" s="3"/>
      <c r="X148" s="3"/>
      <c r="Y148" s="16"/>
      <c r="Z148" s="82"/>
    </row>
    <row r="149">
      <c r="B149" s="74" t="str">
        <f t="shared" si="6"/>
        <v/>
      </c>
      <c r="C149" s="37"/>
      <c r="D149" s="75" t="str">
        <f>IFERROR(__xludf.DUMMYFUNCTION("if(isblank(indirect(""B""&amp;row())),,FILTER(SuperList,'Spell List'!$C$16:$C$392=indirect(""B""&amp;row())))"),"")</f>
        <v/>
      </c>
      <c r="E149" s="21"/>
      <c r="F149" s="77"/>
      <c r="G149" s="21"/>
      <c r="H149" s="77"/>
      <c r="I149" s="21"/>
      <c r="J149" s="77"/>
      <c r="K149" s="21"/>
      <c r="L149" s="77"/>
      <c r="M149" s="21"/>
      <c r="N149" s="77"/>
      <c r="O149" s="21"/>
      <c r="P149" s="77"/>
      <c r="Q149" s="21"/>
      <c r="R149" s="77"/>
      <c r="S149" s="21"/>
      <c r="T149" s="77"/>
      <c r="U149" s="21"/>
      <c r="V149" s="78"/>
      <c r="W149" s="9"/>
      <c r="X149" s="9"/>
      <c r="Y149" s="21"/>
      <c r="Z149" s="81"/>
    </row>
    <row r="150">
      <c r="B150" s="68" t="str">
        <f t="shared" si="6"/>
        <v/>
      </c>
      <c r="C150" s="35"/>
      <c r="D150" s="69" t="str">
        <f>IFERROR(__xludf.DUMMYFUNCTION("if(isblank(indirect(""B""&amp;row())),,FILTER(SuperList,'Spell List'!$C$16:$C$392=indirect(""B""&amp;row())))"),"")</f>
        <v/>
      </c>
      <c r="E150" s="16"/>
      <c r="F150" s="71"/>
      <c r="G150" s="16"/>
      <c r="H150" s="71"/>
      <c r="I150" s="16"/>
      <c r="J150" s="71"/>
      <c r="K150" s="16"/>
      <c r="L150" s="71"/>
      <c r="M150" s="16"/>
      <c r="N150" s="71"/>
      <c r="O150" s="16"/>
      <c r="P150" s="71"/>
      <c r="Q150" s="16"/>
      <c r="R150" s="71"/>
      <c r="S150" s="16"/>
      <c r="T150" s="71"/>
      <c r="U150" s="16"/>
      <c r="V150" s="72"/>
      <c r="W150" s="3"/>
      <c r="X150" s="3"/>
      <c r="Y150" s="16"/>
      <c r="Z150" s="73"/>
    </row>
    <row r="151">
      <c r="B151" s="74" t="str">
        <f t="shared" si="6"/>
        <v/>
      </c>
      <c r="C151" s="37"/>
      <c r="D151" s="75" t="str">
        <f>IFERROR(__xludf.DUMMYFUNCTION("if(isblank(indirect(""B""&amp;row())),,FILTER(SuperList,'Spell List'!$C$16:$C$392=indirect(""B""&amp;row())))"),"")</f>
        <v/>
      </c>
      <c r="E151" s="21"/>
      <c r="F151" s="77"/>
      <c r="G151" s="21"/>
      <c r="H151" s="77"/>
      <c r="I151" s="21"/>
      <c r="J151" s="77"/>
      <c r="K151" s="21"/>
      <c r="L151" s="77"/>
      <c r="M151" s="21"/>
      <c r="N151" s="77"/>
      <c r="O151" s="21"/>
      <c r="P151" s="77"/>
      <c r="Q151" s="21"/>
      <c r="R151" s="77"/>
      <c r="S151" s="21"/>
      <c r="T151" s="77"/>
      <c r="U151" s="21"/>
      <c r="V151" s="80"/>
      <c r="W151" s="9"/>
      <c r="X151" s="9"/>
      <c r="Y151" s="21"/>
      <c r="Z151" s="81"/>
    </row>
    <row r="152">
      <c r="B152" s="68" t="str">
        <f t="shared" si="6"/>
        <v/>
      </c>
      <c r="C152" s="35"/>
      <c r="D152" s="69" t="str">
        <f>IFERROR(__xludf.DUMMYFUNCTION("if(isblank(indirect(""B""&amp;row())),,FILTER(SuperList,'Spell List'!$C$16:$C$392=indirect(""B""&amp;row())))"),"")</f>
        <v/>
      </c>
      <c r="E152" s="16"/>
      <c r="F152" s="71"/>
      <c r="G152" s="16"/>
      <c r="H152" s="71"/>
      <c r="I152" s="16"/>
      <c r="J152" s="71"/>
      <c r="K152" s="16"/>
      <c r="L152" s="71"/>
      <c r="M152" s="16"/>
      <c r="N152" s="70"/>
      <c r="O152" s="16"/>
      <c r="P152" s="71"/>
      <c r="Q152" s="16"/>
      <c r="R152" s="71"/>
      <c r="S152" s="16"/>
      <c r="T152" s="71"/>
      <c r="U152" s="16"/>
      <c r="V152" s="72"/>
      <c r="W152" s="3"/>
      <c r="X152" s="3"/>
      <c r="Y152" s="16"/>
      <c r="Z152" s="84"/>
    </row>
    <row r="153">
      <c r="B153" s="74" t="str">
        <f t="shared" si="6"/>
        <v/>
      </c>
      <c r="C153" s="29"/>
      <c r="D153" s="75" t="str">
        <f>IFERROR(__xludf.DUMMYFUNCTION("if(isblank(indirect(""B""&amp;row())),,FILTER(SuperList,'Spell List'!$C$16:$C$392=indirect(""B""&amp;row())))"),"")</f>
        <v/>
      </c>
      <c r="E153" s="21"/>
      <c r="F153" s="77"/>
      <c r="G153" s="21"/>
      <c r="H153" s="77"/>
      <c r="I153" s="21"/>
      <c r="J153" s="77"/>
      <c r="K153" s="21"/>
      <c r="L153" s="76"/>
      <c r="M153" s="21"/>
      <c r="N153" s="76"/>
      <c r="O153" s="21"/>
      <c r="P153" s="76"/>
      <c r="Q153" s="21"/>
      <c r="R153" s="76"/>
      <c r="S153" s="21"/>
      <c r="T153" s="77"/>
      <c r="U153" s="21"/>
      <c r="V153" s="78"/>
      <c r="W153" s="9"/>
      <c r="X153" s="9"/>
      <c r="Y153" s="21"/>
      <c r="Z153" s="81"/>
    </row>
    <row r="154">
      <c r="B154" s="68" t="str">
        <f t="shared" si="6"/>
        <v/>
      </c>
      <c r="C154" s="35"/>
      <c r="D154" s="69" t="str">
        <f>IFERROR(__xludf.DUMMYFUNCTION("if(isblank(indirect(""B""&amp;row())),,FILTER(SuperList,'Spell List'!$C$16:$C$392=indirect(""B""&amp;row())))"),"")</f>
        <v/>
      </c>
      <c r="E154" s="16"/>
      <c r="F154" s="71"/>
      <c r="G154" s="16"/>
      <c r="H154" s="71"/>
      <c r="I154" s="16"/>
      <c r="J154" s="71"/>
      <c r="K154" s="16"/>
      <c r="L154" s="71"/>
      <c r="M154" s="16"/>
      <c r="N154" s="71"/>
      <c r="O154" s="16"/>
      <c r="P154" s="71"/>
      <c r="Q154" s="16"/>
      <c r="R154" s="71"/>
      <c r="S154" s="16"/>
      <c r="T154" s="71"/>
      <c r="U154" s="16"/>
      <c r="V154" s="72"/>
      <c r="W154" s="3"/>
      <c r="X154" s="3"/>
      <c r="Y154" s="16"/>
      <c r="Z154" s="82"/>
    </row>
    <row r="155">
      <c r="B155" s="74" t="str">
        <f t="shared" si="6"/>
        <v/>
      </c>
      <c r="C155" s="29"/>
      <c r="D155" s="75" t="str">
        <f>IFERROR(__xludf.DUMMYFUNCTION("if(isblank(indirect(""B""&amp;row())),,FILTER(SuperList,'Spell List'!$C$16:$C$392=indirect(""B""&amp;row())))"),"")</f>
        <v/>
      </c>
      <c r="E155" s="21"/>
      <c r="F155" s="77"/>
      <c r="G155" s="21"/>
      <c r="H155" s="77"/>
      <c r="I155" s="21"/>
      <c r="J155" s="77"/>
      <c r="K155" s="21"/>
      <c r="L155" s="76"/>
      <c r="M155" s="21"/>
      <c r="N155" s="76"/>
      <c r="O155" s="21"/>
      <c r="P155" s="76"/>
      <c r="Q155" s="21"/>
      <c r="R155" s="76"/>
      <c r="S155" s="21"/>
      <c r="T155" s="77"/>
      <c r="U155" s="21"/>
      <c r="V155" s="78"/>
      <c r="W155" s="9"/>
      <c r="X155" s="9"/>
      <c r="Y155" s="21"/>
      <c r="Z155" s="81"/>
    </row>
    <row r="156">
      <c r="B156" s="68" t="str">
        <f t="shared" si="6"/>
        <v/>
      </c>
      <c r="C156" s="35"/>
      <c r="D156" s="69" t="str">
        <f>IFERROR(__xludf.DUMMYFUNCTION("if(isblank(indirect(""B""&amp;row())),,FILTER(SuperList,'Spell List'!$C$16:$C$392=indirect(""B""&amp;row())))"),"")</f>
        <v/>
      </c>
      <c r="E156" s="16"/>
      <c r="F156" s="71"/>
      <c r="G156" s="16"/>
      <c r="H156" s="71"/>
      <c r="I156" s="16"/>
      <c r="J156" s="71"/>
      <c r="K156" s="16"/>
      <c r="L156" s="71"/>
      <c r="M156" s="16"/>
      <c r="N156" s="71"/>
      <c r="O156" s="16"/>
      <c r="P156" s="71"/>
      <c r="Q156" s="16"/>
      <c r="R156" s="71"/>
      <c r="S156" s="16"/>
      <c r="T156" s="71"/>
      <c r="U156" s="16"/>
      <c r="V156" s="72"/>
      <c r="W156" s="3"/>
      <c r="X156" s="3"/>
      <c r="Y156" s="16"/>
      <c r="Z156" s="82"/>
    </row>
    <row r="158">
      <c r="B158" s="65" t="s">
        <v>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16"/>
    </row>
    <row r="159">
      <c r="B159" s="66" t="s">
        <v>14</v>
      </c>
      <c r="C159" s="66"/>
      <c r="D159" s="67" t="s">
        <v>16</v>
      </c>
      <c r="E159" s="21"/>
      <c r="F159" s="67" t="s">
        <v>17</v>
      </c>
      <c r="G159" s="21"/>
      <c r="H159" s="67" t="s">
        <v>18</v>
      </c>
      <c r="I159" s="21"/>
      <c r="J159" s="67" t="s">
        <v>19</v>
      </c>
      <c r="K159" s="21"/>
      <c r="L159" s="67" t="s">
        <v>20</v>
      </c>
      <c r="M159" s="21"/>
      <c r="N159" s="67" t="s">
        <v>21</v>
      </c>
      <c r="O159" s="21"/>
      <c r="P159" s="67" t="s">
        <v>22</v>
      </c>
      <c r="Q159" s="21"/>
      <c r="R159" s="67" t="s">
        <v>23</v>
      </c>
      <c r="S159" s="21"/>
      <c r="T159" s="67" t="s">
        <v>24</v>
      </c>
      <c r="U159" s="21"/>
      <c r="V159" s="67" t="s">
        <v>25</v>
      </c>
      <c r="W159" s="9"/>
      <c r="X159" s="9"/>
      <c r="Y159" s="21"/>
      <c r="Z159" s="66" t="s">
        <v>26</v>
      </c>
    </row>
    <row r="160">
      <c r="B160" s="68" t="str">
        <f t="shared" ref="B160:B180" si="7">if(isblank(indirect("'Known Spells'!B"&amp;row())),,right(indirect("'Known Spells'!B"&amp;row()),len(indirect("'Known Spells'!B"&amp;row()))-2))</f>
        <v/>
      </c>
      <c r="C160" s="23"/>
      <c r="D160" s="69" t="str">
        <f>IFERROR(__xludf.DUMMYFUNCTION("if(isblank(indirect(""B""&amp;row())),,FILTER(SuperList,'Spell List'!$C$16:$C$392=indirect(""B""&amp;row())))"),"")</f>
        <v/>
      </c>
      <c r="E160" s="16"/>
      <c r="F160" s="70"/>
      <c r="G160" s="16"/>
      <c r="H160" s="70"/>
      <c r="I160" s="16"/>
      <c r="J160" s="71"/>
      <c r="K160" s="16"/>
      <c r="L160" s="71"/>
      <c r="M160" s="16"/>
      <c r="N160" s="71"/>
      <c r="O160" s="16"/>
      <c r="P160" s="71"/>
      <c r="Q160" s="16"/>
      <c r="R160" s="71"/>
      <c r="S160" s="16"/>
      <c r="T160" s="71"/>
      <c r="U160" s="16"/>
      <c r="V160" s="72"/>
      <c r="W160" s="3"/>
      <c r="X160" s="3"/>
      <c r="Y160" s="16"/>
      <c r="Z160" s="73"/>
    </row>
    <row r="161">
      <c r="B161" s="74" t="str">
        <f t="shared" si="7"/>
        <v/>
      </c>
      <c r="C161" s="29"/>
      <c r="D161" s="75" t="str">
        <f>IFERROR(__xludf.DUMMYFUNCTION("if(isblank(indirect(""B""&amp;row())),,FILTER(SuperList,'Spell List'!$C$16:$C$392=indirect(""B""&amp;row())))"),"")</f>
        <v/>
      </c>
      <c r="E161" s="21"/>
      <c r="F161" s="76"/>
      <c r="G161" s="21"/>
      <c r="H161" s="76"/>
      <c r="I161" s="21"/>
      <c r="J161" s="77"/>
      <c r="K161" s="21"/>
      <c r="L161" s="77"/>
      <c r="M161" s="21"/>
      <c r="N161" s="76"/>
      <c r="O161" s="21"/>
      <c r="P161" s="76"/>
      <c r="Q161" s="21"/>
      <c r="R161" s="76"/>
      <c r="S161" s="21"/>
      <c r="T161" s="76"/>
      <c r="U161" s="21"/>
      <c r="V161" s="78"/>
      <c r="W161" s="9"/>
      <c r="X161" s="9"/>
      <c r="Y161" s="21"/>
      <c r="Z161" s="79"/>
    </row>
    <row r="162">
      <c r="B162" s="68" t="str">
        <f t="shared" si="7"/>
        <v/>
      </c>
      <c r="C162" s="35"/>
      <c r="D162" s="69" t="str">
        <f>IFERROR(__xludf.DUMMYFUNCTION("if(isblank(indirect(""B""&amp;row())),,FILTER(SuperList,'Spell List'!$C$16:$C$392=indirect(""B""&amp;row())))"),"")</f>
        <v/>
      </c>
      <c r="E162" s="16"/>
      <c r="F162" s="71"/>
      <c r="G162" s="16"/>
      <c r="H162" s="71"/>
      <c r="I162" s="16"/>
      <c r="J162" s="71"/>
      <c r="K162" s="16"/>
      <c r="L162" s="71"/>
      <c r="M162" s="16"/>
      <c r="N162" s="71"/>
      <c r="O162" s="16"/>
      <c r="P162" s="71"/>
      <c r="Q162" s="16"/>
      <c r="R162" s="71"/>
      <c r="S162" s="16"/>
      <c r="T162" s="71"/>
      <c r="U162" s="16"/>
      <c r="V162" s="72"/>
      <c r="W162" s="3"/>
      <c r="X162" s="3"/>
      <c r="Y162" s="16"/>
      <c r="Z162" s="73"/>
    </row>
    <row r="163">
      <c r="B163" s="74" t="str">
        <f t="shared" si="7"/>
        <v/>
      </c>
      <c r="C163" s="37"/>
      <c r="D163" s="75" t="str">
        <f>IFERROR(__xludf.DUMMYFUNCTION("if(isblank(indirect(""B""&amp;row())),,FILTER(SuperList,'Spell List'!$C$16:$C$392=indirect(""B""&amp;row())))"),"")</f>
        <v/>
      </c>
      <c r="E163" s="21"/>
      <c r="F163" s="77"/>
      <c r="G163" s="21"/>
      <c r="H163" s="77"/>
      <c r="I163" s="21"/>
      <c r="J163" s="77"/>
      <c r="K163" s="21"/>
      <c r="L163" s="77"/>
      <c r="M163" s="21"/>
      <c r="N163" s="77"/>
      <c r="O163" s="21"/>
      <c r="P163" s="77"/>
      <c r="Q163" s="21"/>
      <c r="R163" s="77"/>
      <c r="S163" s="21"/>
      <c r="T163" s="77"/>
      <c r="U163" s="21"/>
      <c r="V163" s="80"/>
      <c r="W163" s="9"/>
      <c r="X163" s="9"/>
      <c r="Y163" s="21"/>
      <c r="Z163" s="79"/>
    </row>
    <row r="164">
      <c r="B164" s="68" t="str">
        <f t="shared" si="7"/>
        <v/>
      </c>
      <c r="C164" s="35"/>
      <c r="D164" s="69" t="str">
        <f>IFERROR(__xludf.DUMMYFUNCTION("if(isblank(indirect(""B""&amp;row())),,FILTER(SuperList,'Spell List'!$C$16:$C$392=indirect(""B""&amp;row())))"),"")</f>
        <v/>
      </c>
      <c r="E164" s="16"/>
      <c r="F164" s="71"/>
      <c r="G164" s="16"/>
      <c r="H164" s="71"/>
      <c r="I164" s="16"/>
      <c r="J164" s="71"/>
      <c r="K164" s="16"/>
      <c r="L164" s="71"/>
      <c r="M164" s="16"/>
      <c r="N164" s="71"/>
      <c r="O164" s="16"/>
      <c r="P164" s="71"/>
      <c r="Q164" s="16"/>
      <c r="R164" s="71"/>
      <c r="S164" s="16"/>
      <c r="T164" s="71"/>
      <c r="U164" s="16"/>
      <c r="V164" s="72"/>
      <c r="W164" s="3"/>
      <c r="X164" s="3"/>
      <c r="Y164" s="16"/>
      <c r="Z164" s="73"/>
    </row>
    <row r="165">
      <c r="B165" s="74" t="str">
        <f t="shared" si="7"/>
        <v/>
      </c>
      <c r="C165" s="37"/>
      <c r="D165" s="75" t="str">
        <f>IFERROR(__xludf.DUMMYFUNCTION("if(isblank(indirect(""B""&amp;row())),,FILTER(SuperList,'Spell List'!$C$16:$C$392=indirect(""B""&amp;row())))"),"")</f>
        <v/>
      </c>
      <c r="E165" s="21"/>
      <c r="F165" s="77"/>
      <c r="G165" s="21"/>
      <c r="H165" s="77"/>
      <c r="I165" s="21"/>
      <c r="J165" s="77"/>
      <c r="K165" s="21"/>
      <c r="L165" s="77"/>
      <c r="M165" s="21"/>
      <c r="N165" s="77"/>
      <c r="O165" s="21"/>
      <c r="P165" s="77"/>
      <c r="Q165" s="21"/>
      <c r="R165" s="77"/>
      <c r="S165" s="21"/>
      <c r="T165" s="77"/>
      <c r="U165" s="21"/>
      <c r="V165" s="80"/>
      <c r="W165" s="9"/>
      <c r="X165" s="9"/>
      <c r="Y165" s="21"/>
      <c r="Z165" s="81"/>
    </row>
    <row r="166">
      <c r="B166" s="68" t="str">
        <f t="shared" si="7"/>
        <v/>
      </c>
      <c r="C166" s="35"/>
      <c r="D166" s="69" t="str">
        <f>IFERROR(__xludf.DUMMYFUNCTION("if(isblank(indirect(""B""&amp;row())),,FILTER(SuperList,'Spell List'!$C$16:$C$392=indirect(""B""&amp;row())))"),"")</f>
        <v/>
      </c>
      <c r="E166" s="16"/>
      <c r="F166" s="71"/>
      <c r="G166" s="16"/>
      <c r="H166" s="71"/>
      <c r="I166" s="16"/>
      <c r="J166" s="71"/>
      <c r="K166" s="16"/>
      <c r="L166" s="71"/>
      <c r="M166" s="16"/>
      <c r="N166" s="70"/>
      <c r="O166" s="16"/>
      <c r="P166" s="71"/>
      <c r="Q166" s="16"/>
      <c r="R166" s="71"/>
      <c r="S166" s="16"/>
      <c r="T166" s="71"/>
      <c r="U166" s="16"/>
      <c r="V166" s="72"/>
      <c r="W166" s="3"/>
      <c r="X166" s="3"/>
      <c r="Y166" s="16"/>
      <c r="Z166" s="82"/>
    </row>
    <row r="167">
      <c r="B167" s="74" t="str">
        <f t="shared" si="7"/>
        <v/>
      </c>
      <c r="C167" s="37"/>
      <c r="D167" s="75" t="str">
        <f>IFERROR(__xludf.DUMMYFUNCTION("if(isblank(indirect(""B""&amp;row())),,FILTER(SuperList,'Spell List'!$C$16:$C$392=indirect(""B""&amp;row())))"),"")</f>
        <v/>
      </c>
      <c r="E167" s="21"/>
      <c r="F167" s="77"/>
      <c r="G167" s="21"/>
      <c r="H167" s="77"/>
      <c r="I167" s="21"/>
      <c r="J167" s="77"/>
      <c r="K167" s="21"/>
      <c r="L167" s="77"/>
      <c r="M167" s="21"/>
      <c r="N167" s="77"/>
      <c r="O167" s="21"/>
      <c r="P167" s="77"/>
      <c r="Q167" s="21"/>
      <c r="R167" s="77"/>
      <c r="S167" s="21"/>
      <c r="T167" s="77"/>
      <c r="U167" s="21"/>
      <c r="V167" s="80"/>
      <c r="W167" s="9"/>
      <c r="X167" s="9"/>
      <c r="Y167" s="21"/>
      <c r="Z167" s="79"/>
    </row>
    <row r="168">
      <c r="B168" s="68" t="str">
        <f t="shared" si="7"/>
        <v/>
      </c>
      <c r="C168" s="35"/>
      <c r="D168" s="69" t="str">
        <f>IFERROR(__xludf.DUMMYFUNCTION("if(isblank(indirect(""B""&amp;row())),,FILTER(SuperList,'Spell List'!$C$16:$C$392=indirect(""B""&amp;row())))"),"")</f>
        <v/>
      </c>
      <c r="E168" s="16"/>
      <c r="F168" s="71"/>
      <c r="G168" s="16"/>
      <c r="H168" s="70"/>
      <c r="I168" s="16"/>
      <c r="J168" s="71"/>
      <c r="K168" s="16"/>
      <c r="L168" s="71"/>
      <c r="M168" s="16"/>
      <c r="N168" s="71"/>
      <c r="O168" s="16"/>
      <c r="P168" s="71"/>
      <c r="Q168" s="16"/>
      <c r="R168" s="71"/>
      <c r="S168" s="16"/>
      <c r="T168" s="71"/>
      <c r="U168" s="16"/>
      <c r="V168" s="72"/>
      <c r="W168" s="3"/>
      <c r="X168" s="3"/>
      <c r="Y168" s="16"/>
      <c r="Z168" s="73"/>
    </row>
    <row r="169">
      <c r="B169" s="74" t="str">
        <f t="shared" si="7"/>
        <v/>
      </c>
      <c r="C169" s="29"/>
      <c r="D169" s="75" t="str">
        <f>IFERROR(__xludf.DUMMYFUNCTION("if(isblank(indirect(""B""&amp;row())),,FILTER(SuperList,'Spell List'!$C$16:$C$392=indirect(""B""&amp;row())))"),"")</f>
        <v/>
      </c>
      <c r="E169" s="21"/>
      <c r="F169" s="77"/>
      <c r="G169" s="21"/>
      <c r="H169" s="76"/>
      <c r="I169" s="21"/>
      <c r="J169" s="77"/>
      <c r="K169" s="21"/>
      <c r="L169" s="77"/>
      <c r="M169" s="21"/>
      <c r="N169" s="76"/>
      <c r="O169" s="21"/>
      <c r="P169" s="76"/>
      <c r="Q169" s="21"/>
      <c r="R169" s="77"/>
      <c r="S169" s="21"/>
      <c r="T169" s="76"/>
      <c r="U169" s="21"/>
      <c r="V169" s="78"/>
      <c r="W169" s="9"/>
      <c r="X169" s="9"/>
      <c r="Y169" s="21"/>
      <c r="Z169" s="79"/>
    </row>
    <row r="170">
      <c r="B170" s="68" t="str">
        <f t="shared" si="7"/>
        <v/>
      </c>
      <c r="C170" s="35"/>
      <c r="D170" s="69" t="str">
        <f>IFERROR(__xludf.DUMMYFUNCTION("if(isblank(indirect(""B""&amp;row())),,FILTER(SuperList,'Spell List'!$C$16:$C$392=indirect(""B""&amp;row())))"),"")</f>
        <v/>
      </c>
      <c r="E170" s="16"/>
      <c r="F170" s="71"/>
      <c r="G170" s="16"/>
      <c r="H170" s="71"/>
      <c r="I170" s="16"/>
      <c r="J170" s="71"/>
      <c r="K170" s="16"/>
      <c r="L170" s="71"/>
      <c r="M170" s="16"/>
      <c r="N170" s="71"/>
      <c r="O170" s="16"/>
      <c r="P170" s="71"/>
      <c r="Q170" s="16"/>
      <c r="R170" s="71"/>
      <c r="S170" s="16"/>
      <c r="T170" s="71"/>
      <c r="U170" s="16"/>
      <c r="V170" s="72"/>
      <c r="W170" s="3"/>
      <c r="X170" s="3"/>
      <c r="Y170" s="16"/>
      <c r="Z170" s="82"/>
    </row>
    <row r="171">
      <c r="B171" s="74" t="str">
        <f t="shared" si="7"/>
        <v/>
      </c>
      <c r="C171" s="29"/>
      <c r="D171" s="75" t="str">
        <f>IFERROR(__xludf.DUMMYFUNCTION("if(isblank(indirect(""B""&amp;row())),,FILTER(SuperList,'Spell List'!$C$16:$C$392=indirect(""B""&amp;row())))"),"")</f>
        <v/>
      </c>
      <c r="E171" s="21"/>
      <c r="F171" s="76"/>
      <c r="G171" s="21"/>
      <c r="H171" s="76"/>
      <c r="I171" s="21"/>
      <c r="J171" s="77"/>
      <c r="K171" s="21"/>
      <c r="L171" s="77"/>
      <c r="M171" s="21"/>
      <c r="N171" s="76"/>
      <c r="O171" s="21"/>
      <c r="P171" s="76"/>
      <c r="Q171" s="21"/>
      <c r="R171" s="76"/>
      <c r="S171" s="21"/>
      <c r="T171" s="76"/>
      <c r="U171" s="21"/>
      <c r="V171" s="78"/>
      <c r="W171" s="9"/>
      <c r="X171" s="9"/>
      <c r="Y171" s="21"/>
      <c r="Z171" s="81"/>
    </row>
    <row r="172">
      <c r="B172" s="68" t="str">
        <f t="shared" si="7"/>
        <v/>
      </c>
      <c r="C172" s="41"/>
      <c r="D172" s="69" t="str">
        <f>IFERROR(__xludf.DUMMYFUNCTION("if(isblank(indirect(""B""&amp;row())),,FILTER(SuperList,'Spell List'!$C$16:$C$392=indirect(""B""&amp;row())))"),"")</f>
        <v/>
      </c>
      <c r="E172" s="16"/>
      <c r="F172" s="70"/>
      <c r="G172" s="16"/>
      <c r="H172" s="70"/>
      <c r="I172" s="16"/>
      <c r="J172" s="71"/>
      <c r="K172" s="16"/>
      <c r="L172" s="70"/>
      <c r="M172" s="16"/>
      <c r="N172" s="70"/>
      <c r="O172" s="16"/>
      <c r="P172" s="70"/>
      <c r="Q172" s="16"/>
      <c r="R172" s="70"/>
      <c r="S172" s="16"/>
      <c r="T172" s="70"/>
      <c r="U172" s="16"/>
      <c r="V172" s="83"/>
      <c r="W172" s="3"/>
      <c r="X172" s="3"/>
      <c r="Y172" s="16"/>
      <c r="Z172" s="82"/>
    </row>
    <row r="173">
      <c r="B173" s="74" t="str">
        <f t="shared" si="7"/>
        <v/>
      </c>
      <c r="C173" s="37"/>
      <c r="D173" s="75" t="str">
        <f>IFERROR(__xludf.DUMMYFUNCTION("if(isblank(indirect(""B""&amp;row())),,FILTER(SuperList,'Spell List'!$C$16:$C$392=indirect(""B""&amp;row())))"),"")</f>
        <v/>
      </c>
      <c r="E173" s="21"/>
      <c r="F173" s="77"/>
      <c r="G173" s="21"/>
      <c r="H173" s="77"/>
      <c r="I173" s="21"/>
      <c r="J173" s="77"/>
      <c r="K173" s="21"/>
      <c r="L173" s="77"/>
      <c r="M173" s="21"/>
      <c r="N173" s="77"/>
      <c r="O173" s="21"/>
      <c r="P173" s="77"/>
      <c r="Q173" s="21"/>
      <c r="R173" s="77"/>
      <c r="S173" s="21"/>
      <c r="T173" s="77"/>
      <c r="U173" s="21"/>
      <c r="V173" s="78"/>
      <c r="W173" s="9"/>
      <c r="X173" s="9"/>
      <c r="Y173" s="21"/>
      <c r="Z173" s="81"/>
    </row>
    <row r="174">
      <c r="B174" s="68" t="str">
        <f t="shared" si="7"/>
        <v/>
      </c>
      <c r="C174" s="35"/>
      <c r="D174" s="69" t="str">
        <f>IFERROR(__xludf.DUMMYFUNCTION("if(isblank(indirect(""B""&amp;row())),,FILTER(SuperList,'Spell List'!$C$16:$C$392=indirect(""B""&amp;row())))"),"")</f>
        <v/>
      </c>
      <c r="E174" s="16"/>
      <c r="F174" s="71"/>
      <c r="G174" s="16"/>
      <c r="H174" s="71"/>
      <c r="I174" s="16"/>
      <c r="J174" s="71"/>
      <c r="K174" s="16"/>
      <c r="L174" s="71"/>
      <c r="M174" s="16"/>
      <c r="N174" s="71"/>
      <c r="O174" s="16"/>
      <c r="P174" s="71"/>
      <c r="Q174" s="16"/>
      <c r="R174" s="71"/>
      <c r="S174" s="16"/>
      <c r="T174" s="71"/>
      <c r="U174" s="16"/>
      <c r="V174" s="72"/>
      <c r="W174" s="3"/>
      <c r="X174" s="3"/>
      <c r="Y174" s="16"/>
      <c r="Z174" s="73"/>
    </row>
    <row r="175">
      <c r="B175" s="74" t="str">
        <f t="shared" si="7"/>
        <v/>
      </c>
      <c r="C175" s="37"/>
      <c r="D175" s="75" t="str">
        <f>IFERROR(__xludf.DUMMYFUNCTION("if(isblank(indirect(""B""&amp;row())),,FILTER(SuperList,'Spell List'!$C$16:$C$392=indirect(""B""&amp;row())))"),"")</f>
        <v/>
      </c>
      <c r="E175" s="21"/>
      <c r="F175" s="77"/>
      <c r="G175" s="21"/>
      <c r="H175" s="77"/>
      <c r="I175" s="21"/>
      <c r="J175" s="77"/>
      <c r="K175" s="21"/>
      <c r="L175" s="77"/>
      <c r="M175" s="21"/>
      <c r="N175" s="77"/>
      <c r="O175" s="21"/>
      <c r="P175" s="77"/>
      <c r="Q175" s="21"/>
      <c r="R175" s="77"/>
      <c r="S175" s="21"/>
      <c r="T175" s="77"/>
      <c r="U175" s="21"/>
      <c r="V175" s="80"/>
      <c r="W175" s="9"/>
      <c r="X175" s="9"/>
      <c r="Y175" s="21"/>
      <c r="Z175" s="81"/>
    </row>
    <row r="176">
      <c r="B176" s="68" t="str">
        <f t="shared" si="7"/>
        <v/>
      </c>
      <c r="C176" s="35"/>
      <c r="D176" s="69" t="str">
        <f>IFERROR(__xludf.DUMMYFUNCTION("if(isblank(indirect(""B""&amp;row())),,FILTER(SuperList,'Spell List'!$C$16:$C$392=indirect(""B""&amp;row())))"),"")</f>
        <v/>
      </c>
      <c r="E176" s="16"/>
      <c r="F176" s="71"/>
      <c r="G176" s="16"/>
      <c r="H176" s="71"/>
      <c r="I176" s="16"/>
      <c r="J176" s="71"/>
      <c r="K176" s="16"/>
      <c r="L176" s="71"/>
      <c r="M176" s="16"/>
      <c r="N176" s="70"/>
      <c r="O176" s="16"/>
      <c r="P176" s="71"/>
      <c r="Q176" s="16"/>
      <c r="R176" s="71"/>
      <c r="S176" s="16"/>
      <c r="T176" s="71"/>
      <c r="U176" s="16"/>
      <c r="V176" s="72"/>
      <c r="W176" s="3"/>
      <c r="X176" s="3"/>
      <c r="Y176" s="16"/>
      <c r="Z176" s="84"/>
    </row>
    <row r="177">
      <c r="B177" s="74" t="str">
        <f t="shared" si="7"/>
        <v/>
      </c>
      <c r="C177" s="29"/>
      <c r="D177" s="75" t="str">
        <f>IFERROR(__xludf.DUMMYFUNCTION("if(isblank(indirect(""B""&amp;row())),,FILTER(SuperList,'Spell List'!$C$16:$C$392=indirect(""B""&amp;row())))"),"")</f>
        <v/>
      </c>
      <c r="E177" s="21"/>
      <c r="F177" s="77"/>
      <c r="G177" s="21"/>
      <c r="H177" s="77"/>
      <c r="I177" s="21"/>
      <c r="J177" s="77"/>
      <c r="K177" s="21"/>
      <c r="L177" s="76"/>
      <c r="M177" s="21"/>
      <c r="N177" s="76"/>
      <c r="O177" s="21"/>
      <c r="P177" s="76"/>
      <c r="Q177" s="21"/>
      <c r="R177" s="76"/>
      <c r="S177" s="21"/>
      <c r="T177" s="77"/>
      <c r="U177" s="21"/>
      <c r="V177" s="78"/>
      <c r="W177" s="9"/>
      <c r="X177" s="9"/>
      <c r="Y177" s="21"/>
      <c r="Z177" s="81"/>
    </row>
    <row r="178">
      <c r="B178" s="68" t="str">
        <f t="shared" si="7"/>
        <v/>
      </c>
      <c r="C178" s="35"/>
      <c r="D178" s="69" t="str">
        <f>IFERROR(__xludf.DUMMYFUNCTION("if(isblank(indirect(""B""&amp;row())),,FILTER(SuperList,'Spell List'!$C$16:$C$392=indirect(""B""&amp;row())))"),"")</f>
        <v/>
      </c>
      <c r="E178" s="16"/>
      <c r="F178" s="71"/>
      <c r="G178" s="16"/>
      <c r="H178" s="71"/>
      <c r="I178" s="16"/>
      <c r="J178" s="71"/>
      <c r="K178" s="16"/>
      <c r="L178" s="71"/>
      <c r="M178" s="16"/>
      <c r="N178" s="71"/>
      <c r="O178" s="16"/>
      <c r="P178" s="71"/>
      <c r="Q178" s="16"/>
      <c r="R178" s="71"/>
      <c r="S178" s="16"/>
      <c r="T178" s="71"/>
      <c r="U178" s="16"/>
      <c r="V178" s="72"/>
      <c r="W178" s="3"/>
      <c r="X178" s="3"/>
      <c r="Y178" s="16"/>
      <c r="Z178" s="82"/>
    </row>
    <row r="179">
      <c r="B179" s="74" t="str">
        <f t="shared" si="7"/>
        <v/>
      </c>
      <c r="C179" s="29"/>
      <c r="D179" s="75" t="str">
        <f>IFERROR(__xludf.DUMMYFUNCTION("if(isblank(indirect(""B""&amp;row())),,FILTER(SuperList,'Spell List'!$C$16:$C$392=indirect(""B""&amp;row())))"),"")</f>
        <v/>
      </c>
      <c r="E179" s="21"/>
      <c r="F179" s="77"/>
      <c r="G179" s="21"/>
      <c r="H179" s="77"/>
      <c r="I179" s="21"/>
      <c r="J179" s="77"/>
      <c r="K179" s="21"/>
      <c r="L179" s="76"/>
      <c r="M179" s="21"/>
      <c r="N179" s="76"/>
      <c r="O179" s="21"/>
      <c r="P179" s="76"/>
      <c r="Q179" s="21"/>
      <c r="R179" s="76"/>
      <c r="S179" s="21"/>
      <c r="T179" s="77"/>
      <c r="U179" s="21"/>
      <c r="V179" s="78"/>
      <c r="W179" s="9"/>
      <c r="X179" s="9"/>
      <c r="Y179" s="21"/>
      <c r="Z179" s="81"/>
    </row>
    <row r="180">
      <c r="B180" s="68" t="str">
        <f t="shared" si="7"/>
        <v/>
      </c>
      <c r="C180" s="35"/>
      <c r="D180" s="69" t="str">
        <f>IFERROR(__xludf.DUMMYFUNCTION("if(isblank(indirect(""B""&amp;row())),,FILTER(SuperList,'Spell List'!$C$16:$C$392=indirect(""B""&amp;row())))"),"")</f>
        <v/>
      </c>
      <c r="E180" s="16"/>
      <c r="F180" s="71"/>
      <c r="G180" s="16"/>
      <c r="H180" s="71"/>
      <c r="I180" s="16"/>
      <c r="J180" s="71"/>
      <c r="K180" s="16"/>
      <c r="L180" s="71"/>
      <c r="M180" s="16"/>
      <c r="N180" s="71"/>
      <c r="O180" s="16"/>
      <c r="P180" s="71"/>
      <c r="Q180" s="16"/>
      <c r="R180" s="71"/>
      <c r="S180" s="16"/>
      <c r="T180" s="71"/>
      <c r="U180" s="16"/>
      <c r="V180" s="72"/>
      <c r="W180" s="3"/>
      <c r="X180" s="3"/>
      <c r="Y180" s="16"/>
      <c r="Z180" s="82"/>
    </row>
    <row r="182">
      <c r="B182" s="65" t="s">
        <v>10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16"/>
    </row>
    <row r="183">
      <c r="B183" s="66" t="s">
        <v>14</v>
      </c>
      <c r="C183" s="66"/>
      <c r="D183" s="67" t="s">
        <v>16</v>
      </c>
      <c r="E183" s="21"/>
      <c r="F183" s="67" t="s">
        <v>17</v>
      </c>
      <c r="G183" s="21"/>
      <c r="H183" s="67" t="s">
        <v>18</v>
      </c>
      <c r="I183" s="21"/>
      <c r="J183" s="67" t="s">
        <v>19</v>
      </c>
      <c r="K183" s="21"/>
      <c r="L183" s="67" t="s">
        <v>20</v>
      </c>
      <c r="M183" s="21"/>
      <c r="N183" s="67" t="s">
        <v>21</v>
      </c>
      <c r="O183" s="21"/>
      <c r="P183" s="67" t="s">
        <v>22</v>
      </c>
      <c r="Q183" s="21"/>
      <c r="R183" s="67" t="s">
        <v>23</v>
      </c>
      <c r="S183" s="21"/>
      <c r="T183" s="67" t="s">
        <v>24</v>
      </c>
      <c r="U183" s="21"/>
      <c r="V183" s="67" t="s">
        <v>25</v>
      </c>
      <c r="W183" s="9"/>
      <c r="X183" s="9"/>
      <c r="Y183" s="21"/>
      <c r="Z183" s="66" t="s">
        <v>26</v>
      </c>
    </row>
    <row r="184">
      <c r="B184" s="68" t="str">
        <f t="shared" ref="B184:B204" si="8">if(isblank(indirect("'Known Spells'!B"&amp;row())),,right(indirect("'Known Spells'!B"&amp;row()),len(indirect("'Known Spells'!B"&amp;row()))-2))</f>
        <v/>
      </c>
      <c r="C184" s="23"/>
      <c r="D184" s="69" t="str">
        <f>IFERROR(__xludf.DUMMYFUNCTION("if(isblank(indirect(""B""&amp;row())),,FILTER(SuperList,'Spell List'!$C$16:$C$392=indirect(""B""&amp;row())))"),"")</f>
        <v/>
      </c>
      <c r="E184" s="16"/>
      <c r="F184" s="70"/>
      <c r="G184" s="16"/>
      <c r="H184" s="70"/>
      <c r="I184" s="16"/>
      <c r="J184" s="71"/>
      <c r="K184" s="16"/>
      <c r="L184" s="71"/>
      <c r="M184" s="16"/>
      <c r="N184" s="71"/>
      <c r="O184" s="16"/>
      <c r="P184" s="71"/>
      <c r="Q184" s="16"/>
      <c r="R184" s="71"/>
      <c r="S184" s="16"/>
      <c r="T184" s="71"/>
      <c r="U184" s="16"/>
      <c r="V184" s="72"/>
      <c r="W184" s="3"/>
      <c r="X184" s="3"/>
      <c r="Y184" s="16"/>
      <c r="Z184" s="73"/>
    </row>
    <row r="185">
      <c r="B185" s="74" t="str">
        <f t="shared" si="8"/>
        <v/>
      </c>
      <c r="C185" s="29"/>
      <c r="D185" s="75" t="str">
        <f>IFERROR(__xludf.DUMMYFUNCTION("if(isblank(indirect(""B""&amp;row())),,FILTER(SuperList,'Spell List'!$C$16:$C$392=indirect(""B""&amp;row())))"),"")</f>
        <v/>
      </c>
      <c r="E185" s="21"/>
      <c r="F185" s="76"/>
      <c r="G185" s="21"/>
      <c r="H185" s="76"/>
      <c r="I185" s="21"/>
      <c r="J185" s="77"/>
      <c r="K185" s="21"/>
      <c r="L185" s="77"/>
      <c r="M185" s="21"/>
      <c r="N185" s="76"/>
      <c r="O185" s="21"/>
      <c r="P185" s="76"/>
      <c r="Q185" s="21"/>
      <c r="R185" s="76"/>
      <c r="S185" s="21"/>
      <c r="T185" s="76"/>
      <c r="U185" s="21"/>
      <c r="V185" s="78"/>
      <c r="W185" s="9"/>
      <c r="X185" s="9"/>
      <c r="Y185" s="21"/>
      <c r="Z185" s="79"/>
    </row>
    <row r="186">
      <c r="B186" s="68" t="str">
        <f t="shared" si="8"/>
        <v/>
      </c>
      <c r="C186" s="35"/>
      <c r="D186" s="69" t="str">
        <f>IFERROR(__xludf.DUMMYFUNCTION("if(isblank(indirect(""B""&amp;row())),,FILTER(SuperList,'Spell List'!$C$16:$C$392=indirect(""B""&amp;row())))"),"")</f>
        <v/>
      </c>
      <c r="E186" s="16"/>
      <c r="F186" s="71"/>
      <c r="G186" s="16"/>
      <c r="H186" s="71"/>
      <c r="I186" s="16"/>
      <c r="J186" s="71"/>
      <c r="K186" s="16"/>
      <c r="L186" s="71"/>
      <c r="M186" s="16"/>
      <c r="N186" s="71"/>
      <c r="O186" s="16"/>
      <c r="P186" s="71"/>
      <c r="Q186" s="16"/>
      <c r="R186" s="71"/>
      <c r="S186" s="16"/>
      <c r="T186" s="71"/>
      <c r="U186" s="16"/>
      <c r="V186" s="72"/>
      <c r="W186" s="3"/>
      <c r="X186" s="3"/>
      <c r="Y186" s="16"/>
      <c r="Z186" s="73"/>
    </row>
    <row r="187">
      <c r="B187" s="74" t="str">
        <f t="shared" si="8"/>
        <v/>
      </c>
      <c r="C187" s="37"/>
      <c r="D187" s="75" t="str">
        <f>IFERROR(__xludf.DUMMYFUNCTION("if(isblank(indirect(""B""&amp;row())),,FILTER(SuperList,'Spell List'!$C$16:$C$392=indirect(""B""&amp;row())))"),"")</f>
        <v/>
      </c>
      <c r="E187" s="21"/>
      <c r="F187" s="77"/>
      <c r="G187" s="21"/>
      <c r="H187" s="77"/>
      <c r="I187" s="21"/>
      <c r="J187" s="77"/>
      <c r="K187" s="21"/>
      <c r="L187" s="77"/>
      <c r="M187" s="21"/>
      <c r="N187" s="77"/>
      <c r="O187" s="21"/>
      <c r="P187" s="77"/>
      <c r="Q187" s="21"/>
      <c r="R187" s="77"/>
      <c r="S187" s="21"/>
      <c r="T187" s="77"/>
      <c r="U187" s="21"/>
      <c r="V187" s="80"/>
      <c r="W187" s="9"/>
      <c r="X187" s="9"/>
      <c r="Y187" s="21"/>
      <c r="Z187" s="79"/>
    </row>
    <row r="188">
      <c r="B188" s="68" t="str">
        <f t="shared" si="8"/>
        <v/>
      </c>
      <c r="C188" s="35"/>
      <c r="D188" s="69" t="str">
        <f>IFERROR(__xludf.DUMMYFUNCTION("if(isblank(indirect(""B""&amp;row())),,FILTER(SuperList,'Spell List'!$C$16:$C$392=indirect(""B""&amp;row())))"),"")</f>
        <v/>
      </c>
      <c r="E188" s="16"/>
      <c r="F188" s="71"/>
      <c r="G188" s="16"/>
      <c r="H188" s="71"/>
      <c r="I188" s="16"/>
      <c r="J188" s="71"/>
      <c r="K188" s="16"/>
      <c r="L188" s="71"/>
      <c r="M188" s="16"/>
      <c r="N188" s="71"/>
      <c r="O188" s="16"/>
      <c r="P188" s="71"/>
      <c r="Q188" s="16"/>
      <c r="R188" s="71"/>
      <c r="S188" s="16"/>
      <c r="T188" s="71"/>
      <c r="U188" s="16"/>
      <c r="V188" s="72"/>
      <c r="W188" s="3"/>
      <c r="X188" s="3"/>
      <c r="Y188" s="16"/>
      <c r="Z188" s="73"/>
    </row>
    <row r="189">
      <c r="B189" s="74" t="str">
        <f t="shared" si="8"/>
        <v/>
      </c>
      <c r="C189" s="37"/>
      <c r="D189" s="75" t="str">
        <f>IFERROR(__xludf.DUMMYFUNCTION("if(isblank(indirect(""B""&amp;row())),,FILTER(SuperList,'Spell List'!$C$16:$C$392=indirect(""B""&amp;row())))"),"")</f>
        <v/>
      </c>
      <c r="E189" s="21"/>
      <c r="F189" s="77"/>
      <c r="G189" s="21"/>
      <c r="H189" s="77"/>
      <c r="I189" s="21"/>
      <c r="J189" s="77"/>
      <c r="K189" s="21"/>
      <c r="L189" s="77"/>
      <c r="M189" s="21"/>
      <c r="N189" s="77"/>
      <c r="O189" s="21"/>
      <c r="P189" s="77"/>
      <c r="Q189" s="21"/>
      <c r="R189" s="77"/>
      <c r="S189" s="21"/>
      <c r="T189" s="77"/>
      <c r="U189" s="21"/>
      <c r="V189" s="80"/>
      <c r="W189" s="9"/>
      <c r="X189" s="9"/>
      <c r="Y189" s="21"/>
      <c r="Z189" s="81"/>
    </row>
    <row r="190">
      <c r="B190" s="68" t="str">
        <f t="shared" si="8"/>
        <v/>
      </c>
      <c r="C190" s="35"/>
      <c r="D190" s="69" t="str">
        <f>IFERROR(__xludf.DUMMYFUNCTION("if(isblank(indirect(""B""&amp;row())),,FILTER(SuperList,'Spell List'!$C$16:$C$392=indirect(""B""&amp;row())))"),"")</f>
        <v/>
      </c>
      <c r="E190" s="16"/>
      <c r="F190" s="71"/>
      <c r="G190" s="16"/>
      <c r="H190" s="71"/>
      <c r="I190" s="16"/>
      <c r="J190" s="71"/>
      <c r="K190" s="16"/>
      <c r="L190" s="71"/>
      <c r="M190" s="16"/>
      <c r="N190" s="70"/>
      <c r="O190" s="16"/>
      <c r="P190" s="71"/>
      <c r="Q190" s="16"/>
      <c r="R190" s="71"/>
      <c r="S190" s="16"/>
      <c r="T190" s="71"/>
      <c r="U190" s="16"/>
      <c r="V190" s="72"/>
      <c r="W190" s="3"/>
      <c r="X190" s="3"/>
      <c r="Y190" s="16"/>
      <c r="Z190" s="82"/>
    </row>
    <row r="191">
      <c r="B191" s="74" t="str">
        <f t="shared" si="8"/>
        <v/>
      </c>
      <c r="C191" s="37"/>
      <c r="D191" s="75" t="str">
        <f>IFERROR(__xludf.DUMMYFUNCTION("if(isblank(indirect(""B""&amp;row())),,FILTER(SuperList,'Spell List'!$C$16:$C$392=indirect(""B""&amp;row())))"),"")</f>
        <v/>
      </c>
      <c r="E191" s="21"/>
      <c r="F191" s="77"/>
      <c r="G191" s="21"/>
      <c r="H191" s="77"/>
      <c r="I191" s="21"/>
      <c r="J191" s="77"/>
      <c r="K191" s="21"/>
      <c r="L191" s="77"/>
      <c r="M191" s="21"/>
      <c r="N191" s="77"/>
      <c r="O191" s="21"/>
      <c r="P191" s="77"/>
      <c r="Q191" s="21"/>
      <c r="R191" s="77"/>
      <c r="S191" s="21"/>
      <c r="T191" s="77"/>
      <c r="U191" s="21"/>
      <c r="V191" s="80"/>
      <c r="W191" s="9"/>
      <c r="X191" s="9"/>
      <c r="Y191" s="21"/>
      <c r="Z191" s="79"/>
    </row>
    <row r="192">
      <c r="B192" s="68" t="str">
        <f t="shared" si="8"/>
        <v/>
      </c>
      <c r="C192" s="35"/>
      <c r="D192" s="69" t="str">
        <f>IFERROR(__xludf.DUMMYFUNCTION("if(isblank(indirect(""B""&amp;row())),,FILTER(SuperList,'Spell List'!$C$16:$C$392=indirect(""B""&amp;row())))"),"")</f>
        <v/>
      </c>
      <c r="E192" s="16"/>
      <c r="F192" s="71"/>
      <c r="G192" s="16"/>
      <c r="H192" s="70"/>
      <c r="I192" s="16"/>
      <c r="J192" s="71"/>
      <c r="K192" s="16"/>
      <c r="L192" s="71"/>
      <c r="M192" s="16"/>
      <c r="N192" s="71"/>
      <c r="O192" s="16"/>
      <c r="P192" s="71"/>
      <c r="Q192" s="16"/>
      <c r="R192" s="71"/>
      <c r="S192" s="16"/>
      <c r="T192" s="71"/>
      <c r="U192" s="16"/>
      <c r="V192" s="72"/>
      <c r="W192" s="3"/>
      <c r="X192" s="3"/>
      <c r="Y192" s="16"/>
      <c r="Z192" s="73"/>
    </row>
    <row r="193">
      <c r="B193" s="74" t="str">
        <f t="shared" si="8"/>
        <v/>
      </c>
      <c r="C193" s="29"/>
      <c r="D193" s="75" t="str">
        <f>IFERROR(__xludf.DUMMYFUNCTION("if(isblank(indirect(""B""&amp;row())),,FILTER(SuperList,'Spell List'!$C$16:$C$392=indirect(""B""&amp;row())))"),"")</f>
        <v/>
      </c>
      <c r="E193" s="21"/>
      <c r="F193" s="77"/>
      <c r="G193" s="21"/>
      <c r="H193" s="76"/>
      <c r="I193" s="21"/>
      <c r="J193" s="77"/>
      <c r="K193" s="21"/>
      <c r="L193" s="77"/>
      <c r="M193" s="21"/>
      <c r="N193" s="76"/>
      <c r="O193" s="21"/>
      <c r="P193" s="76"/>
      <c r="Q193" s="21"/>
      <c r="R193" s="77"/>
      <c r="S193" s="21"/>
      <c r="T193" s="76"/>
      <c r="U193" s="21"/>
      <c r="V193" s="78"/>
      <c r="W193" s="9"/>
      <c r="X193" s="9"/>
      <c r="Y193" s="21"/>
      <c r="Z193" s="79"/>
    </row>
    <row r="194">
      <c r="B194" s="68" t="str">
        <f t="shared" si="8"/>
        <v/>
      </c>
      <c r="C194" s="35"/>
      <c r="D194" s="69" t="str">
        <f>IFERROR(__xludf.DUMMYFUNCTION("if(isblank(indirect(""B""&amp;row())),,FILTER(SuperList,'Spell List'!$C$16:$C$392=indirect(""B""&amp;row())))"),"")</f>
        <v/>
      </c>
      <c r="E194" s="16"/>
      <c r="F194" s="71"/>
      <c r="G194" s="16"/>
      <c r="H194" s="71"/>
      <c r="I194" s="16"/>
      <c r="J194" s="71"/>
      <c r="K194" s="16"/>
      <c r="L194" s="71"/>
      <c r="M194" s="16"/>
      <c r="N194" s="71"/>
      <c r="O194" s="16"/>
      <c r="P194" s="71"/>
      <c r="Q194" s="16"/>
      <c r="R194" s="71"/>
      <c r="S194" s="16"/>
      <c r="T194" s="71"/>
      <c r="U194" s="16"/>
      <c r="V194" s="72"/>
      <c r="W194" s="3"/>
      <c r="X194" s="3"/>
      <c r="Y194" s="16"/>
      <c r="Z194" s="82"/>
    </row>
    <row r="195">
      <c r="B195" s="74" t="str">
        <f t="shared" si="8"/>
        <v/>
      </c>
      <c r="C195" s="29"/>
      <c r="D195" s="75" t="str">
        <f>IFERROR(__xludf.DUMMYFUNCTION("if(isblank(indirect(""B""&amp;row())),,FILTER(SuperList,'Spell List'!$C$16:$C$392=indirect(""B""&amp;row())))"),"")</f>
        <v/>
      </c>
      <c r="E195" s="21"/>
      <c r="F195" s="76"/>
      <c r="G195" s="21"/>
      <c r="H195" s="76"/>
      <c r="I195" s="21"/>
      <c r="J195" s="77"/>
      <c r="K195" s="21"/>
      <c r="L195" s="77"/>
      <c r="M195" s="21"/>
      <c r="N195" s="76"/>
      <c r="O195" s="21"/>
      <c r="P195" s="76"/>
      <c r="Q195" s="21"/>
      <c r="R195" s="76"/>
      <c r="S195" s="21"/>
      <c r="T195" s="76"/>
      <c r="U195" s="21"/>
      <c r="V195" s="78"/>
      <c r="W195" s="9"/>
      <c r="X195" s="9"/>
      <c r="Y195" s="21"/>
      <c r="Z195" s="81"/>
    </row>
    <row r="196">
      <c r="B196" s="68" t="str">
        <f t="shared" si="8"/>
        <v/>
      </c>
      <c r="C196" s="41"/>
      <c r="D196" s="69" t="str">
        <f>IFERROR(__xludf.DUMMYFUNCTION("if(isblank(indirect(""B""&amp;row())),,FILTER(SuperList,'Spell List'!$C$16:$C$392=indirect(""B""&amp;row())))"),"")</f>
        <v/>
      </c>
      <c r="E196" s="16"/>
      <c r="F196" s="70"/>
      <c r="G196" s="16"/>
      <c r="H196" s="70"/>
      <c r="I196" s="16"/>
      <c r="J196" s="71"/>
      <c r="K196" s="16"/>
      <c r="L196" s="70"/>
      <c r="M196" s="16"/>
      <c r="N196" s="70"/>
      <c r="O196" s="16"/>
      <c r="P196" s="70"/>
      <c r="Q196" s="16"/>
      <c r="R196" s="70"/>
      <c r="S196" s="16"/>
      <c r="T196" s="70"/>
      <c r="U196" s="16"/>
      <c r="V196" s="83"/>
      <c r="W196" s="3"/>
      <c r="X196" s="3"/>
      <c r="Y196" s="16"/>
      <c r="Z196" s="82"/>
    </row>
    <row r="197">
      <c r="B197" s="74" t="str">
        <f t="shared" si="8"/>
        <v/>
      </c>
      <c r="C197" s="37"/>
      <c r="D197" s="75" t="str">
        <f>IFERROR(__xludf.DUMMYFUNCTION("if(isblank(indirect(""B""&amp;row())),,FILTER(SuperList,'Spell List'!$C$16:$C$392=indirect(""B""&amp;row())))"),"")</f>
        <v/>
      </c>
      <c r="E197" s="21"/>
      <c r="F197" s="77"/>
      <c r="G197" s="21"/>
      <c r="H197" s="77"/>
      <c r="I197" s="21"/>
      <c r="J197" s="77"/>
      <c r="K197" s="21"/>
      <c r="L197" s="77"/>
      <c r="M197" s="21"/>
      <c r="N197" s="77"/>
      <c r="O197" s="21"/>
      <c r="P197" s="77"/>
      <c r="Q197" s="21"/>
      <c r="R197" s="77"/>
      <c r="S197" s="21"/>
      <c r="T197" s="77"/>
      <c r="U197" s="21"/>
      <c r="V197" s="78"/>
      <c r="W197" s="9"/>
      <c r="X197" s="9"/>
      <c r="Y197" s="21"/>
      <c r="Z197" s="81"/>
    </row>
    <row r="198">
      <c r="B198" s="68" t="str">
        <f t="shared" si="8"/>
        <v/>
      </c>
      <c r="C198" s="35"/>
      <c r="D198" s="69" t="str">
        <f>IFERROR(__xludf.DUMMYFUNCTION("if(isblank(indirect(""B""&amp;row())),,FILTER(SuperList,'Spell List'!$C$16:$C$392=indirect(""B""&amp;row())))"),"")</f>
        <v/>
      </c>
      <c r="E198" s="16"/>
      <c r="F198" s="71"/>
      <c r="G198" s="16"/>
      <c r="H198" s="71"/>
      <c r="I198" s="16"/>
      <c r="J198" s="71"/>
      <c r="K198" s="16"/>
      <c r="L198" s="71"/>
      <c r="M198" s="16"/>
      <c r="N198" s="71"/>
      <c r="O198" s="16"/>
      <c r="P198" s="71"/>
      <c r="Q198" s="16"/>
      <c r="R198" s="71"/>
      <c r="S198" s="16"/>
      <c r="T198" s="71"/>
      <c r="U198" s="16"/>
      <c r="V198" s="72"/>
      <c r="W198" s="3"/>
      <c r="X198" s="3"/>
      <c r="Y198" s="16"/>
      <c r="Z198" s="73"/>
    </row>
    <row r="199">
      <c r="B199" s="74" t="str">
        <f t="shared" si="8"/>
        <v/>
      </c>
      <c r="C199" s="37"/>
      <c r="D199" s="75" t="str">
        <f>IFERROR(__xludf.DUMMYFUNCTION("if(isblank(indirect(""B""&amp;row())),,FILTER(SuperList,'Spell List'!$C$16:$C$392=indirect(""B""&amp;row())))"),"")</f>
        <v/>
      </c>
      <c r="E199" s="21"/>
      <c r="F199" s="77"/>
      <c r="G199" s="21"/>
      <c r="H199" s="77"/>
      <c r="I199" s="21"/>
      <c r="J199" s="77"/>
      <c r="K199" s="21"/>
      <c r="L199" s="77"/>
      <c r="M199" s="21"/>
      <c r="N199" s="77"/>
      <c r="O199" s="21"/>
      <c r="P199" s="77"/>
      <c r="Q199" s="21"/>
      <c r="R199" s="77"/>
      <c r="S199" s="21"/>
      <c r="T199" s="77"/>
      <c r="U199" s="21"/>
      <c r="V199" s="80"/>
      <c r="W199" s="9"/>
      <c r="X199" s="9"/>
      <c r="Y199" s="21"/>
      <c r="Z199" s="81"/>
    </row>
    <row r="200">
      <c r="B200" s="68" t="str">
        <f t="shared" si="8"/>
        <v/>
      </c>
      <c r="C200" s="35"/>
      <c r="D200" s="69" t="str">
        <f>IFERROR(__xludf.DUMMYFUNCTION("if(isblank(indirect(""B""&amp;row())),,FILTER(SuperList,'Spell List'!$C$16:$C$392=indirect(""B""&amp;row())))"),"")</f>
        <v/>
      </c>
      <c r="E200" s="16"/>
      <c r="F200" s="71"/>
      <c r="G200" s="16"/>
      <c r="H200" s="71"/>
      <c r="I200" s="16"/>
      <c r="J200" s="71"/>
      <c r="K200" s="16"/>
      <c r="L200" s="71"/>
      <c r="M200" s="16"/>
      <c r="N200" s="70"/>
      <c r="O200" s="16"/>
      <c r="P200" s="71"/>
      <c r="Q200" s="16"/>
      <c r="R200" s="71"/>
      <c r="S200" s="16"/>
      <c r="T200" s="71"/>
      <c r="U200" s="16"/>
      <c r="V200" s="72"/>
      <c r="W200" s="3"/>
      <c r="X200" s="3"/>
      <c r="Y200" s="16"/>
      <c r="Z200" s="84"/>
    </row>
    <row r="201">
      <c r="B201" s="74" t="str">
        <f t="shared" si="8"/>
        <v/>
      </c>
      <c r="C201" s="29"/>
      <c r="D201" s="75" t="str">
        <f>IFERROR(__xludf.DUMMYFUNCTION("if(isblank(indirect(""B""&amp;row())),,FILTER(SuperList,'Spell List'!$C$16:$C$392=indirect(""B""&amp;row())))"),"")</f>
        <v/>
      </c>
      <c r="E201" s="21"/>
      <c r="F201" s="77"/>
      <c r="G201" s="21"/>
      <c r="H201" s="77"/>
      <c r="I201" s="21"/>
      <c r="J201" s="77"/>
      <c r="K201" s="21"/>
      <c r="L201" s="76"/>
      <c r="M201" s="21"/>
      <c r="N201" s="76"/>
      <c r="O201" s="21"/>
      <c r="P201" s="76"/>
      <c r="Q201" s="21"/>
      <c r="R201" s="76"/>
      <c r="S201" s="21"/>
      <c r="T201" s="77"/>
      <c r="U201" s="21"/>
      <c r="V201" s="78"/>
      <c r="W201" s="9"/>
      <c r="X201" s="9"/>
      <c r="Y201" s="21"/>
      <c r="Z201" s="81"/>
    </row>
    <row r="202">
      <c r="B202" s="68" t="str">
        <f t="shared" si="8"/>
        <v/>
      </c>
      <c r="C202" s="35"/>
      <c r="D202" s="69" t="str">
        <f>IFERROR(__xludf.DUMMYFUNCTION("if(isblank(indirect(""B""&amp;row())),,FILTER(SuperList,'Spell List'!$C$16:$C$392=indirect(""B""&amp;row())))"),"")</f>
        <v/>
      </c>
      <c r="E202" s="16"/>
      <c r="F202" s="71"/>
      <c r="G202" s="16"/>
      <c r="H202" s="71"/>
      <c r="I202" s="16"/>
      <c r="J202" s="71"/>
      <c r="K202" s="16"/>
      <c r="L202" s="71"/>
      <c r="M202" s="16"/>
      <c r="N202" s="71"/>
      <c r="O202" s="16"/>
      <c r="P202" s="71"/>
      <c r="Q202" s="16"/>
      <c r="R202" s="71"/>
      <c r="S202" s="16"/>
      <c r="T202" s="71"/>
      <c r="U202" s="16"/>
      <c r="V202" s="72"/>
      <c r="W202" s="3"/>
      <c r="X202" s="3"/>
      <c r="Y202" s="16"/>
      <c r="Z202" s="82"/>
    </row>
    <row r="203">
      <c r="B203" s="74" t="str">
        <f t="shared" si="8"/>
        <v/>
      </c>
      <c r="C203" s="29"/>
      <c r="D203" s="75" t="str">
        <f>IFERROR(__xludf.DUMMYFUNCTION("if(isblank(indirect(""B""&amp;row())),,FILTER(SuperList,'Spell List'!$C$16:$C$392=indirect(""B""&amp;row())))"),"")</f>
        <v/>
      </c>
      <c r="E203" s="21"/>
      <c r="F203" s="77"/>
      <c r="G203" s="21"/>
      <c r="H203" s="77"/>
      <c r="I203" s="21"/>
      <c r="J203" s="77"/>
      <c r="K203" s="21"/>
      <c r="L203" s="76"/>
      <c r="M203" s="21"/>
      <c r="N203" s="76"/>
      <c r="O203" s="21"/>
      <c r="P203" s="76"/>
      <c r="Q203" s="21"/>
      <c r="R203" s="76"/>
      <c r="S203" s="21"/>
      <c r="T203" s="77"/>
      <c r="U203" s="21"/>
      <c r="V203" s="78"/>
      <c r="W203" s="9"/>
      <c r="X203" s="9"/>
      <c r="Y203" s="21"/>
      <c r="Z203" s="81"/>
    </row>
    <row r="204">
      <c r="B204" s="68" t="str">
        <f t="shared" si="8"/>
        <v/>
      </c>
      <c r="C204" s="35"/>
      <c r="D204" s="69" t="str">
        <f>IFERROR(__xludf.DUMMYFUNCTION("if(isblank(indirect(""B""&amp;row())),,FILTER(SuperList,'Spell List'!$C$16:$C$392=indirect(""B""&amp;row())))"),"")</f>
        <v/>
      </c>
      <c r="E204" s="16"/>
      <c r="F204" s="71"/>
      <c r="G204" s="16"/>
      <c r="H204" s="71"/>
      <c r="I204" s="16"/>
      <c r="J204" s="71"/>
      <c r="K204" s="16"/>
      <c r="L204" s="71"/>
      <c r="M204" s="16"/>
      <c r="N204" s="71"/>
      <c r="O204" s="16"/>
      <c r="P204" s="71"/>
      <c r="Q204" s="16"/>
      <c r="R204" s="71"/>
      <c r="S204" s="16"/>
      <c r="T204" s="71"/>
      <c r="U204" s="16"/>
      <c r="V204" s="72"/>
      <c r="W204" s="3"/>
      <c r="X204" s="3"/>
      <c r="Y204" s="16"/>
      <c r="Z204" s="82"/>
    </row>
    <row r="206">
      <c r="B206" s="65" t="s">
        <v>11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16"/>
    </row>
    <row r="207">
      <c r="B207" s="66" t="s">
        <v>14</v>
      </c>
      <c r="C207" s="66"/>
      <c r="D207" s="67" t="s">
        <v>16</v>
      </c>
      <c r="E207" s="21"/>
      <c r="F207" s="67" t="s">
        <v>17</v>
      </c>
      <c r="G207" s="21"/>
      <c r="H207" s="67" t="s">
        <v>18</v>
      </c>
      <c r="I207" s="21"/>
      <c r="J207" s="67" t="s">
        <v>19</v>
      </c>
      <c r="K207" s="21"/>
      <c r="L207" s="67" t="s">
        <v>20</v>
      </c>
      <c r="M207" s="21"/>
      <c r="N207" s="67" t="s">
        <v>21</v>
      </c>
      <c r="O207" s="21"/>
      <c r="P207" s="67" t="s">
        <v>22</v>
      </c>
      <c r="Q207" s="21"/>
      <c r="R207" s="67" t="s">
        <v>23</v>
      </c>
      <c r="S207" s="21"/>
      <c r="T207" s="67" t="s">
        <v>24</v>
      </c>
      <c r="U207" s="21"/>
      <c r="V207" s="67" t="s">
        <v>25</v>
      </c>
      <c r="W207" s="9"/>
      <c r="X207" s="9"/>
      <c r="Y207" s="21"/>
      <c r="Z207" s="66" t="s">
        <v>26</v>
      </c>
    </row>
    <row r="208">
      <c r="B208" s="68" t="str">
        <f t="shared" ref="B208:B228" si="9">if(isblank(indirect("'Known Spells'!B"&amp;row())),,right(indirect("'Known Spells'!B"&amp;row()),len(indirect("'Known Spells'!B"&amp;row()))-2))</f>
        <v/>
      </c>
      <c r="C208" s="23"/>
      <c r="D208" s="69" t="str">
        <f>IFERROR(__xludf.DUMMYFUNCTION("if(isblank(indirect(""B""&amp;row())),,FILTER(SuperList,'Spell List'!$C$16:$C$392=indirect(""B""&amp;row())))"),"")</f>
        <v/>
      </c>
      <c r="E208" s="16"/>
      <c r="F208" s="70"/>
      <c r="G208" s="16"/>
      <c r="H208" s="70"/>
      <c r="I208" s="16"/>
      <c r="J208" s="71"/>
      <c r="K208" s="16"/>
      <c r="L208" s="71"/>
      <c r="M208" s="16"/>
      <c r="N208" s="71"/>
      <c r="O208" s="16"/>
      <c r="P208" s="71"/>
      <c r="Q208" s="16"/>
      <c r="R208" s="71"/>
      <c r="S208" s="16"/>
      <c r="T208" s="71"/>
      <c r="U208" s="16"/>
      <c r="V208" s="72"/>
      <c r="W208" s="3"/>
      <c r="X208" s="3"/>
      <c r="Y208" s="16"/>
      <c r="Z208" s="73"/>
    </row>
    <row r="209">
      <c r="B209" s="74" t="str">
        <f t="shared" si="9"/>
        <v/>
      </c>
      <c r="C209" s="29"/>
      <c r="D209" s="75" t="str">
        <f>IFERROR(__xludf.DUMMYFUNCTION("if(isblank(indirect(""B""&amp;row())),,FILTER(SuperList,'Spell List'!$C$16:$C$392=indirect(""B""&amp;row())))"),"")</f>
        <v/>
      </c>
      <c r="E209" s="21"/>
      <c r="F209" s="76"/>
      <c r="G209" s="21"/>
      <c r="H209" s="76"/>
      <c r="I209" s="21"/>
      <c r="J209" s="77"/>
      <c r="K209" s="21"/>
      <c r="L209" s="77"/>
      <c r="M209" s="21"/>
      <c r="N209" s="76"/>
      <c r="O209" s="21"/>
      <c r="P209" s="76"/>
      <c r="Q209" s="21"/>
      <c r="R209" s="76"/>
      <c r="S209" s="21"/>
      <c r="T209" s="76"/>
      <c r="U209" s="21"/>
      <c r="V209" s="78"/>
      <c r="W209" s="9"/>
      <c r="X209" s="9"/>
      <c r="Y209" s="21"/>
      <c r="Z209" s="79"/>
    </row>
    <row r="210">
      <c r="B210" s="68" t="str">
        <f t="shared" si="9"/>
        <v/>
      </c>
      <c r="C210" s="35"/>
      <c r="D210" s="69" t="str">
        <f>IFERROR(__xludf.DUMMYFUNCTION("if(isblank(indirect(""B""&amp;row())),,FILTER(SuperList,'Spell List'!$C$16:$C$392=indirect(""B""&amp;row())))"),"")</f>
        <v/>
      </c>
      <c r="E210" s="16"/>
      <c r="F210" s="71"/>
      <c r="G210" s="16"/>
      <c r="H210" s="71"/>
      <c r="I210" s="16"/>
      <c r="J210" s="71"/>
      <c r="K210" s="16"/>
      <c r="L210" s="71"/>
      <c r="M210" s="16"/>
      <c r="N210" s="71"/>
      <c r="O210" s="16"/>
      <c r="P210" s="71"/>
      <c r="Q210" s="16"/>
      <c r="R210" s="71"/>
      <c r="S210" s="16"/>
      <c r="T210" s="71"/>
      <c r="U210" s="16"/>
      <c r="V210" s="72"/>
      <c r="W210" s="3"/>
      <c r="X210" s="3"/>
      <c r="Y210" s="16"/>
      <c r="Z210" s="73"/>
    </row>
    <row r="211">
      <c r="B211" s="74" t="str">
        <f t="shared" si="9"/>
        <v/>
      </c>
      <c r="C211" s="37"/>
      <c r="D211" s="75" t="str">
        <f>IFERROR(__xludf.DUMMYFUNCTION("if(isblank(indirect(""B""&amp;row())),,FILTER(SuperList,'Spell List'!$C$16:$C$392=indirect(""B""&amp;row())))"),"")</f>
        <v/>
      </c>
      <c r="E211" s="21"/>
      <c r="F211" s="77"/>
      <c r="G211" s="21"/>
      <c r="H211" s="77"/>
      <c r="I211" s="21"/>
      <c r="J211" s="77"/>
      <c r="K211" s="21"/>
      <c r="L211" s="77"/>
      <c r="M211" s="21"/>
      <c r="N211" s="77"/>
      <c r="O211" s="21"/>
      <c r="P211" s="77"/>
      <c r="Q211" s="21"/>
      <c r="R211" s="77"/>
      <c r="S211" s="21"/>
      <c r="T211" s="77"/>
      <c r="U211" s="21"/>
      <c r="V211" s="80"/>
      <c r="W211" s="9"/>
      <c r="X211" s="9"/>
      <c r="Y211" s="21"/>
      <c r="Z211" s="79"/>
    </row>
    <row r="212">
      <c r="B212" s="68" t="str">
        <f t="shared" si="9"/>
        <v/>
      </c>
      <c r="C212" s="35"/>
      <c r="D212" s="69" t="str">
        <f>IFERROR(__xludf.DUMMYFUNCTION("if(isblank(indirect(""B""&amp;row())),,FILTER(SuperList,'Spell List'!$C$16:$C$392=indirect(""B""&amp;row())))"),"")</f>
        <v/>
      </c>
      <c r="E212" s="16"/>
      <c r="F212" s="71"/>
      <c r="G212" s="16"/>
      <c r="H212" s="71"/>
      <c r="I212" s="16"/>
      <c r="J212" s="71"/>
      <c r="K212" s="16"/>
      <c r="L212" s="71"/>
      <c r="M212" s="16"/>
      <c r="N212" s="71"/>
      <c r="O212" s="16"/>
      <c r="P212" s="71"/>
      <c r="Q212" s="16"/>
      <c r="R212" s="71"/>
      <c r="S212" s="16"/>
      <c r="T212" s="71"/>
      <c r="U212" s="16"/>
      <c r="V212" s="72"/>
      <c r="W212" s="3"/>
      <c r="X212" s="3"/>
      <c r="Y212" s="16"/>
      <c r="Z212" s="73"/>
    </row>
    <row r="213">
      <c r="B213" s="74" t="str">
        <f t="shared" si="9"/>
        <v/>
      </c>
      <c r="C213" s="37"/>
      <c r="D213" s="75" t="str">
        <f>IFERROR(__xludf.DUMMYFUNCTION("if(isblank(indirect(""B""&amp;row())),,FILTER(SuperList,'Spell List'!$C$16:$C$392=indirect(""B""&amp;row())))"),"")</f>
        <v/>
      </c>
      <c r="E213" s="21"/>
      <c r="F213" s="77"/>
      <c r="G213" s="21"/>
      <c r="H213" s="77"/>
      <c r="I213" s="21"/>
      <c r="J213" s="77"/>
      <c r="K213" s="21"/>
      <c r="L213" s="77"/>
      <c r="M213" s="21"/>
      <c r="N213" s="77"/>
      <c r="O213" s="21"/>
      <c r="P213" s="77"/>
      <c r="Q213" s="21"/>
      <c r="R213" s="77"/>
      <c r="S213" s="21"/>
      <c r="T213" s="77"/>
      <c r="U213" s="21"/>
      <c r="V213" s="80"/>
      <c r="W213" s="9"/>
      <c r="X213" s="9"/>
      <c r="Y213" s="21"/>
      <c r="Z213" s="81"/>
    </row>
    <row r="214">
      <c r="B214" s="68" t="str">
        <f t="shared" si="9"/>
        <v/>
      </c>
      <c r="C214" s="35"/>
      <c r="D214" s="69" t="str">
        <f>IFERROR(__xludf.DUMMYFUNCTION("if(isblank(indirect(""B""&amp;row())),,FILTER(SuperList,'Spell List'!$C$16:$C$392=indirect(""B""&amp;row())))"),"")</f>
        <v/>
      </c>
      <c r="E214" s="16"/>
      <c r="F214" s="71"/>
      <c r="G214" s="16"/>
      <c r="H214" s="71"/>
      <c r="I214" s="16"/>
      <c r="J214" s="71"/>
      <c r="K214" s="16"/>
      <c r="L214" s="71"/>
      <c r="M214" s="16"/>
      <c r="N214" s="70"/>
      <c r="O214" s="16"/>
      <c r="P214" s="71"/>
      <c r="Q214" s="16"/>
      <c r="R214" s="71"/>
      <c r="S214" s="16"/>
      <c r="T214" s="71"/>
      <c r="U214" s="16"/>
      <c r="V214" s="72"/>
      <c r="W214" s="3"/>
      <c r="X214" s="3"/>
      <c r="Y214" s="16"/>
      <c r="Z214" s="82"/>
    </row>
    <row r="215">
      <c r="B215" s="74" t="str">
        <f t="shared" si="9"/>
        <v/>
      </c>
      <c r="C215" s="37"/>
      <c r="D215" s="75" t="str">
        <f>IFERROR(__xludf.DUMMYFUNCTION("if(isblank(indirect(""B""&amp;row())),,FILTER(SuperList,'Spell List'!$C$16:$C$392=indirect(""B""&amp;row())))"),"")</f>
        <v/>
      </c>
      <c r="E215" s="21"/>
      <c r="F215" s="77"/>
      <c r="G215" s="21"/>
      <c r="H215" s="77"/>
      <c r="I215" s="21"/>
      <c r="J215" s="77"/>
      <c r="K215" s="21"/>
      <c r="L215" s="77"/>
      <c r="M215" s="21"/>
      <c r="N215" s="77"/>
      <c r="O215" s="21"/>
      <c r="P215" s="77"/>
      <c r="Q215" s="21"/>
      <c r="R215" s="77"/>
      <c r="S215" s="21"/>
      <c r="T215" s="77"/>
      <c r="U215" s="21"/>
      <c r="V215" s="80"/>
      <c r="W215" s="9"/>
      <c r="X215" s="9"/>
      <c r="Y215" s="21"/>
      <c r="Z215" s="79"/>
    </row>
    <row r="216">
      <c r="B216" s="68" t="str">
        <f t="shared" si="9"/>
        <v/>
      </c>
      <c r="C216" s="35"/>
      <c r="D216" s="69" t="str">
        <f>IFERROR(__xludf.DUMMYFUNCTION("if(isblank(indirect(""B""&amp;row())),,FILTER(SuperList,'Spell List'!$C$16:$C$392=indirect(""B""&amp;row())))"),"")</f>
        <v/>
      </c>
      <c r="E216" s="16"/>
      <c r="F216" s="71"/>
      <c r="G216" s="16"/>
      <c r="H216" s="70"/>
      <c r="I216" s="16"/>
      <c r="J216" s="71"/>
      <c r="K216" s="16"/>
      <c r="L216" s="71"/>
      <c r="M216" s="16"/>
      <c r="N216" s="71"/>
      <c r="O216" s="16"/>
      <c r="P216" s="71"/>
      <c r="Q216" s="16"/>
      <c r="R216" s="71"/>
      <c r="S216" s="16"/>
      <c r="T216" s="71"/>
      <c r="U216" s="16"/>
      <c r="V216" s="72"/>
      <c r="W216" s="3"/>
      <c r="X216" s="3"/>
      <c r="Y216" s="16"/>
      <c r="Z216" s="73"/>
    </row>
    <row r="217">
      <c r="B217" s="74" t="str">
        <f t="shared" si="9"/>
        <v/>
      </c>
      <c r="C217" s="29"/>
      <c r="D217" s="75" t="str">
        <f>IFERROR(__xludf.DUMMYFUNCTION("if(isblank(indirect(""B""&amp;row())),,FILTER(SuperList,'Spell List'!$C$16:$C$392=indirect(""B""&amp;row())))"),"")</f>
        <v/>
      </c>
      <c r="E217" s="21"/>
      <c r="F217" s="77"/>
      <c r="G217" s="21"/>
      <c r="H217" s="76"/>
      <c r="I217" s="21"/>
      <c r="J217" s="77"/>
      <c r="K217" s="21"/>
      <c r="L217" s="77"/>
      <c r="M217" s="21"/>
      <c r="N217" s="76"/>
      <c r="O217" s="21"/>
      <c r="P217" s="76"/>
      <c r="Q217" s="21"/>
      <c r="R217" s="77"/>
      <c r="S217" s="21"/>
      <c r="T217" s="76"/>
      <c r="U217" s="21"/>
      <c r="V217" s="78"/>
      <c r="W217" s="9"/>
      <c r="X217" s="9"/>
      <c r="Y217" s="21"/>
      <c r="Z217" s="79"/>
    </row>
    <row r="218">
      <c r="B218" s="68" t="str">
        <f t="shared" si="9"/>
        <v/>
      </c>
      <c r="C218" s="35"/>
      <c r="D218" s="69" t="str">
        <f>IFERROR(__xludf.DUMMYFUNCTION("if(isblank(indirect(""B""&amp;row())),,FILTER(SuperList,'Spell List'!$C$16:$C$392=indirect(""B""&amp;row())))"),"")</f>
        <v/>
      </c>
      <c r="E218" s="16"/>
      <c r="F218" s="71"/>
      <c r="G218" s="16"/>
      <c r="H218" s="71"/>
      <c r="I218" s="16"/>
      <c r="J218" s="71"/>
      <c r="K218" s="16"/>
      <c r="L218" s="71"/>
      <c r="M218" s="16"/>
      <c r="N218" s="71"/>
      <c r="O218" s="16"/>
      <c r="P218" s="71"/>
      <c r="Q218" s="16"/>
      <c r="R218" s="71"/>
      <c r="S218" s="16"/>
      <c r="T218" s="71"/>
      <c r="U218" s="16"/>
      <c r="V218" s="72"/>
      <c r="W218" s="3"/>
      <c r="X218" s="3"/>
      <c r="Y218" s="16"/>
      <c r="Z218" s="82"/>
    </row>
    <row r="219">
      <c r="B219" s="74" t="str">
        <f t="shared" si="9"/>
        <v/>
      </c>
      <c r="C219" s="29"/>
      <c r="D219" s="75" t="str">
        <f>IFERROR(__xludf.DUMMYFUNCTION("if(isblank(indirect(""B""&amp;row())),,FILTER(SuperList,'Spell List'!$C$16:$C$392=indirect(""B""&amp;row())))"),"")</f>
        <v/>
      </c>
      <c r="E219" s="21"/>
      <c r="F219" s="76"/>
      <c r="G219" s="21"/>
      <c r="H219" s="76"/>
      <c r="I219" s="21"/>
      <c r="J219" s="77"/>
      <c r="K219" s="21"/>
      <c r="L219" s="77"/>
      <c r="M219" s="21"/>
      <c r="N219" s="76"/>
      <c r="O219" s="21"/>
      <c r="P219" s="76"/>
      <c r="Q219" s="21"/>
      <c r="R219" s="76"/>
      <c r="S219" s="21"/>
      <c r="T219" s="76"/>
      <c r="U219" s="21"/>
      <c r="V219" s="78"/>
      <c r="W219" s="9"/>
      <c r="X219" s="9"/>
      <c r="Y219" s="21"/>
      <c r="Z219" s="81"/>
    </row>
    <row r="220">
      <c r="B220" s="68" t="str">
        <f t="shared" si="9"/>
        <v/>
      </c>
      <c r="C220" s="41"/>
      <c r="D220" s="69" t="str">
        <f>IFERROR(__xludf.DUMMYFUNCTION("if(isblank(indirect(""B""&amp;row())),,FILTER(SuperList,'Spell List'!$C$16:$C$392=indirect(""B""&amp;row())))"),"")</f>
        <v/>
      </c>
      <c r="E220" s="16"/>
      <c r="F220" s="70"/>
      <c r="G220" s="16"/>
      <c r="H220" s="70"/>
      <c r="I220" s="16"/>
      <c r="J220" s="71"/>
      <c r="K220" s="16"/>
      <c r="L220" s="70"/>
      <c r="M220" s="16"/>
      <c r="N220" s="70"/>
      <c r="O220" s="16"/>
      <c r="P220" s="70"/>
      <c r="Q220" s="16"/>
      <c r="R220" s="70"/>
      <c r="S220" s="16"/>
      <c r="T220" s="70"/>
      <c r="U220" s="16"/>
      <c r="V220" s="83"/>
      <c r="W220" s="3"/>
      <c r="X220" s="3"/>
      <c r="Y220" s="16"/>
      <c r="Z220" s="82"/>
    </row>
    <row r="221">
      <c r="B221" s="74" t="str">
        <f t="shared" si="9"/>
        <v/>
      </c>
      <c r="C221" s="37"/>
      <c r="D221" s="75" t="str">
        <f>IFERROR(__xludf.DUMMYFUNCTION("if(isblank(indirect(""B""&amp;row())),,FILTER(SuperList,'Spell List'!$C$16:$C$392=indirect(""B""&amp;row())))"),"")</f>
        <v/>
      </c>
      <c r="E221" s="21"/>
      <c r="F221" s="77"/>
      <c r="G221" s="21"/>
      <c r="H221" s="77"/>
      <c r="I221" s="21"/>
      <c r="J221" s="77"/>
      <c r="K221" s="21"/>
      <c r="L221" s="77"/>
      <c r="M221" s="21"/>
      <c r="N221" s="77"/>
      <c r="O221" s="21"/>
      <c r="P221" s="77"/>
      <c r="Q221" s="21"/>
      <c r="R221" s="77"/>
      <c r="S221" s="21"/>
      <c r="T221" s="77"/>
      <c r="U221" s="21"/>
      <c r="V221" s="78"/>
      <c r="W221" s="9"/>
      <c r="X221" s="9"/>
      <c r="Y221" s="21"/>
      <c r="Z221" s="81"/>
    </row>
    <row r="222">
      <c r="B222" s="68" t="str">
        <f t="shared" si="9"/>
        <v/>
      </c>
      <c r="C222" s="35"/>
      <c r="D222" s="69" t="str">
        <f>IFERROR(__xludf.DUMMYFUNCTION("if(isblank(indirect(""B""&amp;row())),,FILTER(SuperList,'Spell List'!$C$16:$C$392=indirect(""B""&amp;row())))"),"")</f>
        <v/>
      </c>
      <c r="E222" s="16"/>
      <c r="F222" s="71"/>
      <c r="G222" s="16"/>
      <c r="H222" s="71"/>
      <c r="I222" s="16"/>
      <c r="J222" s="71"/>
      <c r="K222" s="16"/>
      <c r="L222" s="71"/>
      <c r="M222" s="16"/>
      <c r="N222" s="71"/>
      <c r="O222" s="16"/>
      <c r="P222" s="71"/>
      <c r="Q222" s="16"/>
      <c r="R222" s="71"/>
      <c r="S222" s="16"/>
      <c r="T222" s="71"/>
      <c r="U222" s="16"/>
      <c r="V222" s="72"/>
      <c r="W222" s="3"/>
      <c r="X222" s="3"/>
      <c r="Y222" s="16"/>
      <c r="Z222" s="73"/>
    </row>
    <row r="223">
      <c r="B223" s="74" t="str">
        <f t="shared" si="9"/>
        <v/>
      </c>
      <c r="C223" s="37"/>
      <c r="D223" s="75" t="str">
        <f>IFERROR(__xludf.DUMMYFUNCTION("if(isblank(indirect(""B""&amp;row())),,FILTER(SuperList,'Spell List'!$C$16:$C$392=indirect(""B""&amp;row())))"),"")</f>
        <v/>
      </c>
      <c r="E223" s="21"/>
      <c r="F223" s="77"/>
      <c r="G223" s="21"/>
      <c r="H223" s="77"/>
      <c r="I223" s="21"/>
      <c r="J223" s="77"/>
      <c r="K223" s="21"/>
      <c r="L223" s="77"/>
      <c r="M223" s="21"/>
      <c r="N223" s="77"/>
      <c r="O223" s="21"/>
      <c r="P223" s="77"/>
      <c r="Q223" s="21"/>
      <c r="R223" s="77"/>
      <c r="S223" s="21"/>
      <c r="T223" s="77"/>
      <c r="U223" s="21"/>
      <c r="V223" s="80"/>
      <c r="W223" s="9"/>
      <c r="X223" s="9"/>
      <c r="Y223" s="21"/>
      <c r="Z223" s="81"/>
    </row>
    <row r="224">
      <c r="B224" s="68" t="str">
        <f t="shared" si="9"/>
        <v/>
      </c>
      <c r="C224" s="35"/>
      <c r="D224" s="69" t="str">
        <f>IFERROR(__xludf.DUMMYFUNCTION("if(isblank(indirect(""B""&amp;row())),,FILTER(SuperList,'Spell List'!$C$16:$C$392=indirect(""B""&amp;row())))"),"")</f>
        <v/>
      </c>
      <c r="E224" s="16"/>
      <c r="F224" s="71"/>
      <c r="G224" s="16"/>
      <c r="H224" s="71"/>
      <c r="I224" s="16"/>
      <c r="J224" s="71"/>
      <c r="K224" s="16"/>
      <c r="L224" s="71"/>
      <c r="M224" s="16"/>
      <c r="N224" s="70"/>
      <c r="O224" s="16"/>
      <c r="P224" s="71"/>
      <c r="Q224" s="16"/>
      <c r="R224" s="71"/>
      <c r="S224" s="16"/>
      <c r="T224" s="71"/>
      <c r="U224" s="16"/>
      <c r="V224" s="72"/>
      <c r="W224" s="3"/>
      <c r="X224" s="3"/>
      <c r="Y224" s="16"/>
      <c r="Z224" s="84"/>
    </row>
    <row r="225">
      <c r="B225" s="74" t="str">
        <f t="shared" si="9"/>
        <v/>
      </c>
      <c r="C225" s="29"/>
      <c r="D225" s="75" t="str">
        <f>IFERROR(__xludf.DUMMYFUNCTION("if(isblank(indirect(""B""&amp;row())),,FILTER(SuperList,'Spell List'!$C$16:$C$392=indirect(""B""&amp;row())))"),"")</f>
        <v/>
      </c>
      <c r="E225" s="21"/>
      <c r="F225" s="77"/>
      <c r="G225" s="21"/>
      <c r="H225" s="77"/>
      <c r="I225" s="21"/>
      <c r="J225" s="77"/>
      <c r="K225" s="21"/>
      <c r="L225" s="76"/>
      <c r="M225" s="21"/>
      <c r="N225" s="76"/>
      <c r="O225" s="21"/>
      <c r="P225" s="76"/>
      <c r="Q225" s="21"/>
      <c r="R225" s="76"/>
      <c r="S225" s="21"/>
      <c r="T225" s="77"/>
      <c r="U225" s="21"/>
      <c r="V225" s="78"/>
      <c r="W225" s="9"/>
      <c r="X225" s="9"/>
      <c r="Y225" s="21"/>
      <c r="Z225" s="81"/>
    </row>
    <row r="226">
      <c r="B226" s="68" t="str">
        <f t="shared" si="9"/>
        <v/>
      </c>
      <c r="C226" s="35"/>
      <c r="D226" s="69" t="str">
        <f>IFERROR(__xludf.DUMMYFUNCTION("if(isblank(indirect(""B""&amp;row())),,FILTER(SuperList,'Spell List'!$C$16:$C$392=indirect(""B""&amp;row())))"),"")</f>
        <v/>
      </c>
      <c r="E226" s="16"/>
      <c r="F226" s="71"/>
      <c r="G226" s="16"/>
      <c r="H226" s="71"/>
      <c r="I226" s="16"/>
      <c r="J226" s="71"/>
      <c r="K226" s="16"/>
      <c r="L226" s="71"/>
      <c r="M226" s="16"/>
      <c r="N226" s="71"/>
      <c r="O226" s="16"/>
      <c r="P226" s="71"/>
      <c r="Q226" s="16"/>
      <c r="R226" s="71"/>
      <c r="S226" s="16"/>
      <c r="T226" s="71"/>
      <c r="U226" s="16"/>
      <c r="V226" s="72"/>
      <c r="W226" s="3"/>
      <c r="X226" s="3"/>
      <c r="Y226" s="16"/>
      <c r="Z226" s="82"/>
    </row>
    <row r="227">
      <c r="B227" s="74" t="str">
        <f t="shared" si="9"/>
        <v/>
      </c>
      <c r="C227" s="29"/>
      <c r="D227" s="75" t="str">
        <f>IFERROR(__xludf.DUMMYFUNCTION("if(isblank(indirect(""B""&amp;row())),,FILTER(SuperList,'Spell List'!$C$16:$C$392=indirect(""B""&amp;row())))"),"")</f>
        <v/>
      </c>
      <c r="E227" s="21"/>
      <c r="F227" s="77"/>
      <c r="G227" s="21"/>
      <c r="H227" s="77"/>
      <c r="I227" s="21"/>
      <c r="J227" s="77"/>
      <c r="K227" s="21"/>
      <c r="L227" s="76"/>
      <c r="M227" s="21"/>
      <c r="N227" s="76"/>
      <c r="O227" s="21"/>
      <c r="P227" s="76"/>
      <c r="Q227" s="21"/>
      <c r="R227" s="76"/>
      <c r="S227" s="21"/>
      <c r="T227" s="77"/>
      <c r="U227" s="21"/>
      <c r="V227" s="78"/>
      <c r="W227" s="9"/>
      <c r="X227" s="9"/>
      <c r="Y227" s="21"/>
      <c r="Z227" s="81"/>
    </row>
    <row r="228">
      <c r="B228" s="68" t="str">
        <f t="shared" si="9"/>
        <v/>
      </c>
      <c r="C228" s="35"/>
      <c r="D228" s="69" t="str">
        <f>IFERROR(__xludf.DUMMYFUNCTION("if(isblank(indirect(""B""&amp;row())),,FILTER(SuperList,'Spell List'!$C$16:$C$392=indirect(""B""&amp;row())))"),"")</f>
        <v/>
      </c>
      <c r="E228" s="16"/>
      <c r="F228" s="71"/>
      <c r="G228" s="16"/>
      <c r="H228" s="71"/>
      <c r="I228" s="16"/>
      <c r="J228" s="71"/>
      <c r="K228" s="16"/>
      <c r="L228" s="71"/>
      <c r="M228" s="16"/>
      <c r="N228" s="71"/>
      <c r="O228" s="16"/>
      <c r="P228" s="71"/>
      <c r="Q228" s="16"/>
      <c r="R228" s="71"/>
      <c r="S228" s="16"/>
      <c r="T228" s="71"/>
      <c r="U228" s="16"/>
      <c r="V228" s="72"/>
      <c r="W228" s="3"/>
      <c r="X228" s="3"/>
      <c r="Y228" s="16"/>
      <c r="Z228" s="82"/>
    </row>
    <row r="230">
      <c r="B230" s="65" t="s">
        <v>12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16"/>
    </row>
    <row r="231">
      <c r="B231" s="66" t="s">
        <v>14</v>
      </c>
      <c r="C231" s="66"/>
      <c r="D231" s="67" t="s">
        <v>16</v>
      </c>
      <c r="E231" s="21"/>
      <c r="F231" s="67" t="s">
        <v>17</v>
      </c>
      <c r="G231" s="21"/>
      <c r="H231" s="67" t="s">
        <v>18</v>
      </c>
      <c r="I231" s="21"/>
      <c r="J231" s="67" t="s">
        <v>19</v>
      </c>
      <c r="K231" s="21"/>
      <c r="L231" s="67" t="s">
        <v>20</v>
      </c>
      <c r="M231" s="21"/>
      <c r="N231" s="67" t="s">
        <v>21</v>
      </c>
      <c r="O231" s="21"/>
      <c r="P231" s="67" t="s">
        <v>22</v>
      </c>
      <c r="Q231" s="21"/>
      <c r="R231" s="67" t="s">
        <v>23</v>
      </c>
      <c r="S231" s="21"/>
      <c r="T231" s="67" t="s">
        <v>24</v>
      </c>
      <c r="U231" s="21"/>
      <c r="V231" s="67" t="s">
        <v>25</v>
      </c>
      <c r="W231" s="9"/>
      <c r="X231" s="9"/>
      <c r="Y231" s="21"/>
      <c r="Z231" s="66" t="s">
        <v>26</v>
      </c>
    </row>
    <row r="232">
      <c r="B232" s="68" t="str">
        <f t="shared" ref="B232:B252" si="10">if(isblank(indirect("'Known Spells'!B"&amp;row())),,right(indirect("'Known Spells'!B"&amp;row()),len(indirect("'Known Spells'!B"&amp;row()))-2))</f>
        <v/>
      </c>
      <c r="C232" s="23"/>
      <c r="D232" s="69" t="str">
        <f>IFERROR(__xludf.DUMMYFUNCTION("if(isblank(indirect(""B""&amp;row())),,FILTER(SuperList,'Spell List'!$C$16:$C$392=indirect(""B""&amp;row())))"),"")</f>
        <v/>
      </c>
      <c r="E232" s="16"/>
      <c r="F232" s="70"/>
      <c r="G232" s="16"/>
      <c r="H232" s="70"/>
      <c r="I232" s="16"/>
      <c r="J232" s="71"/>
      <c r="K232" s="16"/>
      <c r="L232" s="71"/>
      <c r="M232" s="16"/>
      <c r="N232" s="71"/>
      <c r="O232" s="16"/>
      <c r="P232" s="71"/>
      <c r="Q232" s="16"/>
      <c r="R232" s="71"/>
      <c r="S232" s="16"/>
      <c r="T232" s="71"/>
      <c r="U232" s="16"/>
      <c r="V232" s="72"/>
      <c r="W232" s="3"/>
      <c r="X232" s="3"/>
      <c r="Y232" s="16"/>
      <c r="Z232" s="73"/>
    </row>
    <row r="233">
      <c r="B233" s="74" t="str">
        <f t="shared" si="10"/>
        <v/>
      </c>
      <c r="C233" s="29"/>
      <c r="D233" s="75" t="str">
        <f>IFERROR(__xludf.DUMMYFUNCTION("if(isblank(indirect(""B""&amp;row())),,FILTER(SuperList,'Spell List'!$C$16:$C$392=indirect(""B""&amp;row())))"),"")</f>
        <v/>
      </c>
      <c r="E233" s="21"/>
      <c r="F233" s="76"/>
      <c r="G233" s="21"/>
      <c r="H233" s="76"/>
      <c r="I233" s="21"/>
      <c r="J233" s="77"/>
      <c r="K233" s="21"/>
      <c r="L233" s="77"/>
      <c r="M233" s="21"/>
      <c r="N233" s="76"/>
      <c r="O233" s="21"/>
      <c r="P233" s="76"/>
      <c r="Q233" s="21"/>
      <c r="R233" s="76"/>
      <c r="S233" s="21"/>
      <c r="T233" s="76"/>
      <c r="U233" s="21"/>
      <c r="V233" s="78"/>
      <c r="W233" s="9"/>
      <c r="X233" s="9"/>
      <c r="Y233" s="21"/>
      <c r="Z233" s="79"/>
    </row>
    <row r="234">
      <c r="B234" s="68" t="str">
        <f t="shared" si="10"/>
        <v/>
      </c>
      <c r="C234" s="35"/>
      <c r="D234" s="69" t="str">
        <f>IFERROR(__xludf.DUMMYFUNCTION("if(isblank(indirect(""B""&amp;row())),,FILTER(SuperList,'Spell List'!$C$16:$C$392=indirect(""B""&amp;row())))"),"")</f>
        <v/>
      </c>
      <c r="E234" s="16"/>
      <c r="F234" s="71"/>
      <c r="G234" s="16"/>
      <c r="H234" s="71"/>
      <c r="I234" s="16"/>
      <c r="J234" s="71"/>
      <c r="K234" s="16"/>
      <c r="L234" s="71"/>
      <c r="M234" s="16"/>
      <c r="N234" s="71"/>
      <c r="O234" s="16"/>
      <c r="P234" s="71"/>
      <c r="Q234" s="16"/>
      <c r="R234" s="71"/>
      <c r="S234" s="16"/>
      <c r="T234" s="71"/>
      <c r="U234" s="16"/>
      <c r="V234" s="72"/>
      <c r="W234" s="3"/>
      <c r="X234" s="3"/>
      <c r="Y234" s="16"/>
      <c r="Z234" s="73"/>
    </row>
    <row r="235">
      <c r="B235" s="74" t="str">
        <f t="shared" si="10"/>
        <v/>
      </c>
      <c r="C235" s="37"/>
      <c r="D235" s="75" t="str">
        <f>IFERROR(__xludf.DUMMYFUNCTION("if(isblank(indirect(""B""&amp;row())),,FILTER(SuperList,'Spell List'!$C$16:$C$392=indirect(""B""&amp;row())))"),"")</f>
        <v/>
      </c>
      <c r="E235" s="21"/>
      <c r="F235" s="77"/>
      <c r="G235" s="21"/>
      <c r="H235" s="77"/>
      <c r="I235" s="21"/>
      <c r="J235" s="77"/>
      <c r="K235" s="21"/>
      <c r="L235" s="77"/>
      <c r="M235" s="21"/>
      <c r="N235" s="77"/>
      <c r="O235" s="21"/>
      <c r="P235" s="77"/>
      <c r="Q235" s="21"/>
      <c r="R235" s="77"/>
      <c r="S235" s="21"/>
      <c r="T235" s="77"/>
      <c r="U235" s="21"/>
      <c r="V235" s="80"/>
      <c r="W235" s="9"/>
      <c r="X235" s="9"/>
      <c r="Y235" s="21"/>
      <c r="Z235" s="79"/>
    </row>
    <row r="236">
      <c r="B236" s="68" t="str">
        <f t="shared" si="10"/>
        <v/>
      </c>
      <c r="C236" s="35"/>
      <c r="D236" s="69" t="str">
        <f>IFERROR(__xludf.DUMMYFUNCTION("if(isblank(indirect(""B""&amp;row())),,FILTER(SuperList,'Spell List'!$C$16:$C$392=indirect(""B""&amp;row())))"),"")</f>
        <v/>
      </c>
      <c r="E236" s="16"/>
      <c r="F236" s="71"/>
      <c r="G236" s="16"/>
      <c r="H236" s="71"/>
      <c r="I236" s="16"/>
      <c r="J236" s="71"/>
      <c r="K236" s="16"/>
      <c r="L236" s="71"/>
      <c r="M236" s="16"/>
      <c r="N236" s="71"/>
      <c r="O236" s="16"/>
      <c r="P236" s="71"/>
      <c r="Q236" s="16"/>
      <c r="R236" s="71"/>
      <c r="S236" s="16"/>
      <c r="T236" s="71"/>
      <c r="U236" s="16"/>
      <c r="V236" s="72"/>
      <c r="W236" s="3"/>
      <c r="X236" s="3"/>
      <c r="Y236" s="16"/>
      <c r="Z236" s="73"/>
    </row>
    <row r="237">
      <c r="B237" s="74" t="str">
        <f t="shared" si="10"/>
        <v/>
      </c>
      <c r="C237" s="37"/>
      <c r="D237" s="75" t="str">
        <f>IFERROR(__xludf.DUMMYFUNCTION("if(isblank(indirect(""B""&amp;row())),,FILTER(SuperList,'Spell List'!$C$16:$C$392=indirect(""B""&amp;row())))"),"")</f>
        <v/>
      </c>
      <c r="E237" s="21"/>
      <c r="F237" s="77"/>
      <c r="G237" s="21"/>
      <c r="H237" s="77"/>
      <c r="I237" s="21"/>
      <c r="J237" s="77"/>
      <c r="K237" s="21"/>
      <c r="L237" s="77"/>
      <c r="M237" s="21"/>
      <c r="N237" s="77"/>
      <c r="O237" s="21"/>
      <c r="P237" s="77"/>
      <c r="Q237" s="21"/>
      <c r="R237" s="77"/>
      <c r="S237" s="21"/>
      <c r="T237" s="77"/>
      <c r="U237" s="21"/>
      <c r="V237" s="80"/>
      <c r="W237" s="9"/>
      <c r="X237" s="9"/>
      <c r="Y237" s="21"/>
      <c r="Z237" s="81"/>
    </row>
    <row r="238">
      <c r="B238" s="68" t="str">
        <f t="shared" si="10"/>
        <v/>
      </c>
      <c r="C238" s="35"/>
      <c r="D238" s="69" t="str">
        <f>IFERROR(__xludf.DUMMYFUNCTION("if(isblank(indirect(""B""&amp;row())),,FILTER(SuperList,'Spell List'!$C$16:$C$392=indirect(""B""&amp;row())))"),"")</f>
        <v/>
      </c>
      <c r="E238" s="16"/>
      <c r="F238" s="71"/>
      <c r="G238" s="16"/>
      <c r="H238" s="71"/>
      <c r="I238" s="16"/>
      <c r="J238" s="71"/>
      <c r="K238" s="16"/>
      <c r="L238" s="71"/>
      <c r="M238" s="16"/>
      <c r="N238" s="70"/>
      <c r="O238" s="16"/>
      <c r="P238" s="71"/>
      <c r="Q238" s="16"/>
      <c r="R238" s="71"/>
      <c r="S238" s="16"/>
      <c r="T238" s="71"/>
      <c r="U238" s="16"/>
      <c r="V238" s="72"/>
      <c r="W238" s="3"/>
      <c r="X238" s="3"/>
      <c r="Y238" s="16"/>
      <c r="Z238" s="82"/>
    </row>
    <row r="239">
      <c r="B239" s="74" t="str">
        <f t="shared" si="10"/>
        <v/>
      </c>
      <c r="C239" s="37"/>
      <c r="D239" s="75" t="str">
        <f>IFERROR(__xludf.DUMMYFUNCTION("if(isblank(indirect(""B""&amp;row())),,FILTER(SuperList,'Spell List'!$C$16:$C$392=indirect(""B""&amp;row())))"),"")</f>
        <v/>
      </c>
      <c r="E239" s="21"/>
      <c r="F239" s="77"/>
      <c r="G239" s="21"/>
      <c r="H239" s="77"/>
      <c r="I239" s="21"/>
      <c r="J239" s="77"/>
      <c r="K239" s="21"/>
      <c r="L239" s="77"/>
      <c r="M239" s="21"/>
      <c r="N239" s="77"/>
      <c r="O239" s="21"/>
      <c r="P239" s="77"/>
      <c r="Q239" s="21"/>
      <c r="R239" s="77"/>
      <c r="S239" s="21"/>
      <c r="T239" s="77"/>
      <c r="U239" s="21"/>
      <c r="V239" s="80"/>
      <c r="W239" s="9"/>
      <c r="X239" s="9"/>
      <c r="Y239" s="21"/>
      <c r="Z239" s="79"/>
    </row>
    <row r="240">
      <c r="B240" s="68" t="str">
        <f t="shared" si="10"/>
        <v/>
      </c>
      <c r="C240" s="35"/>
      <c r="D240" s="69" t="str">
        <f>IFERROR(__xludf.DUMMYFUNCTION("if(isblank(indirect(""B""&amp;row())),,FILTER(SuperList,'Spell List'!$C$16:$C$392=indirect(""B""&amp;row())))"),"")</f>
        <v/>
      </c>
      <c r="E240" s="16"/>
      <c r="F240" s="71"/>
      <c r="G240" s="16"/>
      <c r="H240" s="70"/>
      <c r="I240" s="16"/>
      <c r="J240" s="71"/>
      <c r="K240" s="16"/>
      <c r="L240" s="71"/>
      <c r="M240" s="16"/>
      <c r="N240" s="71"/>
      <c r="O240" s="16"/>
      <c r="P240" s="71"/>
      <c r="Q240" s="16"/>
      <c r="R240" s="71"/>
      <c r="S240" s="16"/>
      <c r="T240" s="71"/>
      <c r="U240" s="16"/>
      <c r="V240" s="72"/>
      <c r="W240" s="3"/>
      <c r="X240" s="3"/>
      <c r="Y240" s="16"/>
      <c r="Z240" s="73"/>
    </row>
    <row r="241">
      <c r="B241" s="74" t="str">
        <f t="shared" si="10"/>
        <v/>
      </c>
      <c r="C241" s="29"/>
      <c r="D241" s="75" t="str">
        <f>IFERROR(__xludf.DUMMYFUNCTION("if(isblank(indirect(""B""&amp;row())),,FILTER(SuperList,'Spell List'!$C$16:$C$392=indirect(""B""&amp;row())))"),"")</f>
        <v/>
      </c>
      <c r="E241" s="21"/>
      <c r="F241" s="77"/>
      <c r="G241" s="21"/>
      <c r="H241" s="76"/>
      <c r="I241" s="21"/>
      <c r="J241" s="77"/>
      <c r="K241" s="21"/>
      <c r="L241" s="77"/>
      <c r="M241" s="21"/>
      <c r="N241" s="76"/>
      <c r="O241" s="21"/>
      <c r="P241" s="76"/>
      <c r="Q241" s="21"/>
      <c r="R241" s="77"/>
      <c r="S241" s="21"/>
      <c r="T241" s="76"/>
      <c r="U241" s="21"/>
      <c r="V241" s="78"/>
      <c r="W241" s="9"/>
      <c r="X241" s="9"/>
      <c r="Y241" s="21"/>
      <c r="Z241" s="79"/>
    </row>
    <row r="242">
      <c r="B242" s="68" t="str">
        <f t="shared" si="10"/>
        <v/>
      </c>
      <c r="C242" s="35"/>
      <c r="D242" s="69" t="str">
        <f>IFERROR(__xludf.DUMMYFUNCTION("if(isblank(indirect(""B""&amp;row())),,FILTER(SuperList,'Spell List'!$C$16:$C$392=indirect(""B""&amp;row())))"),"")</f>
        <v/>
      </c>
      <c r="E242" s="16"/>
      <c r="F242" s="71"/>
      <c r="G242" s="16"/>
      <c r="H242" s="71"/>
      <c r="I242" s="16"/>
      <c r="J242" s="71"/>
      <c r="K242" s="16"/>
      <c r="L242" s="71"/>
      <c r="M242" s="16"/>
      <c r="N242" s="71"/>
      <c r="O242" s="16"/>
      <c r="P242" s="71"/>
      <c r="Q242" s="16"/>
      <c r="R242" s="71"/>
      <c r="S242" s="16"/>
      <c r="T242" s="71"/>
      <c r="U242" s="16"/>
      <c r="V242" s="72"/>
      <c r="W242" s="3"/>
      <c r="X242" s="3"/>
      <c r="Y242" s="16"/>
      <c r="Z242" s="82"/>
    </row>
    <row r="243">
      <c r="B243" s="74" t="str">
        <f t="shared" si="10"/>
        <v/>
      </c>
      <c r="C243" s="29"/>
      <c r="D243" s="75" t="str">
        <f>IFERROR(__xludf.DUMMYFUNCTION("if(isblank(indirect(""B""&amp;row())),,FILTER(SuperList,'Spell List'!$C$16:$C$392=indirect(""B""&amp;row())))"),"")</f>
        <v/>
      </c>
      <c r="E243" s="21"/>
      <c r="F243" s="76"/>
      <c r="G243" s="21"/>
      <c r="H243" s="76"/>
      <c r="I243" s="21"/>
      <c r="J243" s="77"/>
      <c r="K243" s="21"/>
      <c r="L243" s="77"/>
      <c r="M243" s="21"/>
      <c r="N243" s="76"/>
      <c r="O243" s="21"/>
      <c r="P243" s="76"/>
      <c r="Q243" s="21"/>
      <c r="R243" s="76"/>
      <c r="S243" s="21"/>
      <c r="T243" s="76"/>
      <c r="U243" s="21"/>
      <c r="V243" s="78"/>
      <c r="W243" s="9"/>
      <c r="X243" s="9"/>
      <c r="Y243" s="21"/>
      <c r="Z243" s="81"/>
    </row>
    <row r="244">
      <c r="B244" s="68" t="str">
        <f t="shared" si="10"/>
        <v/>
      </c>
      <c r="C244" s="41"/>
      <c r="D244" s="69" t="str">
        <f>IFERROR(__xludf.DUMMYFUNCTION("if(isblank(indirect(""B""&amp;row())),,FILTER(SuperList,'Spell List'!$C$16:$C$392=indirect(""B""&amp;row())))"),"")</f>
        <v/>
      </c>
      <c r="E244" s="16"/>
      <c r="F244" s="70"/>
      <c r="G244" s="16"/>
      <c r="H244" s="70"/>
      <c r="I244" s="16"/>
      <c r="J244" s="71"/>
      <c r="K244" s="16"/>
      <c r="L244" s="70"/>
      <c r="M244" s="16"/>
      <c r="N244" s="70"/>
      <c r="O244" s="16"/>
      <c r="P244" s="70"/>
      <c r="Q244" s="16"/>
      <c r="R244" s="70"/>
      <c r="S244" s="16"/>
      <c r="T244" s="70"/>
      <c r="U244" s="16"/>
      <c r="V244" s="83"/>
      <c r="W244" s="3"/>
      <c r="X244" s="3"/>
      <c r="Y244" s="16"/>
      <c r="Z244" s="82"/>
    </row>
    <row r="245">
      <c r="B245" s="74" t="str">
        <f t="shared" si="10"/>
        <v/>
      </c>
      <c r="C245" s="37"/>
      <c r="D245" s="75" t="str">
        <f>IFERROR(__xludf.DUMMYFUNCTION("if(isblank(indirect(""B""&amp;row())),,FILTER(SuperList,'Spell List'!$C$16:$C$392=indirect(""B""&amp;row())))"),"")</f>
        <v/>
      </c>
      <c r="E245" s="21"/>
      <c r="F245" s="77"/>
      <c r="G245" s="21"/>
      <c r="H245" s="77"/>
      <c r="I245" s="21"/>
      <c r="J245" s="77"/>
      <c r="K245" s="21"/>
      <c r="L245" s="77"/>
      <c r="M245" s="21"/>
      <c r="N245" s="77"/>
      <c r="O245" s="21"/>
      <c r="P245" s="77"/>
      <c r="Q245" s="21"/>
      <c r="R245" s="77"/>
      <c r="S245" s="21"/>
      <c r="T245" s="77"/>
      <c r="U245" s="21"/>
      <c r="V245" s="78"/>
      <c r="W245" s="9"/>
      <c r="X245" s="9"/>
      <c r="Y245" s="21"/>
      <c r="Z245" s="81"/>
    </row>
    <row r="246">
      <c r="B246" s="68" t="str">
        <f t="shared" si="10"/>
        <v/>
      </c>
      <c r="C246" s="35"/>
      <c r="D246" s="69" t="str">
        <f>IFERROR(__xludf.DUMMYFUNCTION("if(isblank(indirect(""B""&amp;row())),,FILTER(SuperList,'Spell List'!$C$16:$C$392=indirect(""B""&amp;row())))"),"")</f>
        <v/>
      </c>
      <c r="E246" s="16"/>
      <c r="F246" s="71"/>
      <c r="G246" s="16"/>
      <c r="H246" s="71"/>
      <c r="I246" s="16"/>
      <c r="J246" s="71"/>
      <c r="K246" s="16"/>
      <c r="L246" s="71"/>
      <c r="M246" s="16"/>
      <c r="N246" s="71"/>
      <c r="O246" s="16"/>
      <c r="P246" s="71"/>
      <c r="Q246" s="16"/>
      <c r="R246" s="71"/>
      <c r="S246" s="16"/>
      <c r="T246" s="71"/>
      <c r="U246" s="16"/>
      <c r="V246" s="72"/>
      <c r="W246" s="3"/>
      <c r="X246" s="3"/>
      <c r="Y246" s="16"/>
      <c r="Z246" s="73"/>
    </row>
    <row r="247">
      <c r="B247" s="74" t="str">
        <f t="shared" si="10"/>
        <v/>
      </c>
      <c r="C247" s="37"/>
      <c r="D247" s="75" t="str">
        <f>IFERROR(__xludf.DUMMYFUNCTION("if(isblank(indirect(""B""&amp;row())),,FILTER(SuperList,'Spell List'!$C$16:$C$392=indirect(""B""&amp;row())))"),"")</f>
        <v/>
      </c>
      <c r="E247" s="21"/>
      <c r="F247" s="77"/>
      <c r="G247" s="21"/>
      <c r="H247" s="77"/>
      <c r="I247" s="21"/>
      <c r="J247" s="77"/>
      <c r="K247" s="21"/>
      <c r="L247" s="77"/>
      <c r="M247" s="21"/>
      <c r="N247" s="77"/>
      <c r="O247" s="21"/>
      <c r="P247" s="77"/>
      <c r="Q247" s="21"/>
      <c r="R247" s="77"/>
      <c r="S247" s="21"/>
      <c r="T247" s="77"/>
      <c r="U247" s="21"/>
      <c r="V247" s="80"/>
      <c r="W247" s="9"/>
      <c r="X247" s="9"/>
      <c r="Y247" s="21"/>
      <c r="Z247" s="81"/>
    </row>
    <row r="248">
      <c r="B248" s="68" t="str">
        <f t="shared" si="10"/>
        <v/>
      </c>
      <c r="C248" s="35"/>
      <c r="D248" s="69" t="str">
        <f>IFERROR(__xludf.DUMMYFUNCTION("if(isblank(indirect(""B""&amp;row())),,FILTER(SuperList,'Spell List'!$C$16:$C$392=indirect(""B""&amp;row())))"),"")</f>
        <v/>
      </c>
      <c r="E248" s="16"/>
      <c r="F248" s="71"/>
      <c r="G248" s="16"/>
      <c r="H248" s="71"/>
      <c r="I248" s="16"/>
      <c r="J248" s="71"/>
      <c r="K248" s="16"/>
      <c r="L248" s="71"/>
      <c r="M248" s="16"/>
      <c r="N248" s="70"/>
      <c r="O248" s="16"/>
      <c r="P248" s="71"/>
      <c r="Q248" s="16"/>
      <c r="R248" s="71"/>
      <c r="S248" s="16"/>
      <c r="T248" s="71"/>
      <c r="U248" s="16"/>
      <c r="V248" s="72"/>
      <c r="W248" s="3"/>
      <c r="X248" s="3"/>
      <c r="Y248" s="16"/>
      <c r="Z248" s="84"/>
    </row>
    <row r="249">
      <c r="B249" s="74" t="str">
        <f t="shared" si="10"/>
        <v/>
      </c>
      <c r="C249" s="29"/>
      <c r="D249" s="75" t="str">
        <f>IFERROR(__xludf.DUMMYFUNCTION("if(isblank(indirect(""B""&amp;row())),,FILTER(SuperList,'Spell List'!$C$16:$C$392=indirect(""B""&amp;row())))"),"")</f>
        <v/>
      </c>
      <c r="E249" s="21"/>
      <c r="F249" s="77"/>
      <c r="G249" s="21"/>
      <c r="H249" s="77"/>
      <c r="I249" s="21"/>
      <c r="J249" s="77"/>
      <c r="K249" s="21"/>
      <c r="L249" s="76"/>
      <c r="M249" s="21"/>
      <c r="N249" s="76"/>
      <c r="O249" s="21"/>
      <c r="P249" s="76"/>
      <c r="Q249" s="21"/>
      <c r="R249" s="76"/>
      <c r="S249" s="21"/>
      <c r="T249" s="77"/>
      <c r="U249" s="21"/>
      <c r="V249" s="78"/>
      <c r="W249" s="9"/>
      <c r="X249" s="9"/>
      <c r="Y249" s="21"/>
      <c r="Z249" s="81"/>
    </row>
    <row r="250">
      <c r="B250" s="68" t="str">
        <f t="shared" si="10"/>
        <v/>
      </c>
      <c r="C250" s="35"/>
      <c r="D250" s="69" t="str">
        <f>IFERROR(__xludf.DUMMYFUNCTION("if(isblank(indirect(""B""&amp;row())),,FILTER(SuperList,'Spell List'!$C$16:$C$392=indirect(""B""&amp;row())))"),"")</f>
        <v/>
      </c>
      <c r="E250" s="16"/>
      <c r="F250" s="71"/>
      <c r="G250" s="16"/>
      <c r="H250" s="71"/>
      <c r="I250" s="16"/>
      <c r="J250" s="71"/>
      <c r="K250" s="16"/>
      <c r="L250" s="71"/>
      <c r="M250" s="16"/>
      <c r="N250" s="71"/>
      <c r="O250" s="16"/>
      <c r="P250" s="71"/>
      <c r="Q250" s="16"/>
      <c r="R250" s="71"/>
      <c r="S250" s="16"/>
      <c r="T250" s="71"/>
      <c r="U250" s="16"/>
      <c r="V250" s="72"/>
      <c r="W250" s="3"/>
      <c r="X250" s="3"/>
      <c r="Y250" s="16"/>
      <c r="Z250" s="82"/>
    </row>
    <row r="251">
      <c r="B251" s="74" t="str">
        <f t="shared" si="10"/>
        <v/>
      </c>
      <c r="C251" s="29"/>
      <c r="D251" s="75" t="str">
        <f>IFERROR(__xludf.DUMMYFUNCTION("if(isblank(indirect(""B""&amp;row())),,FILTER(SuperList,'Spell List'!$C$16:$C$392=indirect(""B""&amp;row())))"),"")</f>
        <v/>
      </c>
      <c r="E251" s="21"/>
      <c r="F251" s="77"/>
      <c r="G251" s="21"/>
      <c r="H251" s="77"/>
      <c r="I251" s="21"/>
      <c r="J251" s="77"/>
      <c r="K251" s="21"/>
      <c r="L251" s="76"/>
      <c r="M251" s="21"/>
      <c r="N251" s="76"/>
      <c r="O251" s="21"/>
      <c r="P251" s="76"/>
      <c r="Q251" s="21"/>
      <c r="R251" s="76"/>
      <c r="S251" s="21"/>
      <c r="T251" s="77"/>
      <c r="U251" s="21"/>
      <c r="V251" s="78"/>
      <c r="W251" s="9"/>
      <c r="X251" s="9"/>
      <c r="Y251" s="21"/>
      <c r="Z251" s="81"/>
    </row>
    <row r="252">
      <c r="B252" s="68" t="str">
        <f t="shared" si="10"/>
        <v/>
      </c>
      <c r="C252" s="35"/>
      <c r="D252" s="69" t="str">
        <f>IFERROR(__xludf.DUMMYFUNCTION("if(isblank(indirect(""B""&amp;row())),,FILTER(SuperList,'Spell List'!$C$16:$C$392=indirect(""B""&amp;row())))"),"")</f>
        <v/>
      </c>
      <c r="E252" s="16"/>
      <c r="F252" s="71"/>
      <c r="G252" s="16"/>
      <c r="H252" s="71"/>
      <c r="I252" s="16"/>
      <c r="J252" s="71"/>
      <c r="K252" s="16"/>
      <c r="L252" s="71"/>
      <c r="M252" s="16"/>
      <c r="N252" s="71"/>
      <c r="O252" s="16"/>
      <c r="P252" s="71"/>
      <c r="Q252" s="16"/>
      <c r="R252" s="71"/>
      <c r="S252" s="16"/>
      <c r="T252" s="71"/>
      <c r="U252" s="16"/>
      <c r="V252" s="72"/>
      <c r="W252" s="3"/>
      <c r="X252" s="3"/>
      <c r="Y252" s="16"/>
      <c r="Z252" s="82"/>
    </row>
  </sheetData>
  <mergeCells count="2210">
    <mergeCell ref="P15:Q15"/>
    <mergeCell ref="R15:S15"/>
    <mergeCell ref="T15:U15"/>
    <mergeCell ref="V15:Y15"/>
    <mergeCell ref="B14:Z14"/>
    <mergeCell ref="D15:E15"/>
    <mergeCell ref="F15:G15"/>
    <mergeCell ref="H15:I15"/>
    <mergeCell ref="J15:K15"/>
    <mergeCell ref="L15:M15"/>
    <mergeCell ref="N15:O15"/>
    <mergeCell ref="R16:S16"/>
    <mergeCell ref="T16:U16"/>
    <mergeCell ref="V16:Y16"/>
    <mergeCell ref="D16:E16"/>
    <mergeCell ref="F16:G16"/>
    <mergeCell ref="H16:I16"/>
    <mergeCell ref="J16:K16"/>
    <mergeCell ref="L16:M16"/>
    <mergeCell ref="N16:O16"/>
    <mergeCell ref="P16:Q16"/>
    <mergeCell ref="R17:S17"/>
    <mergeCell ref="T17:U17"/>
    <mergeCell ref="V17:Y17"/>
    <mergeCell ref="D17:E17"/>
    <mergeCell ref="F17:G17"/>
    <mergeCell ref="H17:I17"/>
    <mergeCell ref="J17:K17"/>
    <mergeCell ref="L17:M17"/>
    <mergeCell ref="N17:O17"/>
    <mergeCell ref="P17:Q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R25:S25"/>
    <mergeCell ref="T25:U25"/>
    <mergeCell ref="V25:Y25"/>
    <mergeCell ref="D25:E25"/>
    <mergeCell ref="F25:G25"/>
    <mergeCell ref="H25:I25"/>
    <mergeCell ref="J25:K25"/>
    <mergeCell ref="L25:M25"/>
    <mergeCell ref="N25:O25"/>
    <mergeCell ref="P25:Q25"/>
    <mergeCell ref="R26:S26"/>
    <mergeCell ref="T26:U26"/>
    <mergeCell ref="V26:Y26"/>
    <mergeCell ref="D26:E26"/>
    <mergeCell ref="F26:G26"/>
    <mergeCell ref="H26:I26"/>
    <mergeCell ref="J26:K26"/>
    <mergeCell ref="L26:M26"/>
    <mergeCell ref="N26:O26"/>
    <mergeCell ref="P26:Q26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18:S18"/>
    <mergeCell ref="T18:U18"/>
    <mergeCell ref="V18:Y18"/>
    <mergeCell ref="D18:E18"/>
    <mergeCell ref="F18:G18"/>
    <mergeCell ref="H18:I18"/>
    <mergeCell ref="J18:K18"/>
    <mergeCell ref="L18:M18"/>
    <mergeCell ref="N18:O18"/>
    <mergeCell ref="P18:Q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R36:S36"/>
    <mergeCell ref="T36:U36"/>
    <mergeCell ref="V36:Y36"/>
    <mergeCell ref="D36:E36"/>
    <mergeCell ref="F36:G36"/>
    <mergeCell ref="H36:I36"/>
    <mergeCell ref="J36:K36"/>
    <mergeCell ref="L36:M36"/>
    <mergeCell ref="N36:O36"/>
    <mergeCell ref="P36:Q36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D51:E51"/>
    <mergeCell ref="F51:G51"/>
    <mergeCell ref="H51:I51"/>
    <mergeCell ref="J51:K51"/>
    <mergeCell ref="L51:M51"/>
    <mergeCell ref="N51:O51"/>
    <mergeCell ref="P51:Q51"/>
    <mergeCell ref="R52:S52"/>
    <mergeCell ref="T52:U52"/>
    <mergeCell ref="V52:Y52"/>
    <mergeCell ref="D52:E52"/>
    <mergeCell ref="F52:G52"/>
    <mergeCell ref="H52:I52"/>
    <mergeCell ref="J52:K52"/>
    <mergeCell ref="L52:M52"/>
    <mergeCell ref="N52:O52"/>
    <mergeCell ref="P52:Q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F60:G60"/>
    <mergeCell ref="H60:I60"/>
    <mergeCell ref="J60:K60"/>
    <mergeCell ref="L60:M60"/>
    <mergeCell ref="N60:O60"/>
    <mergeCell ref="P60:Q60"/>
    <mergeCell ref="B62:Z62"/>
    <mergeCell ref="R35:S35"/>
    <mergeCell ref="T35:U35"/>
    <mergeCell ref="V35:Y35"/>
    <mergeCell ref="F35:G35"/>
    <mergeCell ref="H35:I35"/>
    <mergeCell ref="J35:K35"/>
    <mergeCell ref="L35:M35"/>
    <mergeCell ref="N35:O35"/>
    <mergeCell ref="P35:Q35"/>
    <mergeCell ref="B38:Z38"/>
    <mergeCell ref="P39:Q39"/>
    <mergeCell ref="R39:S39"/>
    <mergeCell ref="T39:U39"/>
    <mergeCell ref="V39:Y39"/>
    <mergeCell ref="D35:E35"/>
    <mergeCell ref="D39:E39"/>
    <mergeCell ref="F39:G39"/>
    <mergeCell ref="H39:I39"/>
    <mergeCell ref="J39:K39"/>
    <mergeCell ref="L39:M39"/>
    <mergeCell ref="N39:O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P63:Q63"/>
    <mergeCell ref="R63:S63"/>
    <mergeCell ref="T63:U63"/>
    <mergeCell ref="V63:Y63"/>
    <mergeCell ref="D60:E60"/>
    <mergeCell ref="D63:E63"/>
    <mergeCell ref="F63:G63"/>
    <mergeCell ref="H63:I63"/>
    <mergeCell ref="J63:K63"/>
    <mergeCell ref="L63:M63"/>
    <mergeCell ref="N63:O63"/>
    <mergeCell ref="R64:S64"/>
    <mergeCell ref="T64:U64"/>
    <mergeCell ref="V64:Y64"/>
    <mergeCell ref="D64:E64"/>
    <mergeCell ref="F64:G64"/>
    <mergeCell ref="H64:I64"/>
    <mergeCell ref="J64:K64"/>
    <mergeCell ref="L64:M64"/>
    <mergeCell ref="N64:O64"/>
    <mergeCell ref="P64:Q64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R98:S98"/>
    <mergeCell ref="T98:U98"/>
    <mergeCell ref="V98:Y98"/>
    <mergeCell ref="D98:E98"/>
    <mergeCell ref="F98:G98"/>
    <mergeCell ref="H98:I98"/>
    <mergeCell ref="J98:K98"/>
    <mergeCell ref="L98:M98"/>
    <mergeCell ref="N98:O98"/>
    <mergeCell ref="P98:Q98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0:S100"/>
    <mergeCell ref="T100:U100"/>
    <mergeCell ref="V100:Y100"/>
    <mergeCell ref="D100:E100"/>
    <mergeCell ref="F100:G100"/>
    <mergeCell ref="H100:I100"/>
    <mergeCell ref="J100:K100"/>
    <mergeCell ref="L100:M100"/>
    <mergeCell ref="N100:O100"/>
    <mergeCell ref="P100:Q100"/>
    <mergeCell ref="R101:S101"/>
    <mergeCell ref="T101:U101"/>
    <mergeCell ref="V101:Y101"/>
    <mergeCell ref="D101:E101"/>
    <mergeCell ref="F101:G101"/>
    <mergeCell ref="H101:I101"/>
    <mergeCell ref="J101:K101"/>
    <mergeCell ref="L101:M101"/>
    <mergeCell ref="N101:O101"/>
    <mergeCell ref="P101:Q101"/>
    <mergeCell ref="R102:S102"/>
    <mergeCell ref="T102:U102"/>
    <mergeCell ref="V102:Y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Y103"/>
    <mergeCell ref="D103:E103"/>
    <mergeCell ref="F103:G103"/>
    <mergeCell ref="H103:I103"/>
    <mergeCell ref="J103:K103"/>
    <mergeCell ref="L103:M103"/>
    <mergeCell ref="N103:O103"/>
    <mergeCell ref="P103:Q103"/>
    <mergeCell ref="R104:S104"/>
    <mergeCell ref="T104:U104"/>
    <mergeCell ref="V104:Y104"/>
    <mergeCell ref="D104:E104"/>
    <mergeCell ref="F104:G104"/>
    <mergeCell ref="H104:I104"/>
    <mergeCell ref="J104:K104"/>
    <mergeCell ref="L104:M104"/>
    <mergeCell ref="N104:O104"/>
    <mergeCell ref="P104:Q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Y108"/>
    <mergeCell ref="F108:G108"/>
    <mergeCell ref="H108:I108"/>
    <mergeCell ref="J108:K108"/>
    <mergeCell ref="L108:M108"/>
    <mergeCell ref="N108:O108"/>
    <mergeCell ref="P108:Q108"/>
    <mergeCell ref="B110:Z110"/>
    <mergeCell ref="R83:S83"/>
    <mergeCell ref="T83:U83"/>
    <mergeCell ref="V83:Y83"/>
    <mergeCell ref="F83:G83"/>
    <mergeCell ref="H83:I83"/>
    <mergeCell ref="J83:K83"/>
    <mergeCell ref="L83:M83"/>
    <mergeCell ref="N83:O83"/>
    <mergeCell ref="P83:Q83"/>
    <mergeCell ref="B86:Z86"/>
    <mergeCell ref="P87:Q87"/>
    <mergeCell ref="R87:S87"/>
    <mergeCell ref="T87:U87"/>
    <mergeCell ref="V87:Y87"/>
    <mergeCell ref="D83:E83"/>
    <mergeCell ref="D87:E87"/>
    <mergeCell ref="F87:G87"/>
    <mergeCell ref="H87:I87"/>
    <mergeCell ref="J87:K87"/>
    <mergeCell ref="L87:M87"/>
    <mergeCell ref="N87:O87"/>
    <mergeCell ref="R88:S88"/>
    <mergeCell ref="T88:U88"/>
    <mergeCell ref="V88:Y88"/>
    <mergeCell ref="D88:E88"/>
    <mergeCell ref="F88:G88"/>
    <mergeCell ref="H88:I88"/>
    <mergeCell ref="J88:K88"/>
    <mergeCell ref="L88:M88"/>
    <mergeCell ref="N88:O88"/>
    <mergeCell ref="P88:Q88"/>
    <mergeCell ref="P111:Q111"/>
    <mergeCell ref="R111:S111"/>
    <mergeCell ref="T111:U111"/>
    <mergeCell ref="V111:Y111"/>
    <mergeCell ref="D108:E108"/>
    <mergeCell ref="D111:E111"/>
    <mergeCell ref="F111:G111"/>
    <mergeCell ref="H111:I111"/>
    <mergeCell ref="J111:K111"/>
    <mergeCell ref="L111:M111"/>
    <mergeCell ref="N111:O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R113:S113"/>
    <mergeCell ref="T113:U113"/>
    <mergeCell ref="V113:Y113"/>
    <mergeCell ref="D113:E113"/>
    <mergeCell ref="F113:G113"/>
    <mergeCell ref="H113:I113"/>
    <mergeCell ref="J113:K113"/>
    <mergeCell ref="L113:M113"/>
    <mergeCell ref="N113:O113"/>
    <mergeCell ref="P113:Q113"/>
    <mergeCell ref="R114:S114"/>
    <mergeCell ref="T114:U114"/>
    <mergeCell ref="V114:Y114"/>
    <mergeCell ref="D114:E114"/>
    <mergeCell ref="F114:G114"/>
    <mergeCell ref="H114:I114"/>
    <mergeCell ref="J114:K114"/>
    <mergeCell ref="L114:M114"/>
    <mergeCell ref="N114:O114"/>
    <mergeCell ref="P114:Q114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D127:E127"/>
    <mergeCell ref="F127:G127"/>
    <mergeCell ref="H127:I127"/>
    <mergeCell ref="J127:K127"/>
    <mergeCell ref="L127:M127"/>
    <mergeCell ref="N127:O127"/>
    <mergeCell ref="P127:Q127"/>
    <mergeCell ref="R128:S128"/>
    <mergeCell ref="T128:U128"/>
    <mergeCell ref="V128:Y128"/>
    <mergeCell ref="D128:E128"/>
    <mergeCell ref="F128:G128"/>
    <mergeCell ref="H128:I128"/>
    <mergeCell ref="J128:K128"/>
    <mergeCell ref="L128:M128"/>
    <mergeCell ref="N128:O128"/>
    <mergeCell ref="P128:Q128"/>
    <mergeCell ref="R129:S129"/>
    <mergeCell ref="T129:U129"/>
    <mergeCell ref="V129:Y129"/>
    <mergeCell ref="D129:E129"/>
    <mergeCell ref="F129:G129"/>
    <mergeCell ref="H129:I129"/>
    <mergeCell ref="J129:K129"/>
    <mergeCell ref="L129:M129"/>
    <mergeCell ref="N129:O129"/>
    <mergeCell ref="P129:Q129"/>
    <mergeCell ref="R130:S130"/>
    <mergeCell ref="T130:U130"/>
    <mergeCell ref="V130:Y130"/>
    <mergeCell ref="D130:E130"/>
    <mergeCell ref="F130:G130"/>
    <mergeCell ref="H130:I130"/>
    <mergeCell ref="J130:K130"/>
    <mergeCell ref="L130:M130"/>
    <mergeCell ref="N130:O130"/>
    <mergeCell ref="P130:Q130"/>
    <mergeCell ref="R115:S115"/>
    <mergeCell ref="T115:U115"/>
    <mergeCell ref="V115:Y115"/>
    <mergeCell ref="D115:E115"/>
    <mergeCell ref="F115:G115"/>
    <mergeCell ref="H115:I115"/>
    <mergeCell ref="J115:K115"/>
    <mergeCell ref="L115:M115"/>
    <mergeCell ref="N115:O115"/>
    <mergeCell ref="P115:Q115"/>
    <mergeCell ref="R116:S116"/>
    <mergeCell ref="T116:U116"/>
    <mergeCell ref="V116:Y116"/>
    <mergeCell ref="D116:E116"/>
    <mergeCell ref="F116:G116"/>
    <mergeCell ref="H116:I116"/>
    <mergeCell ref="J116:K116"/>
    <mergeCell ref="L116:M116"/>
    <mergeCell ref="N116:O116"/>
    <mergeCell ref="P116:Q116"/>
    <mergeCell ref="R117:S117"/>
    <mergeCell ref="T117:U117"/>
    <mergeCell ref="V117:Y117"/>
    <mergeCell ref="D117:E117"/>
    <mergeCell ref="F117:G117"/>
    <mergeCell ref="H117:I117"/>
    <mergeCell ref="J117:K117"/>
    <mergeCell ref="L117:M117"/>
    <mergeCell ref="N117:O117"/>
    <mergeCell ref="P117:Q117"/>
    <mergeCell ref="R132:S132"/>
    <mergeCell ref="T132:U132"/>
    <mergeCell ref="V132:Y132"/>
    <mergeCell ref="D132:E132"/>
    <mergeCell ref="F132:G132"/>
    <mergeCell ref="H132:I132"/>
    <mergeCell ref="J132:K132"/>
    <mergeCell ref="L132:M132"/>
    <mergeCell ref="N132:O132"/>
    <mergeCell ref="P132:Q132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D142:E142"/>
    <mergeCell ref="F142:G142"/>
    <mergeCell ref="H142:I142"/>
    <mergeCell ref="J142:K142"/>
    <mergeCell ref="L142:M142"/>
    <mergeCell ref="N142:O142"/>
    <mergeCell ref="P142:Q142"/>
    <mergeCell ref="R143:S143"/>
    <mergeCell ref="T143:U143"/>
    <mergeCell ref="V143:Y143"/>
    <mergeCell ref="D143:E143"/>
    <mergeCell ref="F143:G143"/>
    <mergeCell ref="H143:I143"/>
    <mergeCell ref="J143:K143"/>
    <mergeCell ref="L143:M143"/>
    <mergeCell ref="N143:O143"/>
    <mergeCell ref="P143:Q143"/>
    <mergeCell ref="R144:S144"/>
    <mergeCell ref="T144:U144"/>
    <mergeCell ref="V144:Y144"/>
    <mergeCell ref="D144:E144"/>
    <mergeCell ref="F144:G144"/>
    <mergeCell ref="H144:I144"/>
    <mergeCell ref="J144:K144"/>
    <mergeCell ref="L144:M144"/>
    <mergeCell ref="N144:O144"/>
    <mergeCell ref="P144:Q144"/>
    <mergeCell ref="R145:S145"/>
    <mergeCell ref="T145:U145"/>
    <mergeCell ref="V145:Y145"/>
    <mergeCell ref="D145:E145"/>
    <mergeCell ref="F145:G145"/>
    <mergeCell ref="H145:I145"/>
    <mergeCell ref="J145:K145"/>
    <mergeCell ref="L145:M145"/>
    <mergeCell ref="N145:O145"/>
    <mergeCell ref="P145:Q145"/>
    <mergeCell ref="R146:S146"/>
    <mergeCell ref="T146:U146"/>
    <mergeCell ref="V146:Y146"/>
    <mergeCell ref="D146:E146"/>
    <mergeCell ref="F146:G146"/>
    <mergeCell ref="H146:I146"/>
    <mergeCell ref="J146:K146"/>
    <mergeCell ref="L146:M146"/>
    <mergeCell ref="N146:O146"/>
    <mergeCell ref="P146:Q146"/>
    <mergeCell ref="R215:S215"/>
    <mergeCell ref="T215:U215"/>
    <mergeCell ref="V215:Y215"/>
    <mergeCell ref="D215:E215"/>
    <mergeCell ref="F215:G215"/>
    <mergeCell ref="H215:I215"/>
    <mergeCell ref="J215:K215"/>
    <mergeCell ref="L215:M215"/>
    <mergeCell ref="N215:O215"/>
    <mergeCell ref="P215:Q215"/>
    <mergeCell ref="R216:S216"/>
    <mergeCell ref="T216:U216"/>
    <mergeCell ref="V216:Y216"/>
    <mergeCell ref="D216:E216"/>
    <mergeCell ref="F216:G216"/>
    <mergeCell ref="H216:I216"/>
    <mergeCell ref="J216:K216"/>
    <mergeCell ref="L216:M216"/>
    <mergeCell ref="N216:O216"/>
    <mergeCell ref="P216:Q216"/>
    <mergeCell ref="R217:S217"/>
    <mergeCell ref="T217:U217"/>
    <mergeCell ref="V217:Y217"/>
    <mergeCell ref="D217:E217"/>
    <mergeCell ref="F217:G217"/>
    <mergeCell ref="H217:I217"/>
    <mergeCell ref="J217:K217"/>
    <mergeCell ref="L217:M217"/>
    <mergeCell ref="N217:O217"/>
    <mergeCell ref="P217:Q217"/>
    <mergeCell ref="R218:S218"/>
    <mergeCell ref="T218:U218"/>
    <mergeCell ref="V218:Y218"/>
    <mergeCell ref="D218:E218"/>
    <mergeCell ref="F218:G218"/>
    <mergeCell ref="H218:I218"/>
    <mergeCell ref="J218:K218"/>
    <mergeCell ref="L218:M218"/>
    <mergeCell ref="N218:O218"/>
    <mergeCell ref="P218:Q218"/>
    <mergeCell ref="R219:S219"/>
    <mergeCell ref="T219:U219"/>
    <mergeCell ref="V219:Y219"/>
    <mergeCell ref="D219:E219"/>
    <mergeCell ref="F219:G219"/>
    <mergeCell ref="H219:I219"/>
    <mergeCell ref="J219:K219"/>
    <mergeCell ref="L219:M219"/>
    <mergeCell ref="N219:O219"/>
    <mergeCell ref="P219:Q219"/>
    <mergeCell ref="R220:S220"/>
    <mergeCell ref="T220:U220"/>
    <mergeCell ref="V220:Y220"/>
    <mergeCell ref="D220:E220"/>
    <mergeCell ref="F220:G220"/>
    <mergeCell ref="H220:I220"/>
    <mergeCell ref="J220:K220"/>
    <mergeCell ref="L220:M220"/>
    <mergeCell ref="N220:O220"/>
    <mergeCell ref="P220:Q220"/>
    <mergeCell ref="R221:S221"/>
    <mergeCell ref="T221:U221"/>
    <mergeCell ref="V221:Y221"/>
    <mergeCell ref="D221:E221"/>
    <mergeCell ref="F221:G221"/>
    <mergeCell ref="H221:I221"/>
    <mergeCell ref="J221:K221"/>
    <mergeCell ref="L221:M221"/>
    <mergeCell ref="N221:O221"/>
    <mergeCell ref="P221:Q221"/>
    <mergeCell ref="R222:S222"/>
    <mergeCell ref="T222:U222"/>
    <mergeCell ref="V222:Y222"/>
    <mergeCell ref="D222:E222"/>
    <mergeCell ref="F222:G222"/>
    <mergeCell ref="H222:I222"/>
    <mergeCell ref="J222:K222"/>
    <mergeCell ref="L222:M222"/>
    <mergeCell ref="N222:O222"/>
    <mergeCell ref="P222:Q222"/>
    <mergeCell ref="R223:S223"/>
    <mergeCell ref="T223:U223"/>
    <mergeCell ref="V223:Y223"/>
    <mergeCell ref="D223:E223"/>
    <mergeCell ref="F223:G223"/>
    <mergeCell ref="H223:I223"/>
    <mergeCell ref="J223:K223"/>
    <mergeCell ref="L223:M223"/>
    <mergeCell ref="N223:O223"/>
    <mergeCell ref="P223:Q223"/>
    <mergeCell ref="R224:S224"/>
    <mergeCell ref="T224:U224"/>
    <mergeCell ref="V224:Y224"/>
    <mergeCell ref="D224:E224"/>
    <mergeCell ref="F224:G224"/>
    <mergeCell ref="H224:I224"/>
    <mergeCell ref="J224:K224"/>
    <mergeCell ref="L224:M224"/>
    <mergeCell ref="N224:O224"/>
    <mergeCell ref="P224:Q224"/>
    <mergeCell ref="R225:S225"/>
    <mergeCell ref="T225:U225"/>
    <mergeCell ref="V225:Y225"/>
    <mergeCell ref="D225:E225"/>
    <mergeCell ref="F225:G225"/>
    <mergeCell ref="H225:I225"/>
    <mergeCell ref="J225:K225"/>
    <mergeCell ref="L225:M225"/>
    <mergeCell ref="N225:O225"/>
    <mergeCell ref="P225:Q225"/>
    <mergeCell ref="R226:S226"/>
    <mergeCell ref="T226:U226"/>
    <mergeCell ref="V226:Y226"/>
    <mergeCell ref="D226:E226"/>
    <mergeCell ref="F226:G226"/>
    <mergeCell ref="H226:I226"/>
    <mergeCell ref="J226:K226"/>
    <mergeCell ref="L226:M226"/>
    <mergeCell ref="N226:O226"/>
    <mergeCell ref="P226:Q226"/>
    <mergeCell ref="R211:S211"/>
    <mergeCell ref="T211:U211"/>
    <mergeCell ref="V211:Y211"/>
    <mergeCell ref="D211:E211"/>
    <mergeCell ref="F211:G211"/>
    <mergeCell ref="H211:I211"/>
    <mergeCell ref="J211:K211"/>
    <mergeCell ref="L211:M211"/>
    <mergeCell ref="N211:O211"/>
    <mergeCell ref="P211:Q211"/>
    <mergeCell ref="R212:S212"/>
    <mergeCell ref="T212:U212"/>
    <mergeCell ref="V212:Y212"/>
    <mergeCell ref="D212:E212"/>
    <mergeCell ref="F212:G212"/>
    <mergeCell ref="H212:I212"/>
    <mergeCell ref="J212:K212"/>
    <mergeCell ref="L212:M212"/>
    <mergeCell ref="N212:O212"/>
    <mergeCell ref="P212:Q212"/>
    <mergeCell ref="R213:S213"/>
    <mergeCell ref="T213:U213"/>
    <mergeCell ref="V213:Y213"/>
    <mergeCell ref="D213:E213"/>
    <mergeCell ref="F213:G213"/>
    <mergeCell ref="H213:I213"/>
    <mergeCell ref="J213:K213"/>
    <mergeCell ref="L213:M213"/>
    <mergeCell ref="N213:O213"/>
    <mergeCell ref="P213:Q213"/>
    <mergeCell ref="R228:S228"/>
    <mergeCell ref="T228:U228"/>
    <mergeCell ref="V228:Y228"/>
    <mergeCell ref="D228:E228"/>
    <mergeCell ref="F228:G228"/>
    <mergeCell ref="H228:I228"/>
    <mergeCell ref="J228:K228"/>
    <mergeCell ref="L228:M228"/>
    <mergeCell ref="N228:O228"/>
    <mergeCell ref="P228:Q228"/>
    <mergeCell ref="R233:S233"/>
    <mergeCell ref="T233:U233"/>
    <mergeCell ref="V233:Y233"/>
    <mergeCell ref="D233:E233"/>
    <mergeCell ref="F233:G233"/>
    <mergeCell ref="H233:I233"/>
    <mergeCell ref="J233:K233"/>
    <mergeCell ref="L233:M233"/>
    <mergeCell ref="N233:O233"/>
    <mergeCell ref="P233:Q233"/>
    <mergeCell ref="R234:S234"/>
    <mergeCell ref="T234:U234"/>
    <mergeCell ref="V234:Y234"/>
    <mergeCell ref="D234:E234"/>
    <mergeCell ref="F234:G234"/>
    <mergeCell ref="H234:I234"/>
    <mergeCell ref="J234:K234"/>
    <mergeCell ref="L234:M234"/>
    <mergeCell ref="N234:O234"/>
    <mergeCell ref="P234:Q234"/>
    <mergeCell ref="R235:S235"/>
    <mergeCell ref="T235:U235"/>
    <mergeCell ref="V235:Y235"/>
    <mergeCell ref="D235:E235"/>
    <mergeCell ref="F235:G235"/>
    <mergeCell ref="H235:I235"/>
    <mergeCell ref="J235:K235"/>
    <mergeCell ref="L235:M235"/>
    <mergeCell ref="N235:O235"/>
    <mergeCell ref="P235:Q235"/>
    <mergeCell ref="R236:S236"/>
    <mergeCell ref="T236:U236"/>
    <mergeCell ref="V236:Y236"/>
    <mergeCell ref="D236:E236"/>
    <mergeCell ref="F236:G236"/>
    <mergeCell ref="H236:I236"/>
    <mergeCell ref="J236:K236"/>
    <mergeCell ref="L236:M236"/>
    <mergeCell ref="N236:O236"/>
    <mergeCell ref="P236:Q236"/>
    <mergeCell ref="R237:S237"/>
    <mergeCell ref="T237:U237"/>
    <mergeCell ref="V237:Y237"/>
    <mergeCell ref="D237:E237"/>
    <mergeCell ref="F237:G237"/>
    <mergeCell ref="H237:I237"/>
    <mergeCell ref="J237:K237"/>
    <mergeCell ref="L237:M237"/>
    <mergeCell ref="N237:O237"/>
    <mergeCell ref="P237:Q237"/>
    <mergeCell ref="R238:S238"/>
    <mergeCell ref="T238:U238"/>
    <mergeCell ref="V238:Y238"/>
    <mergeCell ref="D238:E238"/>
    <mergeCell ref="F238:G238"/>
    <mergeCell ref="H238:I238"/>
    <mergeCell ref="J238:K238"/>
    <mergeCell ref="L238:M238"/>
    <mergeCell ref="N238:O238"/>
    <mergeCell ref="P238:Q238"/>
    <mergeCell ref="R239:S239"/>
    <mergeCell ref="T239:U239"/>
    <mergeCell ref="V239:Y239"/>
    <mergeCell ref="D239:E239"/>
    <mergeCell ref="F239:G239"/>
    <mergeCell ref="H239:I239"/>
    <mergeCell ref="J239:K239"/>
    <mergeCell ref="L239:M239"/>
    <mergeCell ref="N239:O239"/>
    <mergeCell ref="P239:Q239"/>
    <mergeCell ref="R240:S240"/>
    <mergeCell ref="T240:U240"/>
    <mergeCell ref="V240:Y240"/>
    <mergeCell ref="D240:E240"/>
    <mergeCell ref="F240:G240"/>
    <mergeCell ref="H240:I240"/>
    <mergeCell ref="J240:K240"/>
    <mergeCell ref="L240:M240"/>
    <mergeCell ref="N240:O240"/>
    <mergeCell ref="P240:Q240"/>
    <mergeCell ref="R248:S248"/>
    <mergeCell ref="T248:U248"/>
    <mergeCell ref="V248:Y248"/>
    <mergeCell ref="D248:E248"/>
    <mergeCell ref="F248:G248"/>
    <mergeCell ref="H248:I248"/>
    <mergeCell ref="J248:K248"/>
    <mergeCell ref="L248:M248"/>
    <mergeCell ref="N248:O248"/>
    <mergeCell ref="P248:Q248"/>
    <mergeCell ref="R249:S249"/>
    <mergeCell ref="T249:U249"/>
    <mergeCell ref="V249:Y249"/>
    <mergeCell ref="D249:E249"/>
    <mergeCell ref="F249:G249"/>
    <mergeCell ref="H249:I249"/>
    <mergeCell ref="J249:K249"/>
    <mergeCell ref="L249:M249"/>
    <mergeCell ref="N249:O249"/>
    <mergeCell ref="P249:Q249"/>
    <mergeCell ref="R250:S250"/>
    <mergeCell ref="T250:U250"/>
    <mergeCell ref="V250:Y250"/>
    <mergeCell ref="D250:E250"/>
    <mergeCell ref="F250:G250"/>
    <mergeCell ref="H250:I250"/>
    <mergeCell ref="J250:K250"/>
    <mergeCell ref="L250:M250"/>
    <mergeCell ref="N250:O250"/>
    <mergeCell ref="P250:Q250"/>
    <mergeCell ref="R251:S251"/>
    <mergeCell ref="T251:U251"/>
    <mergeCell ref="V251:Y251"/>
    <mergeCell ref="D251:E251"/>
    <mergeCell ref="F251:G251"/>
    <mergeCell ref="H251:I251"/>
    <mergeCell ref="J251:K251"/>
    <mergeCell ref="L251:M251"/>
    <mergeCell ref="N251:O251"/>
    <mergeCell ref="P251:Q251"/>
    <mergeCell ref="R227:S227"/>
    <mergeCell ref="T227:U227"/>
    <mergeCell ref="V227:Y227"/>
    <mergeCell ref="F227:G227"/>
    <mergeCell ref="H227:I227"/>
    <mergeCell ref="J227:K227"/>
    <mergeCell ref="L227:M227"/>
    <mergeCell ref="N227:O227"/>
    <mergeCell ref="P227:Q227"/>
    <mergeCell ref="B230:Z230"/>
    <mergeCell ref="P231:Q231"/>
    <mergeCell ref="R231:S231"/>
    <mergeCell ref="T231:U231"/>
    <mergeCell ref="V231:Y231"/>
    <mergeCell ref="D227:E227"/>
    <mergeCell ref="D231:E231"/>
    <mergeCell ref="F231:G231"/>
    <mergeCell ref="H231:I231"/>
    <mergeCell ref="J231:K231"/>
    <mergeCell ref="L231:M231"/>
    <mergeCell ref="N231:O231"/>
    <mergeCell ref="R232:S232"/>
    <mergeCell ref="T232:U232"/>
    <mergeCell ref="V232:Y232"/>
    <mergeCell ref="D232:E232"/>
    <mergeCell ref="F232:G232"/>
    <mergeCell ref="H232:I232"/>
    <mergeCell ref="J232:K232"/>
    <mergeCell ref="L232:M232"/>
    <mergeCell ref="N232:O232"/>
    <mergeCell ref="P232:Q232"/>
    <mergeCell ref="R252:S252"/>
    <mergeCell ref="T252:U252"/>
    <mergeCell ref="V252:Y252"/>
    <mergeCell ref="D252:E252"/>
    <mergeCell ref="F252:G252"/>
    <mergeCell ref="H252:I252"/>
    <mergeCell ref="J252:K252"/>
    <mergeCell ref="L252:M252"/>
    <mergeCell ref="N252:O252"/>
    <mergeCell ref="P252:Q252"/>
    <mergeCell ref="R241:S241"/>
    <mergeCell ref="T241:U241"/>
    <mergeCell ref="V241:Y241"/>
    <mergeCell ref="D241:E241"/>
    <mergeCell ref="F241:G241"/>
    <mergeCell ref="H241:I241"/>
    <mergeCell ref="J241:K241"/>
    <mergeCell ref="L241:M241"/>
    <mergeCell ref="N241:O241"/>
    <mergeCell ref="P241:Q241"/>
    <mergeCell ref="R242:S242"/>
    <mergeCell ref="T242:U242"/>
    <mergeCell ref="V242:Y242"/>
    <mergeCell ref="D242:E242"/>
    <mergeCell ref="F242:G242"/>
    <mergeCell ref="H242:I242"/>
    <mergeCell ref="J242:K242"/>
    <mergeCell ref="L242:M242"/>
    <mergeCell ref="N242:O242"/>
    <mergeCell ref="P242:Q242"/>
    <mergeCell ref="R243:S243"/>
    <mergeCell ref="T243:U243"/>
    <mergeCell ref="V243:Y243"/>
    <mergeCell ref="D243:E243"/>
    <mergeCell ref="F243:G243"/>
    <mergeCell ref="H243:I243"/>
    <mergeCell ref="J243:K243"/>
    <mergeCell ref="L243:M243"/>
    <mergeCell ref="N243:O243"/>
    <mergeCell ref="P243:Q243"/>
    <mergeCell ref="R244:S244"/>
    <mergeCell ref="T244:U244"/>
    <mergeCell ref="V244:Y244"/>
    <mergeCell ref="D244:E244"/>
    <mergeCell ref="F244:G244"/>
    <mergeCell ref="H244:I244"/>
    <mergeCell ref="J244:K244"/>
    <mergeCell ref="L244:M244"/>
    <mergeCell ref="N244:O244"/>
    <mergeCell ref="P244:Q244"/>
    <mergeCell ref="R245:S245"/>
    <mergeCell ref="T245:U245"/>
    <mergeCell ref="V245:Y245"/>
    <mergeCell ref="D245:E245"/>
    <mergeCell ref="F245:G245"/>
    <mergeCell ref="H245:I245"/>
    <mergeCell ref="J245:K245"/>
    <mergeCell ref="L245:M245"/>
    <mergeCell ref="N245:O245"/>
    <mergeCell ref="P245:Q245"/>
    <mergeCell ref="R246:S246"/>
    <mergeCell ref="T246:U246"/>
    <mergeCell ref="V246:Y246"/>
    <mergeCell ref="D246:E246"/>
    <mergeCell ref="F246:G246"/>
    <mergeCell ref="H246:I246"/>
    <mergeCell ref="J246:K246"/>
    <mergeCell ref="L246:M246"/>
    <mergeCell ref="N246:O246"/>
    <mergeCell ref="P246:Q246"/>
    <mergeCell ref="R247:S247"/>
    <mergeCell ref="T247:U247"/>
    <mergeCell ref="V247:Y247"/>
    <mergeCell ref="D247:E247"/>
    <mergeCell ref="F247:G247"/>
    <mergeCell ref="H247:I247"/>
    <mergeCell ref="J247:K247"/>
    <mergeCell ref="L247:M247"/>
    <mergeCell ref="N247:O247"/>
    <mergeCell ref="P247:Q247"/>
    <mergeCell ref="R147:S147"/>
    <mergeCell ref="T147:U147"/>
    <mergeCell ref="V147:Y147"/>
    <mergeCell ref="D147:E147"/>
    <mergeCell ref="F147:G147"/>
    <mergeCell ref="H147:I147"/>
    <mergeCell ref="J147:K147"/>
    <mergeCell ref="L147:M147"/>
    <mergeCell ref="N147:O147"/>
    <mergeCell ref="P147:Q147"/>
    <mergeCell ref="R148:S148"/>
    <mergeCell ref="T148:U148"/>
    <mergeCell ref="V148:Y148"/>
    <mergeCell ref="D148:E148"/>
    <mergeCell ref="F148:G148"/>
    <mergeCell ref="H148:I148"/>
    <mergeCell ref="J148:K148"/>
    <mergeCell ref="L148:M148"/>
    <mergeCell ref="N148:O148"/>
    <mergeCell ref="P148:Q148"/>
    <mergeCell ref="R149:S149"/>
    <mergeCell ref="T149:U149"/>
    <mergeCell ref="V149:Y149"/>
    <mergeCell ref="D149:E149"/>
    <mergeCell ref="F149:G149"/>
    <mergeCell ref="H149:I149"/>
    <mergeCell ref="J149:K149"/>
    <mergeCell ref="L149:M149"/>
    <mergeCell ref="N149:O149"/>
    <mergeCell ref="P149:Q149"/>
    <mergeCell ref="R150:S150"/>
    <mergeCell ref="T150:U150"/>
    <mergeCell ref="V150:Y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Y151"/>
    <mergeCell ref="D151:E151"/>
    <mergeCell ref="F151:G151"/>
    <mergeCell ref="H151:I151"/>
    <mergeCell ref="J151:K151"/>
    <mergeCell ref="L151:M151"/>
    <mergeCell ref="N151:O151"/>
    <mergeCell ref="P151:Q151"/>
    <mergeCell ref="R152:S152"/>
    <mergeCell ref="T152:U152"/>
    <mergeCell ref="V152:Y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Y153"/>
    <mergeCell ref="D153:E153"/>
    <mergeCell ref="F153:G153"/>
    <mergeCell ref="H153:I153"/>
    <mergeCell ref="J153:K153"/>
    <mergeCell ref="L153:M153"/>
    <mergeCell ref="N153:O153"/>
    <mergeCell ref="P153:Q153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Y156"/>
    <mergeCell ref="F156:G156"/>
    <mergeCell ref="H156:I156"/>
    <mergeCell ref="J156:K156"/>
    <mergeCell ref="L156:M156"/>
    <mergeCell ref="N156:O156"/>
    <mergeCell ref="P156:Q156"/>
    <mergeCell ref="B158:Z158"/>
    <mergeCell ref="R131:S131"/>
    <mergeCell ref="T131:U131"/>
    <mergeCell ref="V131:Y131"/>
    <mergeCell ref="F131:G131"/>
    <mergeCell ref="H131:I131"/>
    <mergeCell ref="J131:K131"/>
    <mergeCell ref="L131:M131"/>
    <mergeCell ref="N131:O131"/>
    <mergeCell ref="P131:Q131"/>
    <mergeCell ref="B134:Z134"/>
    <mergeCell ref="P135:Q135"/>
    <mergeCell ref="R135:S135"/>
    <mergeCell ref="T135:U135"/>
    <mergeCell ref="V135:Y135"/>
    <mergeCell ref="D131:E131"/>
    <mergeCell ref="D135:E135"/>
    <mergeCell ref="F135:G135"/>
    <mergeCell ref="H135:I135"/>
    <mergeCell ref="J135:K135"/>
    <mergeCell ref="L135:M135"/>
    <mergeCell ref="N135:O135"/>
    <mergeCell ref="R136:S136"/>
    <mergeCell ref="T136:U136"/>
    <mergeCell ref="V136:Y136"/>
    <mergeCell ref="D136:E136"/>
    <mergeCell ref="F136:G136"/>
    <mergeCell ref="H136:I136"/>
    <mergeCell ref="J136:K136"/>
    <mergeCell ref="L136:M136"/>
    <mergeCell ref="N136:O136"/>
    <mergeCell ref="P136:Q136"/>
    <mergeCell ref="P159:Q159"/>
    <mergeCell ref="R159:S159"/>
    <mergeCell ref="T159:U159"/>
    <mergeCell ref="V159:Y159"/>
    <mergeCell ref="D156:E156"/>
    <mergeCell ref="D159:E159"/>
    <mergeCell ref="F159:G159"/>
    <mergeCell ref="H159:I159"/>
    <mergeCell ref="J159:K159"/>
    <mergeCell ref="L159:M159"/>
    <mergeCell ref="N159:O159"/>
    <mergeCell ref="R160:S160"/>
    <mergeCell ref="T160:U160"/>
    <mergeCell ref="V160:Y160"/>
    <mergeCell ref="D160:E160"/>
    <mergeCell ref="F160:G160"/>
    <mergeCell ref="H160:I160"/>
    <mergeCell ref="J160:K160"/>
    <mergeCell ref="L160:M160"/>
    <mergeCell ref="N160:O160"/>
    <mergeCell ref="P160:Q160"/>
    <mergeCell ref="R161:S161"/>
    <mergeCell ref="T161:U161"/>
    <mergeCell ref="V161:Y161"/>
    <mergeCell ref="D161:E161"/>
    <mergeCell ref="F161:G161"/>
    <mergeCell ref="H161:I161"/>
    <mergeCell ref="J161:K161"/>
    <mergeCell ref="L161:M161"/>
    <mergeCell ref="N161:O161"/>
    <mergeCell ref="P161:Q161"/>
    <mergeCell ref="R162:S162"/>
    <mergeCell ref="T162:U162"/>
    <mergeCell ref="V162:Y162"/>
    <mergeCell ref="D162:E162"/>
    <mergeCell ref="F162:G162"/>
    <mergeCell ref="H162:I162"/>
    <mergeCell ref="J162:K162"/>
    <mergeCell ref="L162:M162"/>
    <mergeCell ref="N162:O162"/>
    <mergeCell ref="P162:Q162"/>
    <mergeCell ref="R166:S166"/>
    <mergeCell ref="T166:U166"/>
    <mergeCell ref="V166:Y166"/>
    <mergeCell ref="D166:E166"/>
    <mergeCell ref="F166:G166"/>
    <mergeCell ref="H166:I166"/>
    <mergeCell ref="J166:K166"/>
    <mergeCell ref="L166:M166"/>
    <mergeCell ref="N166:O166"/>
    <mergeCell ref="P166:Q166"/>
    <mergeCell ref="R167:S167"/>
    <mergeCell ref="T167:U167"/>
    <mergeCell ref="V167:Y167"/>
    <mergeCell ref="D167:E167"/>
    <mergeCell ref="F167:G167"/>
    <mergeCell ref="H167:I167"/>
    <mergeCell ref="J167:K167"/>
    <mergeCell ref="L167:M167"/>
    <mergeCell ref="N167:O167"/>
    <mergeCell ref="P167:Q167"/>
    <mergeCell ref="R168:S168"/>
    <mergeCell ref="T168:U168"/>
    <mergeCell ref="V168:Y168"/>
    <mergeCell ref="D168:E168"/>
    <mergeCell ref="F168:G168"/>
    <mergeCell ref="H168:I168"/>
    <mergeCell ref="J168:K168"/>
    <mergeCell ref="L168:M168"/>
    <mergeCell ref="N168:O168"/>
    <mergeCell ref="P168:Q168"/>
    <mergeCell ref="R169:S169"/>
    <mergeCell ref="T169:U169"/>
    <mergeCell ref="V169:Y169"/>
    <mergeCell ref="D169:E169"/>
    <mergeCell ref="F169:G169"/>
    <mergeCell ref="H169:I169"/>
    <mergeCell ref="J169:K169"/>
    <mergeCell ref="L169:M169"/>
    <mergeCell ref="N169:O169"/>
    <mergeCell ref="P169:Q169"/>
    <mergeCell ref="R170:S170"/>
    <mergeCell ref="T170:U170"/>
    <mergeCell ref="V170:Y170"/>
    <mergeCell ref="D170:E170"/>
    <mergeCell ref="F170:G170"/>
    <mergeCell ref="H170:I170"/>
    <mergeCell ref="J170:K170"/>
    <mergeCell ref="L170:M170"/>
    <mergeCell ref="N170:O170"/>
    <mergeCell ref="P170:Q170"/>
    <mergeCell ref="R171:S171"/>
    <mergeCell ref="T171:U171"/>
    <mergeCell ref="V171:Y171"/>
    <mergeCell ref="D171:E171"/>
    <mergeCell ref="F171:G171"/>
    <mergeCell ref="H171:I171"/>
    <mergeCell ref="J171:K171"/>
    <mergeCell ref="L171:M171"/>
    <mergeCell ref="N171:O171"/>
    <mergeCell ref="P171:Q171"/>
    <mergeCell ref="R172:S172"/>
    <mergeCell ref="T172:U172"/>
    <mergeCell ref="V172:Y172"/>
    <mergeCell ref="D172:E172"/>
    <mergeCell ref="F172:G172"/>
    <mergeCell ref="H172:I172"/>
    <mergeCell ref="J172:K172"/>
    <mergeCell ref="L172:M172"/>
    <mergeCell ref="N172:O172"/>
    <mergeCell ref="P172:Q172"/>
    <mergeCell ref="R173:S173"/>
    <mergeCell ref="T173:U173"/>
    <mergeCell ref="V173:Y173"/>
    <mergeCell ref="D173:E173"/>
    <mergeCell ref="F173:G173"/>
    <mergeCell ref="H173:I173"/>
    <mergeCell ref="J173:K173"/>
    <mergeCell ref="L173:M173"/>
    <mergeCell ref="N173:O173"/>
    <mergeCell ref="P173:Q173"/>
    <mergeCell ref="R174:S174"/>
    <mergeCell ref="T174:U174"/>
    <mergeCell ref="V174:Y174"/>
    <mergeCell ref="D174:E174"/>
    <mergeCell ref="F174:G174"/>
    <mergeCell ref="H174:I174"/>
    <mergeCell ref="J174:K174"/>
    <mergeCell ref="L174:M174"/>
    <mergeCell ref="N174:O174"/>
    <mergeCell ref="P174:Q174"/>
    <mergeCell ref="R175:S175"/>
    <mergeCell ref="T175:U175"/>
    <mergeCell ref="V175:Y175"/>
    <mergeCell ref="D175:E175"/>
    <mergeCell ref="F175:G175"/>
    <mergeCell ref="H175:I175"/>
    <mergeCell ref="J175:K175"/>
    <mergeCell ref="L175:M175"/>
    <mergeCell ref="N175:O175"/>
    <mergeCell ref="P175:Q175"/>
    <mergeCell ref="R176:S176"/>
    <mergeCell ref="T176:U176"/>
    <mergeCell ref="V176:Y176"/>
    <mergeCell ref="D176:E176"/>
    <mergeCell ref="F176:G176"/>
    <mergeCell ref="H176:I176"/>
    <mergeCell ref="J176:K176"/>
    <mergeCell ref="L176:M176"/>
    <mergeCell ref="N176:O176"/>
    <mergeCell ref="P176:Q176"/>
    <mergeCell ref="R177:S177"/>
    <mergeCell ref="T177:U177"/>
    <mergeCell ref="V177:Y177"/>
    <mergeCell ref="D177:E177"/>
    <mergeCell ref="F177:G177"/>
    <mergeCell ref="H177:I177"/>
    <mergeCell ref="J177:K177"/>
    <mergeCell ref="L177:M177"/>
    <mergeCell ref="N177:O177"/>
    <mergeCell ref="P177:Q177"/>
    <mergeCell ref="R178:S178"/>
    <mergeCell ref="T178:U178"/>
    <mergeCell ref="V178:Y178"/>
    <mergeCell ref="D178:E178"/>
    <mergeCell ref="F178:G178"/>
    <mergeCell ref="H178:I178"/>
    <mergeCell ref="J178:K178"/>
    <mergeCell ref="L178:M178"/>
    <mergeCell ref="N178:O178"/>
    <mergeCell ref="P178:Q178"/>
    <mergeCell ref="R163:S163"/>
    <mergeCell ref="T163:U163"/>
    <mergeCell ref="V163:Y163"/>
    <mergeCell ref="D163:E163"/>
    <mergeCell ref="F163:G163"/>
    <mergeCell ref="H163:I163"/>
    <mergeCell ref="J163:K163"/>
    <mergeCell ref="L163:M163"/>
    <mergeCell ref="N163:O163"/>
    <mergeCell ref="P163:Q163"/>
    <mergeCell ref="R164:S164"/>
    <mergeCell ref="T164:U164"/>
    <mergeCell ref="V164:Y164"/>
    <mergeCell ref="D164:E164"/>
    <mergeCell ref="F164:G164"/>
    <mergeCell ref="H164:I164"/>
    <mergeCell ref="J164:K164"/>
    <mergeCell ref="L164:M164"/>
    <mergeCell ref="N164:O164"/>
    <mergeCell ref="P164:Q164"/>
    <mergeCell ref="R165:S165"/>
    <mergeCell ref="T165:U165"/>
    <mergeCell ref="V165:Y165"/>
    <mergeCell ref="D165:E165"/>
    <mergeCell ref="F165:G165"/>
    <mergeCell ref="H165:I165"/>
    <mergeCell ref="J165:K165"/>
    <mergeCell ref="L165:M165"/>
    <mergeCell ref="N165:O165"/>
    <mergeCell ref="P165:Q165"/>
    <mergeCell ref="R180:S180"/>
    <mergeCell ref="T180:U180"/>
    <mergeCell ref="V180:Y180"/>
    <mergeCell ref="D180:E180"/>
    <mergeCell ref="F180:G180"/>
    <mergeCell ref="H180:I180"/>
    <mergeCell ref="J180:K180"/>
    <mergeCell ref="L180:M180"/>
    <mergeCell ref="N180:O180"/>
    <mergeCell ref="P180:Q180"/>
    <mergeCell ref="R185:S185"/>
    <mergeCell ref="T185:U185"/>
    <mergeCell ref="V185:Y185"/>
    <mergeCell ref="D185:E185"/>
    <mergeCell ref="F185:G185"/>
    <mergeCell ref="H185:I185"/>
    <mergeCell ref="J185:K185"/>
    <mergeCell ref="L185:M185"/>
    <mergeCell ref="N185:O185"/>
    <mergeCell ref="P185:Q185"/>
    <mergeCell ref="R186:S186"/>
    <mergeCell ref="T186:U186"/>
    <mergeCell ref="V186:Y186"/>
    <mergeCell ref="D186:E186"/>
    <mergeCell ref="F186:G186"/>
    <mergeCell ref="H186:I186"/>
    <mergeCell ref="J186:K186"/>
    <mergeCell ref="L186:M186"/>
    <mergeCell ref="N186:O186"/>
    <mergeCell ref="P186:Q186"/>
    <mergeCell ref="R187:S187"/>
    <mergeCell ref="T187:U187"/>
    <mergeCell ref="V187:Y187"/>
    <mergeCell ref="D187:E187"/>
    <mergeCell ref="F187:G187"/>
    <mergeCell ref="H187:I187"/>
    <mergeCell ref="J187:K187"/>
    <mergeCell ref="L187:M187"/>
    <mergeCell ref="N187:O187"/>
    <mergeCell ref="P187:Q187"/>
    <mergeCell ref="R188:S188"/>
    <mergeCell ref="T188:U188"/>
    <mergeCell ref="V188:Y188"/>
    <mergeCell ref="D188:E188"/>
    <mergeCell ref="F188:G188"/>
    <mergeCell ref="H188:I188"/>
    <mergeCell ref="J188:K188"/>
    <mergeCell ref="L188:M188"/>
    <mergeCell ref="N188:O188"/>
    <mergeCell ref="P188:Q188"/>
    <mergeCell ref="R189:S189"/>
    <mergeCell ref="T189:U189"/>
    <mergeCell ref="V189:Y189"/>
    <mergeCell ref="D189:E189"/>
    <mergeCell ref="F189:G189"/>
    <mergeCell ref="H189:I189"/>
    <mergeCell ref="J189:K189"/>
    <mergeCell ref="L189:M189"/>
    <mergeCell ref="N189:O189"/>
    <mergeCell ref="P189:Q189"/>
    <mergeCell ref="R190:S190"/>
    <mergeCell ref="T190:U190"/>
    <mergeCell ref="V190:Y190"/>
    <mergeCell ref="D190:E190"/>
    <mergeCell ref="F190:G190"/>
    <mergeCell ref="H190:I190"/>
    <mergeCell ref="J190:K190"/>
    <mergeCell ref="L190:M190"/>
    <mergeCell ref="N190:O190"/>
    <mergeCell ref="P190:Q190"/>
    <mergeCell ref="R191:S191"/>
    <mergeCell ref="T191:U191"/>
    <mergeCell ref="V191:Y191"/>
    <mergeCell ref="D191:E191"/>
    <mergeCell ref="F191:G191"/>
    <mergeCell ref="H191:I191"/>
    <mergeCell ref="J191:K191"/>
    <mergeCell ref="L191:M191"/>
    <mergeCell ref="N191:O191"/>
    <mergeCell ref="P191:Q191"/>
    <mergeCell ref="R192:S192"/>
    <mergeCell ref="T192:U192"/>
    <mergeCell ref="V192:Y192"/>
    <mergeCell ref="D192:E192"/>
    <mergeCell ref="F192:G192"/>
    <mergeCell ref="H192:I192"/>
    <mergeCell ref="J192:K192"/>
    <mergeCell ref="L192:M192"/>
    <mergeCell ref="N192:O192"/>
    <mergeCell ref="P192:Q192"/>
    <mergeCell ref="R193:S193"/>
    <mergeCell ref="T193:U193"/>
    <mergeCell ref="V193:Y193"/>
    <mergeCell ref="D193:E193"/>
    <mergeCell ref="F193:G193"/>
    <mergeCell ref="H193:I193"/>
    <mergeCell ref="J193:K193"/>
    <mergeCell ref="L193:M193"/>
    <mergeCell ref="N193:O193"/>
    <mergeCell ref="P193:Q193"/>
    <mergeCell ref="R194:S194"/>
    <mergeCell ref="T194:U194"/>
    <mergeCell ref="V194:Y194"/>
    <mergeCell ref="D194:E194"/>
    <mergeCell ref="F194:G194"/>
    <mergeCell ref="H194:I194"/>
    <mergeCell ref="J194:K194"/>
    <mergeCell ref="L194:M194"/>
    <mergeCell ref="N194:O194"/>
    <mergeCell ref="P194:Q194"/>
    <mergeCell ref="R195:S195"/>
    <mergeCell ref="T195:U195"/>
    <mergeCell ref="V195:Y195"/>
    <mergeCell ref="D195:E195"/>
    <mergeCell ref="F195:G195"/>
    <mergeCell ref="H195:I195"/>
    <mergeCell ref="J195:K195"/>
    <mergeCell ref="L195:M195"/>
    <mergeCell ref="N195:O195"/>
    <mergeCell ref="P195:Q195"/>
    <mergeCell ref="R196:S196"/>
    <mergeCell ref="T196:U196"/>
    <mergeCell ref="V196:Y196"/>
    <mergeCell ref="D196:E196"/>
    <mergeCell ref="F196:G196"/>
    <mergeCell ref="H196:I196"/>
    <mergeCell ref="J196:K196"/>
    <mergeCell ref="L196:M196"/>
    <mergeCell ref="N196:O196"/>
    <mergeCell ref="P196:Q196"/>
    <mergeCell ref="R197:S197"/>
    <mergeCell ref="T197:U197"/>
    <mergeCell ref="V197:Y197"/>
    <mergeCell ref="D197:E197"/>
    <mergeCell ref="F197:G197"/>
    <mergeCell ref="H197:I197"/>
    <mergeCell ref="J197:K197"/>
    <mergeCell ref="L197:M197"/>
    <mergeCell ref="N197:O197"/>
    <mergeCell ref="P197:Q197"/>
    <mergeCell ref="R198:S198"/>
    <mergeCell ref="T198:U198"/>
    <mergeCell ref="V198:Y198"/>
    <mergeCell ref="D198:E198"/>
    <mergeCell ref="F198:G198"/>
    <mergeCell ref="H198:I198"/>
    <mergeCell ref="J198:K198"/>
    <mergeCell ref="L198:M198"/>
    <mergeCell ref="N198:O198"/>
    <mergeCell ref="P198:Q198"/>
    <mergeCell ref="R199:S199"/>
    <mergeCell ref="T199:U199"/>
    <mergeCell ref="V199:Y199"/>
    <mergeCell ref="D199:E199"/>
    <mergeCell ref="F199:G199"/>
    <mergeCell ref="H199:I199"/>
    <mergeCell ref="J199:K199"/>
    <mergeCell ref="L199:M199"/>
    <mergeCell ref="N199:O199"/>
    <mergeCell ref="P199:Q199"/>
    <mergeCell ref="R200:S200"/>
    <mergeCell ref="T200:U200"/>
    <mergeCell ref="V200:Y200"/>
    <mergeCell ref="D200:E200"/>
    <mergeCell ref="F200:G200"/>
    <mergeCell ref="H200:I200"/>
    <mergeCell ref="J200:K200"/>
    <mergeCell ref="L200:M200"/>
    <mergeCell ref="N200:O200"/>
    <mergeCell ref="P200:Q200"/>
    <mergeCell ref="R201:S201"/>
    <mergeCell ref="T201:U201"/>
    <mergeCell ref="V201:Y201"/>
    <mergeCell ref="D201:E201"/>
    <mergeCell ref="F201:G201"/>
    <mergeCell ref="H201:I201"/>
    <mergeCell ref="J201:K201"/>
    <mergeCell ref="L201:M201"/>
    <mergeCell ref="N201:O201"/>
    <mergeCell ref="P201:Q201"/>
    <mergeCell ref="R202:S202"/>
    <mergeCell ref="T202:U202"/>
    <mergeCell ref="V202:Y202"/>
    <mergeCell ref="D202:E202"/>
    <mergeCell ref="F202:G202"/>
    <mergeCell ref="H202:I202"/>
    <mergeCell ref="J202:K202"/>
    <mergeCell ref="L202:M202"/>
    <mergeCell ref="N202:O202"/>
    <mergeCell ref="P202:Q202"/>
    <mergeCell ref="R203:S203"/>
    <mergeCell ref="T203:U203"/>
    <mergeCell ref="V203:Y203"/>
    <mergeCell ref="D203:E203"/>
    <mergeCell ref="F203:G203"/>
    <mergeCell ref="H203:I203"/>
    <mergeCell ref="J203:K203"/>
    <mergeCell ref="L203:M203"/>
    <mergeCell ref="N203:O203"/>
    <mergeCell ref="P203:Q203"/>
    <mergeCell ref="R204:S204"/>
    <mergeCell ref="T204:U204"/>
    <mergeCell ref="V204:Y204"/>
    <mergeCell ref="F204:G204"/>
    <mergeCell ref="H204:I204"/>
    <mergeCell ref="J204:K204"/>
    <mergeCell ref="L204:M204"/>
    <mergeCell ref="N204:O204"/>
    <mergeCell ref="P204:Q204"/>
    <mergeCell ref="B206:Z206"/>
    <mergeCell ref="R179:S179"/>
    <mergeCell ref="T179:U179"/>
    <mergeCell ref="V179:Y179"/>
    <mergeCell ref="F179:G179"/>
    <mergeCell ref="H179:I179"/>
    <mergeCell ref="J179:K179"/>
    <mergeCell ref="L179:M179"/>
    <mergeCell ref="N179:O179"/>
    <mergeCell ref="P179:Q179"/>
    <mergeCell ref="B182:Z182"/>
    <mergeCell ref="P183:Q183"/>
    <mergeCell ref="R183:S183"/>
    <mergeCell ref="T183:U183"/>
    <mergeCell ref="V183:Y183"/>
    <mergeCell ref="D179:E179"/>
    <mergeCell ref="D183:E183"/>
    <mergeCell ref="F183:G183"/>
    <mergeCell ref="H183:I183"/>
    <mergeCell ref="J183:K183"/>
    <mergeCell ref="L183:M183"/>
    <mergeCell ref="N183:O183"/>
    <mergeCell ref="R184:S184"/>
    <mergeCell ref="T184:U184"/>
    <mergeCell ref="V184:Y184"/>
    <mergeCell ref="D184:E184"/>
    <mergeCell ref="F184:G184"/>
    <mergeCell ref="H184:I184"/>
    <mergeCell ref="J184:K184"/>
    <mergeCell ref="L184:M184"/>
    <mergeCell ref="N184:O184"/>
    <mergeCell ref="P184:Q184"/>
    <mergeCell ref="P207:Q207"/>
    <mergeCell ref="R207:S207"/>
    <mergeCell ref="T207:U207"/>
    <mergeCell ref="V207:Y207"/>
    <mergeCell ref="D204:E204"/>
    <mergeCell ref="D207:E207"/>
    <mergeCell ref="F207:G207"/>
    <mergeCell ref="H207:I207"/>
    <mergeCell ref="J207:K207"/>
    <mergeCell ref="L207:M207"/>
    <mergeCell ref="N207:O207"/>
    <mergeCell ref="R208:S208"/>
    <mergeCell ref="T208:U208"/>
    <mergeCell ref="V208:Y208"/>
    <mergeCell ref="D208:E208"/>
    <mergeCell ref="F208:G208"/>
    <mergeCell ref="H208:I208"/>
    <mergeCell ref="J208:K208"/>
    <mergeCell ref="L208:M208"/>
    <mergeCell ref="N208:O208"/>
    <mergeCell ref="P208:Q208"/>
    <mergeCell ref="R209:S209"/>
    <mergeCell ref="T209:U209"/>
    <mergeCell ref="V209:Y209"/>
    <mergeCell ref="D209:E209"/>
    <mergeCell ref="F209:G209"/>
    <mergeCell ref="H209:I209"/>
    <mergeCell ref="J209:K209"/>
    <mergeCell ref="L209:M209"/>
    <mergeCell ref="N209:O209"/>
    <mergeCell ref="P209:Q209"/>
    <mergeCell ref="R210:S210"/>
    <mergeCell ref="T210:U210"/>
    <mergeCell ref="V210:Y210"/>
    <mergeCell ref="D210:E210"/>
    <mergeCell ref="F210:G210"/>
    <mergeCell ref="H210:I210"/>
    <mergeCell ref="J210:K210"/>
    <mergeCell ref="L210:M210"/>
    <mergeCell ref="N210:O210"/>
    <mergeCell ref="P210:Q210"/>
    <mergeCell ref="R214:S214"/>
    <mergeCell ref="T214:U214"/>
    <mergeCell ref="V214:Y214"/>
    <mergeCell ref="D214:E214"/>
    <mergeCell ref="F214:G214"/>
    <mergeCell ref="H214:I214"/>
    <mergeCell ref="J214:K214"/>
    <mergeCell ref="L214:M214"/>
    <mergeCell ref="N214:O214"/>
    <mergeCell ref="P214:Q214"/>
  </mergeCells>
  <conditionalFormatting sqref="B16:E36 B40:E60 B64:E84 B88:E108 B112:E132 B136:E156 B160:E180 B184:E204 B208:E228 B232:E252">
    <cfRule type="expression" dxfId="0" priority="1">
      <formula>INDIRECT(CONCAT("D",ROW()))</formula>
    </cfRule>
  </conditionalFormatting>
  <drawing r:id="rId1"/>
</worksheet>
</file>