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OD\DBA\00-交接\00-文档区\"/>
    </mc:Choice>
  </mc:AlternateContent>
  <bookViews>
    <workbookView xWindow="240" yWindow="90" windowWidth="20520" windowHeight="11640"/>
  </bookViews>
  <sheets>
    <sheet name="0、索引" sheetId="6" r:id="rId1"/>
    <sheet name="1、测试环境" sheetId="3" r:id="rId2"/>
    <sheet name="2、CPU测试结果" sheetId="7" r:id="rId3"/>
    <sheet name="3、THREAD测试结果" sheetId="11" r:id="rId4"/>
    <sheet name="4、MUTEX测试结果" sheetId="12" r:id="rId5"/>
    <sheet name="5、内存测试结果" sheetId="8" r:id="rId6"/>
    <sheet name="6、IO测试结果(iozone)" sheetId="10" r:id="rId7"/>
    <sheet name="7、IO测试结果(sysbench)" sheetId="9" r:id="rId8"/>
    <sheet name="8、OLTP测试结果(tpcc-mysql)" sheetId="1" r:id="rId9"/>
    <sheet name="8、OLTP测试结果(sysbench)" sheetId="14" r:id="rId10"/>
    <sheet name="9、OLAP测试结果(tpch)" sheetId="15" r:id="rId11"/>
    <sheet name="10、测试报告" sheetId="2" r:id="rId12"/>
    <sheet name="11、附录" sheetId="5" r:id="rId13"/>
  </sheets>
  <definedNames>
    <definedName name="_0、索引">'0、索引'!$A$2</definedName>
    <definedName name="_1、测试环境">'1、测试环境'!$A$1</definedName>
    <definedName name="_1、历次测试结果" localSheetId="9">'8、OLTP测试结果(sysbench)'!$B$10</definedName>
    <definedName name="_1、历次测试结果" localSheetId="10">'9、OLAP测试结果(tpch)'!$B$5</definedName>
    <definedName name="_1、历次测试结果">'8、OLTP测试结果(tpcc-mysql)'!$B$8</definedName>
    <definedName name="_1.1测试环境">'1、测试环境'!$A$1</definedName>
    <definedName name="_1.2、测试工具、脚本">'1、测试环境'!$A$13</definedName>
    <definedName name="_2、测试模式">'1、测试环境'!$A$13</definedName>
    <definedName name="_3、测试结果汇总">'10、测试报告'!$A$1</definedName>
    <definedName name="_4、测试报告">'10、测试报告'!$A$34</definedName>
    <definedName name="附录1_硬件信息">'11、附录'!$A$1</definedName>
    <definedName name="附录2_Intel_520_SSD配置">'11、附录'!$A$30</definedName>
    <definedName name="附录3_MySQL配置信息">'11、附录'!$A$126</definedName>
  </definedNames>
  <calcPr calcId="152511"/>
</workbook>
</file>

<file path=xl/calcChain.xml><?xml version="1.0" encoding="utf-8"?>
<calcChain xmlns="http://schemas.openxmlformats.org/spreadsheetml/2006/main">
  <c r="O39" i="10" l="1"/>
  <c r="N39" i="10"/>
  <c r="M39" i="10"/>
  <c r="L39" i="10"/>
  <c r="O38" i="10"/>
  <c r="N38" i="10"/>
  <c r="M38" i="10"/>
  <c r="L38" i="10"/>
  <c r="O37" i="10"/>
  <c r="N37" i="10"/>
  <c r="M37" i="10"/>
  <c r="L37" i="10"/>
  <c r="O36" i="10"/>
  <c r="N36" i="10"/>
  <c r="M36" i="10"/>
  <c r="L36" i="10"/>
  <c r="O35" i="10"/>
  <c r="N35" i="10"/>
  <c r="M35" i="10"/>
  <c r="L35" i="10"/>
  <c r="W37" i="15"/>
  <c r="R37" i="15"/>
  <c r="L37" i="15"/>
  <c r="G37" i="15"/>
  <c r="D38" i="15"/>
  <c r="C38" i="15"/>
  <c r="D37" i="15"/>
  <c r="C37" i="15"/>
  <c r="C35" i="15"/>
  <c r="X37" i="15"/>
  <c r="V37" i="15"/>
  <c r="U37" i="15"/>
  <c r="T37" i="15"/>
  <c r="S37" i="15"/>
  <c r="Q37" i="15"/>
  <c r="P37" i="15"/>
  <c r="O37" i="15"/>
  <c r="N37" i="15"/>
  <c r="M37" i="15"/>
  <c r="K37" i="15"/>
  <c r="J37" i="15"/>
  <c r="I37" i="15"/>
  <c r="H37" i="15"/>
  <c r="F37" i="15"/>
  <c r="E37" i="15"/>
  <c r="W35" i="15"/>
  <c r="R35" i="15"/>
  <c r="L35" i="15"/>
  <c r="G35" i="15"/>
  <c r="D35" i="15"/>
  <c r="E35" i="15"/>
  <c r="F35" i="15"/>
  <c r="H35" i="15"/>
  <c r="I35" i="15"/>
  <c r="J35" i="15"/>
  <c r="K35" i="15"/>
  <c r="M35" i="15"/>
  <c r="N35" i="15"/>
  <c r="O35" i="15"/>
  <c r="P35" i="15"/>
  <c r="Q35" i="15"/>
  <c r="S35" i="15"/>
  <c r="T35" i="15"/>
  <c r="U35" i="15"/>
  <c r="V35" i="15"/>
  <c r="X35" i="15"/>
  <c r="I12" i="1" l="1"/>
  <c r="J12" i="1"/>
  <c r="I13" i="1"/>
  <c r="J13" i="1"/>
  <c r="I14" i="1"/>
  <c r="J14" i="1"/>
  <c r="I15" i="1"/>
  <c r="J15" i="1"/>
  <c r="I16" i="1"/>
  <c r="J16" i="1"/>
  <c r="K39" i="10" l="1"/>
  <c r="J39" i="10"/>
  <c r="I39" i="10"/>
  <c r="H39" i="10"/>
  <c r="G39" i="10"/>
  <c r="F39" i="10"/>
  <c r="E39" i="10"/>
  <c r="D39" i="10"/>
  <c r="C39" i="10"/>
  <c r="K38" i="10"/>
  <c r="J38" i="10"/>
  <c r="I38" i="10"/>
  <c r="H38" i="10"/>
  <c r="G38" i="10"/>
  <c r="F38" i="10"/>
  <c r="E38" i="10"/>
  <c r="D38" i="10"/>
  <c r="C38" i="10"/>
  <c r="K37" i="10"/>
  <c r="J37" i="10"/>
  <c r="I37" i="10"/>
  <c r="H37" i="10"/>
  <c r="G37" i="10"/>
  <c r="F37" i="10"/>
  <c r="E37" i="10"/>
  <c r="D37" i="10"/>
  <c r="C37" i="10"/>
  <c r="K36" i="10"/>
  <c r="J36" i="10"/>
  <c r="I36" i="10"/>
  <c r="H36" i="10"/>
  <c r="G36" i="10"/>
  <c r="F36" i="10"/>
  <c r="E36" i="10"/>
  <c r="D36" i="10"/>
  <c r="C36" i="10"/>
  <c r="K35" i="10"/>
  <c r="J35" i="10"/>
  <c r="I35" i="10"/>
  <c r="H35" i="10"/>
  <c r="G35" i="10"/>
  <c r="F35" i="10"/>
  <c r="E35" i="10"/>
  <c r="D35" i="10"/>
  <c r="C35" i="10"/>
  <c r="E22" i="10" l="1"/>
  <c r="F22" i="10"/>
  <c r="G22" i="10"/>
  <c r="H22" i="10"/>
  <c r="I22" i="10"/>
  <c r="J22" i="10"/>
  <c r="K22" i="10"/>
  <c r="L22" i="10"/>
  <c r="M22" i="10"/>
  <c r="E21" i="10"/>
  <c r="F21" i="10"/>
  <c r="G21" i="10"/>
  <c r="H21" i="10"/>
  <c r="I21" i="10"/>
  <c r="J21" i="10"/>
  <c r="K21" i="10"/>
  <c r="L21" i="10"/>
  <c r="M21" i="10"/>
  <c r="E20" i="10"/>
  <c r="F20" i="10"/>
  <c r="G20" i="10"/>
  <c r="H20" i="10"/>
  <c r="I20" i="10"/>
  <c r="J20" i="10"/>
  <c r="K20" i="10"/>
  <c r="L20" i="10"/>
  <c r="M20" i="10"/>
  <c r="E19" i="10"/>
  <c r="F19" i="10"/>
  <c r="G19" i="10"/>
  <c r="H19" i="10"/>
  <c r="I19" i="10"/>
  <c r="J19" i="10"/>
  <c r="K19" i="10"/>
  <c r="L19" i="10"/>
  <c r="M19" i="10"/>
  <c r="E18" i="10"/>
  <c r="F18" i="10"/>
  <c r="G18" i="10"/>
  <c r="H18" i="10"/>
  <c r="I18" i="10"/>
  <c r="J18" i="10"/>
  <c r="K18" i="10"/>
  <c r="L18" i="10"/>
  <c r="M18" i="10"/>
  <c r="E17" i="10" l="1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E16" i="10" l="1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J18" i="14"/>
  <c r="I18" i="14"/>
  <c r="J17" i="14"/>
  <c r="I17" i="14"/>
  <c r="J16" i="14"/>
  <c r="I16" i="14"/>
  <c r="J15" i="14"/>
  <c r="I15" i="14"/>
  <c r="J14" i="14"/>
  <c r="I14" i="14"/>
  <c r="R15" i="10" l="1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E14" i="10" l="1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R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1" i="10"/>
  <c r="J11" i="10"/>
  <c r="I11" i="10"/>
  <c r="F11" i="10"/>
  <c r="G11" i="10"/>
  <c r="H11" i="10"/>
  <c r="K11" i="10"/>
  <c r="L11" i="10"/>
  <c r="M11" i="10"/>
  <c r="N11" i="10"/>
  <c r="O11" i="10"/>
  <c r="P11" i="10"/>
  <c r="Q11" i="10"/>
  <c r="E11" i="10"/>
</calcChain>
</file>

<file path=xl/sharedStrings.xml><?xml version="1.0" encoding="utf-8"?>
<sst xmlns="http://schemas.openxmlformats.org/spreadsheetml/2006/main" count="596" uniqueCount="454">
  <si>
    <t>Percona 5.5.15-21</t>
    <phoneticPr fontId="2" type="noConversion"/>
  </si>
  <si>
    <t>线程数</t>
    <phoneticPr fontId="2" type="noConversion"/>
  </si>
  <si>
    <t>(SSD,XFS)第一次</t>
    <phoneticPr fontId="2" type="noConversion"/>
  </si>
  <si>
    <t>(SAS, XFS)，第一次</t>
    <phoneticPr fontId="2" type="noConversion"/>
  </si>
  <si>
    <t>(SAS, XFS)，第二次</t>
    <phoneticPr fontId="2" type="noConversion"/>
  </si>
  <si>
    <t>(SAS,EXT4)，第一次</t>
    <phoneticPr fontId="2" type="noConversion"/>
  </si>
  <si>
    <t>(SAS,EXT4)，第二次</t>
    <phoneticPr fontId="2" type="noConversion"/>
  </si>
  <si>
    <t>模式、TPMC</t>
    <phoneticPr fontId="2" type="noConversion"/>
  </si>
  <si>
    <t>Percona 5.5.15-21</t>
    <phoneticPr fontId="2" type="noConversion"/>
  </si>
  <si>
    <t>(SAS, XFS)</t>
    <phoneticPr fontId="2" type="noConversion"/>
  </si>
  <si>
    <t>(SAS,EXT4)</t>
    <phoneticPr fontId="2" type="noConversion"/>
  </si>
  <si>
    <t>(SSD,XFS)</t>
    <phoneticPr fontId="2" type="noConversion"/>
  </si>
  <si>
    <t>(SSD,EXT4)第一次</t>
    <phoneticPr fontId="2" type="noConversion"/>
  </si>
  <si>
    <t>(SAS, XFS)，平均</t>
    <phoneticPr fontId="2" type="noConversion"/>
  </si>
  <si>
    <t>(SAS,EXT4)，平均</t>
    <phoneticPr fontId="2" type="noConversion"/>
  </si>
  <si>
    <t>(SSD,EXT4)</t>
    <phoneticPr fontId="2" type="noConversion"/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</si>
  <si>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微软雅黑"/>
        <family val="2"/>
        <charset val="134"/>
      </rPr>
      <t>在xfs文件系统模式下，SSD设备的性能是SAS设备性能的7.8~11.3倍，平均：8.8倍，在并发16线程时最高(和MySQL的内部机制有关)；</t>
    </r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</si>
  <si>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微软雅黑"/>
        <family val="2"/>
        <charset val="134"/>
      </rPr>
      <t>在ext4文件系统模式下，SSD设备的性能是SAS设备性能的4.9~8.6倍，平均：6.6倍，在并发16线程时最高(和MySQL的内部机制有关)；</t>
    </r>
  </si>
  <si>
    <r>
      <t>3.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微软雅黑"/>
        <family val="2"/>
        <charset val="134"/>
      </rPr>
      <t>在SSD设备模式下，xfs文件系统的性能是ext4文件系统性能的1.06~1.39倍，平均：1.15倍；</t>
    </r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</si>
  <si>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微软雅黑"/>
        <family val="2"/>
        <charset val="134"/>
      </rPr>
      <t>在SSD设备模式下，OLTP并发32线程时效率最高；</t>
    </r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</si>
  <si>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微软雅黑"/>
        <family val="2"/>
        <charset val="134"/>
      </rPr>
      <t>由于ext3下运行mysql效率较低，没有进行测试；</t>
    </r>
  </si>
  <si>
    <t>nnodb_buffer_pool_size = 26G</t>
  </si>
  <si>
    <t>innodb_data_file_path = ibdata1:1G:autoextend</t>
  </si>
  <si>
    <t>innodb_thread_concurrency = 0</t>
  </si>
  <si>
    <t>innodb_sync_spin_loops = 100</t>
  </si>
  <si>
    <t>innodb_spin_wait_delay = 30</t>
  </si>
  <si>
    <t>innodb_flush_log_at_trx_commit = 1</t>
  </si>
  <si>
    <t>innodb_read_ahead=both</t>
  </si>
  <si>
    <t>innodb_log_buffer_size = 64M</t>
  </si>
  <si>
    <t>innodb_log_file_size = 256M</t>
  </si>
  <si>
    <t>innodb_log_files_in_group = 2</t>
  </si>
  <si>
    <t>innodb_max_dirty_pages_pct = 50</t>
  </si>
  <si>
    <t>innodb_read_io_threads = 2</t>
  </si>
  <si>
    <t>innodb_write_io_threads = 8</t>
  </si>
  <si>
    <t>innodb_io_capacity = 2000</t>
  </si>
  <si>
    <t>innodb_stats_update_need_lock = 0</t>
  </si>
  <si>
    <t>innodb_stats_auto_update = 0</t>
  </si>
  <si>
    <t>innodb_old_blocks_pct = 75</t>
  </si>
  <si>
    <t>innodb_adaptive_flushing_method = "estimate"</t>
  </si>
  <si>
    <t>innodb_adaptive_flushing = 1</t>
  </si>
  <si>
    <t>transaction_isolation = READ-COMMITTED</t>
  </si>
  <si>
    <t>innodb_flush_method = O_DIRECT</t>
  </si>
  <si>
    <t>测试机</t>
  </si>
  <si>
    <t>CPU</t>
  </si>
  <si>
    <t>内存</t>
  </si>
  <si>
    <t>32G(4G * 8)</t>
    <phoneticPr fontId="2" type="noConversion"/>
  </si>
  <si>
    <t>RAID卡</t>
  </si>
  <si>
    <t>系统</t>
  </si>
  <si>
    <t>Red Hat Enterprise Linux Server release 5.3 (Tikanga)</t>
  </si>
  <si>
    <t>内核</t>
  </si>
  <si>
    <t>raid级别</t>
  </si>
  <si>
    <t>文件系统</t>
  </si>
  <si>
    <t>硬盘</t>
  </si>
  <si>
    <t>E5620  @ 2.40GHz(4 core, 8 threads, L3 Cache 12 MB) * 2</t>
    <phoneticPr fontId="2" type="noConversion"/>
  </si>
  <si>
    <t>PERC H700 Integrated, 512MB, BBU, 12.10.1-0001</t>
    <phoneticPr fontId="2" type="noConversion"/>
  </si>
  <si>
    <t>2.6.18-194.el5 #1 SMP</t>
  </si>
  <si>
    <t>raid 0</t>
    <phoneticPr fontId="2" type="noConversion"/>
  </si>
  <si>
    <t>xfs/ext4</t>
    <phoneticPr fontId="2" type="noConversion"/>
  </si>
  <si>
    <t>SAS: 10K RPM, 300G SAS, 6G/s(TOSHIBA MBF2300RC) * 2
SSD: Intel 520系列SSD, 240G * 2</t>
    <phoneticPr fontId="2" type="noConversion"/>
  </si>
  <si>
    <t xml:space="preserve"> </t>
    <phoneticPr fontId="2" type="noConversion"/>
  </si>
  <si>
    <t>4、测试报告：</t>
    <phoneticPr fontId="2" type="noConversion"/>
  </si>
  <si>
    <t>3、测试结果汇总</t>
    <phoneticPr fontId="2" type="noConversion"/>
  </si>
  <si>
    <t>1、测试环境</t>
    <phoneticPr fontId="2" type="noConversion"/>
  </si>
  <si>
    <t xml:space="preserve">hwconfig </t>
  </si>
  <si>
    <t>hostname: Host name lookup failure</t>
  </si>
  <si>
    <t>Summary:        Dell R710, 1 x Xeon E5620 2.40GHz, 31.4GB / 32GB 1333MHz</t>
  </si>
  <si>
    <t>System:         Dell PowerEdge R710 (Dell 0XDX06)</t>
  </si>
  <si>
    <t>Processors:     1 (of 2) x Xeon E5620 2.40GHz 5860MHz FSB (HT enabled, 4 cores, 16 threads)</t>
  </si>
  <si>
    <t>Memory:         31.4GB / 32GB 1333MHz == 8 x 4GB, 10 x empty</t>
  </si>
  <si>
    <t>Disk:           megaraid_sas0-vol0: RAID-1 == 2 x TOSHIBA-MBF2300RC</t>
  </si>
  <si>
    <t>Disk:           megaraid_sas0-vol1: RAID-0 == 4 x TOSHIBA-MBF2300RC</t>
  </si>
  <si>
    <t>Disk:           megaraid_sas0-vol2: RAID-0 == 1 x CVCV204303ZQ240CGN-INTEL-SSDSC2CW240A3</t>
  </si>
  <si>
    <t xml:space="preserve">                                              1 x CVCV204303XF240CGN-INTEL-SSDSC2CW240A3</t>
  </si>
  <si>
    <t>Disk:           sda (megaraid_sas0): 299GB (4%) JBOD == 1 x DELL-PERC-H700</t>
  </si>
  <si>
    <t>Disk:           sdb (scsi0): JBOD == 1 x DELL-PERC-H700</t>
  </si>
  <si>
    <t>Disk:           sdc (scsi0): JBOD == 1 x DELL-PERC-H700</t>
  </si>
  <si>
    <t>Disk:           sdh: 1.2TB</t>
  </si>
  <si>
    <t>Disk:           sdi: 479GB (5%)</t>
  </si>
  <si>
    <t>Disk-Control:   megaraid_sas0: LSI Logic / Symbios Logic Unknown device 0079, Package 12.10.1-0001, FW 2.100.03-1062, BIOS 3.18.00_4.09.05.00_0x0416A000, Cache 512MB, BBU</t>
  </si>
  <si>
    <t>Chipset:        Intel 82801IB (ICH9)</t>
  </si>
  <si>
    <t>Network:        eth0 (bnx2): Broadcom NetXtreme II BCM5709 Gigabit, 78:2b:cb:24:e7:13, 1000Mb/s &lt;full-duplex&gt;</t>
  </si>
  <si>
    <t>Network:        eth1 (bnx2): Broadcom NetXtreme II BCM5709 Gigabit, 78:2b:cb:24:e7:15, 1000Mb/s &lt;full-duplex&gt;</t>
  </si>
  <si>
    <t>Network:        eth2 (bnx2): Broadcom NetXtreme II BCM5709 Gigabit, 78:2b:cb:24:e7:17, no carrier</t>
  </si>
  <si>
    <t>Network:        eth3 (bnx2): Broadcom NetXtreme II BCM5709 Gigabit, 78:2b:cb:24:e7:19, no carrier</t>
  </si>
  <si>
    <t>OS:             RHEL Server 5.3 (Tikanga), Linux 2.6.18-194.el5 x86_64, 64-bit</t>
  </si>
  <si>
    <t>BIOS:           Dell 3.0.0 01/31/2011</t>
  </si>
  <si>
    <t>ATA device, with non-removable media</t>
  </si>
  <si>
    <t>Model Number: INTEL SSDSC2CW240A3</t>
  </si>
  <si>
    <t>Serial Number: CVCV204401QP240CGN</t>
  </si>
  <si>
    <t>Firmware Revision: 400i</t>
  </si>
  <si>
    <t>Transport: Serial, ATA8-AST, SATA 1.0a, SATA II Extensions, SATA Rev 2.5, SATA Rev 2.6, SATA Rev 3.0</t>
  </si>
  <si>
    <t>Standards:</t>
  </si>
  <si>
    <t>Used: unknown (minor revision code 0x0110)</t>
  </si>
  <si>
    <t>Supported: 9 8 7 6 5</t>
  </si>
  <si>
    <t>Likely used: 9</t>
  </si>
  <si>
    <t>Configuration:</t>
  </si>
  <si>
    <t>Logical max current</t>
  </si>
  <si>
    <t>cylinders 16383 16383</t>
  </si>
  <si>
    <t>heads 16 16</t>
  </si>
  <si>
    <t>sectors/track 63 63</t>
  </si>
  <si>
    <t>--</t>
  </si>
  <si>
    <t>CHS current addressable sectors: 16514064</t>
  </si>
  <si>
    <t>LBA user addressable sectors: 268435455</t>
  </si>
  <si>
    <t>LBA48 user addressable sectors: 468862128</t>
  </si>
  <si>
    <t>Logical Sector size: 512 bytes</t>
  </si>
  <si>
    <t>Physical Sector size: 512 bytes</t>
  </si>
  <si>
    <t>Logical Sector-0 offset: 0 bytes</t>
  </si>
  <si>
    <t>device size with M = 1024*1024: 228936 MBytes</t>
  </si>
  <si>
    <t>device size with M = 1000*1000: 240057 MBytes (240 GB)</t>
  </si>
  <si>
    <t>cache/buffer size = unknown</t>
  </si>
  <si>
    <t>Nominal Media Rotation Rate: Solid State Device</t>
  </si>
  <si>
    <t>Capabilities:</t>
  </si>
  <si>
    <t>LBA, IORDY(can be disabled)</t>
  </si>
  <si>
    <t>Queue depth: 32</t>
  </si>
  <si>
    <t>Standby timer values: spec'd by Standard, no device specific minimum</t>
  </si>
  <si>
    <t>R/W multiple sector transfer: Max = 16 Current = 16</t>
  </si>
  <si>
    <t>Advanced power management level: 254</t>
  </si>
  <si>
    <t>DMA: mdma0 mdma1 mdma2 udma0 udma1 udma2 udma3 udma4 udma5 *udma6</t>
  </si>
  <si>
    <t>Cycle time: min=120ns recommended=120ns</t>
  </si>
  <si>
    <t>PIO: pio0 pio1 pio2 pio3 pio4</t>
  </si>
  <si>
    <t>Cycle time: no flow control=120ns IORDY flow control=120ns</t>
  </si>
  <si>
    <t>Commands/features:</t>
  </si>
  <si>
    <t>Enabled Supported:</t>
  </si>
  <si>
    <t>* SMART feature set</t>
  </si>
  <si>
    <t>Security Mode feature set</t>
  </si>
  <si>
    <t>* Power Management feature set</t>
  </si>
  <si>
    <t>* Write cache</t>
  </si>
  <si>
    <t>* Look-ahead</t>
  </si>
  <si>
    <t>* Host Protected Area feature set</t>
  </si>
  <si>
    <t>* WRITE_BUFFER command</t>
  </si>
  <si>
    <t>* READ_BUFFER command</t>
  </si>
  <si>
    <t>* NOP cmd</t>
  </si>
  <si>
    <t>* DOWNLOAD_MICROCODE</t>
  </si>
  <si>
    <t>* Advanced Power Management feature set</t>
  </si>
  <si>
    <t>Power-Up In Standby feature set</t>
  </si>
  <si>
    <t>* SET_FEATURES required to spinup after power up</t>
  </si>
  <si>
    <t>* 48-bit Address feature set</t>
  </si>
  <si>
    <t>* Mandatory FLUSH_CACHE</t>
  </si>
  <si>
    <t>* FLUSH_CACHE_EXT</t>
  </si>
  <si>
    <t>* SMART error logging</t>
  </si>
  <si>
    <t>* SMART self-test</t>
  </si>
  <si>
    <t>* General Purpose Logging feature set</t>
  </si>
  <si>
    <t>* WRITE_{DMA|MULTIPLE}_FUA_EXT</t>
  </si>
  <si>
    <t>* 64-bit World wide name</t>
  </si>
  <si>
    <t>* IDLE_IMMEDIATE with UNLOAD</t>
  </si>
  <si>
    <t>* WRITE_UNCORRECTABLE_EXT command</t>
  </si>
  <si>
    <t>* {READ,WRITE}_DMA_EXT_GPL commands</t>
  </si>
  <si>
    <t>* Segmented DOWNLOAD_MICROCODE</t>
  </si>
  <si>
    <t>* Gen1 signaling speed (1.5Gb/s)</t>
  </si>
  <si>
    <t>* Gen2 signaling speed (3.0Gb/s)</t>
  </si>
  <si>
    <t>* unknown 76[3]</t>
  </si>
  <si>
    <t>* Native Command Queueing (NCQ)</t>
  </si>
  <si>
    <t>* Host-initiated interface power management</t>
  </si>
  <si>
    <t>* Phy event counters</t>
  </si>
  <si>
    <t>* unknown 76[14]</t>
  </si>
  <si>
    <t>* DMA Setup Auto-Activate optimization</t>
  </si>
  <si>
    <t>Device-initiated interface power management</t>
  </si>
  <si>
    <t>* Software settings preservation</t>
  </si>
  <si>
    <t>* SMART Command Transport (SCT) feature set</t>
  </si>
  <si>
    <t>* SCT Data Tables (AC5)</t>
  </si>
  <si>
    <t>* Data Set Management TRIM supported</t>
  </si>
  <si>
    <t>* Deterministic read after TRIM</t>
  </si>
  <si>
    <t>Security:</t>
  </si>
  <si>
    <t>Master password revision code = 65534</t>
  </si>
  <si>
    <t>supported</t>
  </si>
  <si>
    <t>not enabled</t>
  </si>
  <si>
    <t>not locked</t>
  </si>
  <si>
    <t>not frozen</t>
  </si>
  <si>
    <t>not expired: security count</t>
  </si>
  <si>
    <t>supported: enhanced erase</t>
  </si>
  <si>
    <t>4min for SECURITY ERASE UNIT. 2min for ENHANCED SECURITY ERASE UNIT.</t>
  </si>
  <si>
    <t>Logical Unit WWN Device Identifier: 5001517bb2821c47</t>
  </si>
  <si>
    <t>NAA : 5</t>
  </si>
  <si>
    <t>IEEE OUI : 001517</t>
  </si>
  <si>
    <t>Unique ID : bb2821c47</t>
  </si>
  <si>
    <t>Checksum: correct</t>
  </si>
  <si>
    <t xml:space="preserve"> </t>
    <phoneticPr fontId="2" type="noConversion"/>
  </si>
  <si>
    <t>附录2：Intel 520 SSD配置</t>
    <phoneticPr fontId="2" type="noConversion"/>
  </si>
  <si>
    <t>附录3：MySQL配置信息</t>
    <phoneticPr fontId="2" type="noConversion"/>
  </si>
  <si>
    <t>附录1：硬件信息</t>
    <phoneticPr fontId="2" type="noConversion"/>
  </si>
  <si>
    <t>2、历次测试结果</t>
    <phoneticPr fontId="2" type="noConversion"/>
  </si>
  <si>
    <t>测试DW： 1000</t>
    <phoneticPr fontId="2" type="noConversion"/>
  </si>
  <si>
    <t>测试工具： tpcc-mysql</t>
    <phoneticPr fontId="2" type="noConversion"/>
  </si>
  <si>
    <t>线程数</t>
    <phoneticPr fontId="2" type="noConversion"/>
  </si>
  <si>
    <t>最大请求数</t>
    <phoneticPr fontId="2" type="noConversion"/>
  </si>
  <si>
    <t>计算最大素数</t>
    <phoneticPr fontId="2" type="noConversion"/>
  </si>
  <si>
    <t>时间(s)</t>
    <phoneticPr fontId="2" type="noConversion"/>
  </si>
  <si>
    <t>线程数</t>
    <phoneticPr fontId="2" type="noConversion"/>
  </si>
  <si>
    <t>最大请求数</t>
    <phoneticPr fontId="2" type="noConversion"/>
  </si>
  <si>
    <t>读性能(ops/sec)</t>
    <phoneticPr fontId="2" type="noConversion"/>
  </si>
  <si>
    <t>写性能(ops/sec)</t>
    <phoneticPr fontId="2" type="noConversion"/>
  </si>
  <si>
    <t>读速度(MB/sec)</t>
    <phoneticPr fontId="2" type="noConversion"/>
  </si>
  <si>
    <t>写速度(MB/sec)</t>
    <phoneticPr fontId="2" type="noConversion"/>
  </si>
  <si>
    <t>内存块大小(K)</t>
    <phoneticPr fontId="2" type="noConversion"/>
  </si>
  <si>
    <t>读耗时(s)</t>
    <phoneticPr fontId="2" type="noConversion"/>
  </si>
  <si>
    <t>测试工具： sysbench</t>
    <phoneticPr fontId="2" type="noConversion"/>
  </si>
  <si>
    <t>线程数</t>
    <phoneticPr fontId="2" type="noConversion"/>
  </si>
  <si>
    <t>文件总大小(GB)</t>
    <phoneticPr fontId="2" type="noConversion"/>
  </si>
  <si>
    <t>传输速度(Mb/sec)</t>
    <phoneticPr fontId="2" type="noConversion"/>
  </si>
  <si>
    <t>执行总时间(s)</t>
    <phoneticPr fontId="2" type="noConversion"/>
  </si>
  <si>
    <t>文件块大小(KB)</t>
    <phoneticPr fontId="2" type="noConversion"/>
  </si>
  <si>
    <t>请求统计</t>
    <phoneticPr fontId="2" type="noConversion"/>
  </si>
  <si>
    <t>最快</t>
    <phoneticPr fontId="2" type="noConversion"/>
  </si>
  <si>
    <t>最慢</t>
    <phoneticPr fontId="2" type="noConversion"/>
  </si>
  <si>
    <t>平均</t>
    <phoneticPr fontId="2" type="noConversion"/>
  </si>
  <si>
    <t xml:space="preserve">最大请求数： 5,000,000 </t>
    <phoneticPr fontId="2" type="noConversion"/>
  </si>
  <si>
    <t>测试工具： iozone</t>
    <phoneticPr fontId="2" type="noConversion"/>
  </si>
  <si>
    <t>单个文件最小尺寸： 1G</t>
    <phoneticPr fontId="2" type="noConversion"/>
  </si>
  <si>
    <t>Initial_write(MB/s)</t>
    <phoneticPr fontId="2" type="noConversion"/>
  </si>
  <si>
    <t>Rewrite(MB/s)</t>
    <phoneticPr fontId="2" type="noConversion"/>
  </si>
  <si>
    <t>Read(MB/s)</t>
    <phoneticPr fontId="2" type="noConversion"/>
  </si>
  <si>
    <t>Re-read(MB/s)</t>
    <phoneticPr fontId="2" type="noConversion"/>
  </si>
  <si>
    <t>Reverse_Read(MB/s)</t>
    <phoneticPr fontId="2" type="noConversion"/>
  </si>
  <si>
    <t>Stride_read(MB/s)</t>
    <phoneticPr fontId="2" type="noConversion"/>
  </si>
  <si>
    <t>Random_read(MB/s)</t>
    <phoneticPr fontId="2" type="noConversion"/>
  </si>
  <si>
    <t>Mixed_workload(MB/s)</t>
    <phoneticPr fontId="2" type="noConversion"/>
  </si>
  <si>
    <t>Random_write(MB/s)</t>
    <phoneticPr fontId="2" type="noConversion"/>
  </si>
  <si>
    <t>Pwrite(MB/s)</t>
    <phoneticPr fontId="2" type="noConversion"/>
  </si>
  <si>
    <t>Pread(MB/s)</t>
    <phoneticPr fontId="2" type="noConversion"/>
  </si>
  <si>
    <t>Fwrite(MB/s)</t>
    <phoneticPr fontId="2" type="noConversion"/>
  </si>
  <si>
    <t>Fread(MB/s)</t>
    <phoneticPr fontId="2" type="noConversion"/>
  </si>
  <si>
    <t>耗时(秒)</t>
    <phoneticPr fontId="2" type="noConversion"/>
  </si>
  <si>
    <t>locks</t>
    <phoneticPr fontId="2" type="noConversion"/>
  </si>
  <si>
    <t>最大请求数</t>
    <phoneticPr fontId="2" type="noConversion"/>
  </si>
  <si>
    <t>thread yields： 5,000,000</t>
    <phoneticPr fontId="2" type="noConversion"/>
  </si>
  <si>
    <t>yields</t>
    <phoneticPr fontId="2" type="noConversion"/>
  </si>
  <si>
    <t>mutex num</t>
    <phoneticPr fontId="2" type="noConversion"/>
  </si>
  <si>
    <t>mutex locks</t>
    <phoneticPr fontId="2" type="noConversion"/>
  </si>
  <si>
    <t>mutex loops</t>
    <phoneticPr fontId="2" type="noConversion"/>
  </si>
  <si>
    <t>读内存</t>
    <phoneticPr fontId="2" type="noConversion"/>
  </si>
  <si>
    <t>写内存</t>
    <phoneticPr fontId="2" type="noConversion"/>
  </si>
  <si>
    <t>写耗时(s)</t>
    <phoneticPr fontId="2" type="noConversion"/>
  </si>
  <si>
    <t>内存总大小(GB)</t>
    <phoneticPr fontId="2" type="noConversion"/>
  </si>
  <si>
    <t>读写模式： rnd(随机)</t>
    <phoneticPr fontId="2" type="noConversion"/>
  </si>
  <si>
    <t>最大请求数</t>
    <phoneticPr fontId="2" type="noConversion"/>
  </si>
  <si>
    <t>文件个数</t>
    <phoneticPr fontId="2" type="noConversion"/>
  </si>
  <si>
    <t>测试模式</t>
    <phoneticPr fontId="2" type="noConversion"/>
  </si>
  <si>
    <t>rndrw</t>
  </si>
  <si>
    <t>查询</t>
    <phoneticPr fontId="2" type="noConversion"/>
  </si>
  <si>
    <t>Q1</t>
    <phoneticPr fontId="2" type="noConversion"/>
  </si>
  <si>
    <t>均值(s)</t>
    <phoneticPr fontId="2" type="noConversion"/>
  </si>
  <si>
    <t>Q2</t>
    <phoneticPr fontId="2" type="noConversion"/>
  </si>
  <si>
    <t>Q3</t>
    <phoneticPr fontId="2" type="noConversion"/>
  </si>
  <si>
    <t>Q4</t>
    <phoneticPr fontId="2" type="noConversion"/>
  </si>
  <si>
    <t>Q5</t>
    <phoneticPr fontId="2" type="noConversion"/>
  </si>
  <si>
    <t>Q6</t>
    <phoneticPr fontId="2" type="noConversion"/>
  </si>
  <si>
    <t>Q7</t>
    <phoneticPr fontId="2" type="noConversion"/>
  </si>
  <si>
    <t>Q8</t>
    <phoneticPr fontId="2" type="noConversion"/>
  </si>
  <si>
    <t>Q9</t>
    <phoneticPr fontId="2" type="noConversion"/>
  </si>
  <si>
    <t>Q10</t>
    <phoneticPr fontId="2" type="noConversion"/>
  </si>
  <si>
    <t>Q11</t>
    <phoneticPr fontId="2" type="noConversion"/>
  </si>
  <si>
    <t>Q12</t>
    <phoneticPr fontId="2" type="noConversion"/>
  </si>
  <si>
    <t>Q13</t>
    <phoneticPr fontId="2" type="noConversion"/>
  </si>
  <si>
    <t>Q14</t>
    <phoneticPr fontId="2" type="noConversion"/>
  </si>
  <si>
    <t>Q15</t>
    <phoneticPr fontId="2" type="noConversion"/>
  </si>
  <si>
    <t>Q16</t>
    <phoneticPr fontId="2" type="noConversion"/>
  </si>
  <si>
    <t>Q17</t>
    <phoneticPr fontId="2" type="noConversion"/>
  </si>
  <si>
    <t>Q18</t>
    <phoneticPr fontId="2" type="noConversion"/>
  </si>
  <si>
    <t>Q19</t>
    <phoneticPr fontId="2" type="noConversion"/>
  </si>
  <si>
    <t>Q20</t>
    <phoneticPr fontId="2" type="noConversion"/>
  </si>
  <si>
    <t>Q21</t>
    <phoneticPr fontId="2" type="noConversion"/>
  </si>
  <si>
    <t>Q22</t>
    <phoneticPr fontId="2" type="noConversion"/>
  </si>
  <si>
    <t>测试工具： tpch</t>
    <phoneticPr fontId="2" type="noConversion"/>
  </si>
  <si>
    <t>第一轮(s)</t>
    <phoneticPr fontId="2" type="noConversion"/>
  </si>
  <si>
    <t>第二轮(s)</t>
    <phoneticPr fontId="2" type="noConversion"/>
  </si>
  <si>
    <t>第三轮(s)</t>
    <phoneticPr fontId="2" type="noConversion"/>
  </si>
  <si>
    <t xml:space="preserve"> 2.1 整合sysbench测试脚本</t>
    <phoneticPr fontId="2" type="noConversion"/>
  </si>
  <si>
    <r>
      <rPr>
        <sz val="10"/>
        <color rgb="FF4B4B4B"/>
        <rFont val="Courier"/>
        <family val="3"/>
      </rPr>
      <t xml:space="preserve"> 2.2 </t>
    </r>
    <r>
      <rPr>
        <sz val="10"/>
        <color rgb="FF4B4B4B"/>
        <rFont val="宋体"/>
        <family val="3"/>
        <charset val="134"/>
      </rPr>
      <t>整合</t>
    </r>
    <r>
      <rPr>
        <sz val="10"/>
        <color rgb="FF4B4B4B"/>
        <rFont val="Courier"/>
        <family val="3"/>
      </rPr>
      <t>iozone</t>
    </r>
    <r>
      <rPr>
        <sz val="10"/>
        <color rgb="FF4B4B4B"/>
        <rFont val="宋体"/>
        <family val="3"/>
        <charset val="134"/>
      </rPr>
      <t>测试脚本</t>
    </r>
    <phoneticPr fontId="2" type="noConversion"/>
  </si>
  <si>
    <r>
      <rPr>
        <sz val="10"/>
        <color rgb="FF4B4B4B"/>
        <rFont val="Courier"/>
        <family val="3"/>
      </rPr>
      <t xml:space="preserve"> 2.3 </t>
    </r>
    <r>
      <rPr>
        <sz val="10"/>
        <color rgb="FF4B4B4B"/>
        <rFont val="宋体"/>
        <family val="3"/>
        <charset val="134"/>
      </rPr>
      <t>整合</t>
    </r>
    <r>
      <rPr>
        <sz val="10"/>
        <color rgb="FF4B4B4B"/>
        <rFont val="Courier"/>
        <family val="3"/>
      </rPr>
      <t>tpcc-mysql</t>
    </r>
    <r>
      <rPr>
        <sz val="10"/>
        <color rgb="FF4B4B4B"/>
        <rFont val="宋体"/>
        <family val="3"/>
        <charset val="134"/>
      </rPr>
      <t>测试脚本</t>
    </r>
    <phoneticPr fontId="2" type="noConversion"/>
  </si>
  <si>
    <r>
      <rPr>
        <sz val="10"/>
        <color rgb="FF4B4B4B"/>
        <rFont val="Courier"/>
        <family val="3"/>
      </rPr>
      <t xml:space="preserve"> 2.4 </t>
    </r>
    <r>
      <rPr>
        <sz val="10"/>
        <color rgb="FF4B4B4B"/>
        <rFont val="宋体"/>
        <family val="3"/>
        <charset val="134"/>
      </rPr>
      <t>整合</t>
    </r>
    <r>
      <rPr>
        <sz val="10"/>
        <color rgb="FF4B4B4B"/>
        <rFont val="Courier"/>
        <family val="3"/>
      </rPr>
      <t>tpch</t>
    </r>
    <r>
      <rPr>
        <sz val="10"/>
        <color rgb="FF4B4B4B"/>
        <rFont val="宋体"/>
        <family val="3"/>
        <charset val="134"/>
      </rPr>
      <t>测试脚本</t>
    </r>
    <phoneticPr fontId="2" type="noConversion"/>
  </si>
  <si>
    <t>线程数</t>
    <phoneticPr fontId="2" type="noConversion"/>
  </si>
  <si>
    <t>耗时</t>
    <phoneticPr fontId="2" type="noConversion"/>
  </si>
  <si>
    <t>模式</t>
    <phoneticPr fontId="2" type="noConversion"/>
  </si>
  <si>
    <t>Memory Read：读性能(Ops/s)</t>
    <phoneticPr fontId="2" type="noConversion"/>
  </si>
  <si>
    <t>Memory Read：读性能(Mb/s)</t>
    <phoneticPr fontId="2" type="noConversion"/>
  </si>
  <si>
    <t>Memory Write：写性能(Mb/s)</t>
    <phoneticPr fontId="2" type="noConversion"/>
  </si>
  <si>
    <t>Memory Write：写性能(Ops/s)</t>
    <phoneticPr fontId="2" type="noConversion"/>
  </si>
  <si>
    <t>2SSD_RAID1_R_E_s_1024M_l_8_r_4k</t>
  </si>
  <si>
    <t>2SSD_RAID1_R_E_s_1024M_l_8_r_8k</t>
  </si>
  <si>
    <t>2SSD_RAID1_R_E_s_1024M_l_8_r_16k</t>
  </si>
  <si>
    <t>2SSD_RAID1_R_E_s_1024M_l_8_r_32k</t>
  </si>
  <si>
    <t>2SSD_RAID1_R_E_s_1024M_l_8_r_64k</t>
  </si>
  <si>
    <t>4th_50000req_4g_4k</t>
  </si>
  <si>
    <t>4th_50000req_4g_8k</t>
  </si>
  <si>
    <t>4th_50000req_8g_4k</t>
  </si>
  <si>
    <t>4th_50000req_8g_8k</t>
  </si>
  <si>
    <r>
      <t>Memory</t>
    </r>
    <r>
      <rPr>
        <sz val="12"/>
        <color rgb="FF000000"/>
        <rFont val="宋体"/>
        <family val="3"/>
        <charset val="134"/>
      </rPr>
      <t>读写测试</t>
    </r>
    <r>
      <rPr>
        <sz val="12"/>
        <color rgb="FF000000"/>
        <rFont val="Calibri"/>
        <family val="2"/>
      </rPr>
      <t>(ops/sec)-20121214</t>
    </r>
    <phoneticPr fontId="2" type="noConversion"/>
  </si>
  <si>
    <r>
      <t>Memory</t>
    </r>
    <r>
      <rPr>
        <sz val="12"/>
        <color rgb="FF000000"/>
        <rFont val="宋体"/>
        <family val="3"/>
        <charset val="134"/>
      </rPr>
      <t>读写测试</t>
    </r>
    <r>
      <rPr>
        <sz val="12"/>
        <color rgb="FF000000"/>
        <rFont val="Calibri"/>
        <family val="2"/>
      </rPr>
      <t>(MB/sec)-20121214</t>
    </r>
    <phoneticPr fontId="2" type="noConversion"/>
  </si>
  <si>
    <t>rndrw</t>
    <phoneticPr fontId="2" type="noConversion"/>
  </si>
  <si>
    <t>seqrewr(MB/s)</t>
  </si>
  <si>
    <t>seqrd(MB/s)</t>
  </si>
  <si>
    <t>rndrd(MB/s)</t>
  </si>
  <si>
    <t>rndwr(MB/s)</t>
  </si>
  <si>
    <t>seqwr(MB/s)</t>
    <phoneticPr fontId="2" type="noConversion"/>
  </si>
  <si>
    <t>rndrw(MB/s)</t>
    <phoneticPr fontId="2" type="noConversion"/>
  </si>
  <si>
    <t>模式</t>
    <phoneticPr fontId="2" type="noConversion"/>
  </si>
  <si>
    <t>Q1(s)</t>
  </si>
  <si>
    <t>Q2(s)</t>
  </si>
  <si>
    <t>Q3(s)</t>
  </si>
  <si>
    <t>Q4(s)</t>
  </si>
  <si>
    <t>Q5(s)</t>
  </si>
  <si>
    <t>Q6(s)</t>
  </si>
  <si>
    <t>Q7(s)</t>
  </si>
  <si>
    <t>Q8(s)</t>
  </si>
  <si>
    <t>Q9(s)</t>
  </si>
  <si>
    <t>Q10(s)</t>
  </si>
  <si>
    <t>Q11(s)</t>
  </si>
  <si>
    <t>Q12(s)</t>
  </si>
  <si>
    <t>Q13(s)</t>
  </si>
  <si>
    <t>Q14(s)</t>
  </si>
  <si>
    <t>Q15(s)</t>
  </si>
  <si>
    <t>Q16(s)</t>
  </si>
  <si>
    <t>Q17(s)</t>
  </si>
  <si>
    <t>Q18(s)</t>
  </si>
  <si>
    <t>Q19(s)</t>
  </si>
  <si>
    <t>Q20(s)</t>
  </si>
  <si>
    <t>Q21(s)</t>
  </si>
  <si>
    <t>Q22(s)</t>
    <phoneticPr fontId="2" type="noConversion"/>
  </si>
  <si>
    <t>6SAS_RAID10_4th_50000req_4g_4k</t>
    <phoneticPr fontId="2" type="noConversion"/>
  </si>
  <si>
    <t>6SAS_RAID10_4th_50000req_8g_4k</t>
    <phoneticPr fontId="2" type="noConversion"/>
  </si>
  <si>
    <t>6SAS_RAID10_4th_50000req_8g_8k</t>
    <phoneticPr fontId="2" type="noConversion"/>
  </si>
  <si>
    <t>6SAS_RAID10_4th_50000_req_4g_8k</t>
    <phoneticPr fontId="2" type="noConversion"/>
  </si>
  <si>
    <t>(SAS, XFS)，平均</t>
  </si>
  <si>
    <t>(SAS,EXT4)，平均</t>
  </si>
  <si>
    <t>2SAS_RAID1_xfs(tps)</t>
    <phoneticPr fontId="2" type="noConversion"/>
  </si>
  <si>
    <t>2SAS_RAID1_ext4(tps)</t>
    <phoneticPr fontId="2" type="noConversion"/>
  </si>
  <si>
    <t>Percona_5.5.15_1000w_16c_120r_3600l</t>
  </si>
  <si>
    <t>Percona_5.5.15_1000w_32c_120r_3600l</t>
  </si>
  <si>
    <t>Percona_5.5.15_1000w_64c_120r_3600l</t>
  </si>
  <si>
    <t>Percona_5.5.15_1000w_128c_120r_3600l</t>
  </si>
  <si>
    <t>Percona_5.5.15_1000w_256c_120r_3600l</t>
  </si>
  <si>
    <t>Percona_5.5.15_innodb_1000000rows_4th_1000000req</t>
  </si>
  <si>
    <t>Percona_5.5.15_innodb_1000000rows_8th_1000000req</t>
  </si>
  <si>
    <t>Percona_5.5.15_innodb_1000000rows_16th_1000000req</t>
  </si>
  <si>
    <t>Percona_5.5.15_innodb_1000000rows_32th_1000000req</t>
  </si>
  <si>
    <t>Percona_5.5.15_innodb_1000000rows_64th_1000000req</t>
  </si>
  <si>
    <t>81.359-5</t>
    <phoneticPr fontId="2" type="noConversion"/>
  </si>
  <si>
    <t>749.938-8</t>
    <phoneticPr fontId="2" type="noConversion"/>
  </si>
  <si>
    <t>2560.538-25</t>
    <phoneticPr fontId="2" type="noConversion"/>
  </si>
  <si>
    <t>1909.916-40</t>
    <phoneticPr fontId="2" type="noConversion"/>
  </si>
  <si>
    <t>280.592-10</t>
    <phoneticPr fontId="2" type="noConversion"/>
  </si>
  <si>
    <t>2854.915-50</t>
    <phoneticPr fontId="2" type="noConversion"/>
  </si>
  <si>
    <t>4777.459-50</t>
    <phoneticPr fontId="2" type="noConversion"/>
  </si>
  <si>
    <t>3378.54-60</t>
    <phoneticPr fontId="2" type="noConversion"/>
  </si>
  <si>
    <t>2860.031-23</t>
    <phoneticPr fontId="2" type="noConversion"/>
  </si>
  <si>
    <t>2199.478-12</t>
    <phoneticPr fontId="2" type="noConversion"/>
  </si>
  <si>
    <t>2530.81-10</t>
    <phoneticPr fontId="2" type="noConversion"/>
  </si>
  <si>
    <t>MySQL_5.6_100dw_ext4</t>
    <phoneticPr fontId="2" type="noConversion"/>
  </si>
  <si>
    <t>MySQL_5.6_1000dw_ext4</t>
    <phoneticPr fontId="2" type="noConversion"/>
  </si>
  <si>
    <t>Percona_5.6_100dw_xfs</t>
    <phoneticPr fontId="2" type="noConversion"/>
  </si>
  <si>
    <t>Percona_5.6_1000dw_xfs</t>
    <phoneticPr fontId="2" type="noConversion"/>
  </si>
  <si>
    <t>2、测试工具、脚本</t>
    <phoneticPr fontId="2" type="noConversion"/>
  </si>
  <si>
    <t>1、测试基准</t>
    <phoneticPr fontId="2" type="noConversion"/>
  </si>
  <si>
    <t>测试工具： sysbench</t>
    <phoneticPr fontId="2" type="noConversion"/>
  </si>
  <si>
    <t xml:space="preserve">计算最大素数： 500,000 </t>
    <phoneticPr fontId="2" type="noConversion"/>
  </si>
  <si>
    <t xml:space="preserve">最大请求数： 5,000,000 </t>
    <phoneticPr fontId="2" type="noConversion"/>
  </si>
  <si>
    <t>2、历次测试结果</t>
    <phoneticPr fontId="2" type="noConversion"/>
  </si>
  <si>
    <t>3、测试结果图表展示</t>
    <phoneticPr fontId="2" type="noConversion"/>
  </si>
  <si>
    <t>测试案例：</t>
    <phoneticPr fontId="2" type="noConversion"/>
  </si>
  <si>
    <t>sysbench --test=cpu --cpu-max-prime=500000 --max-requests=500000 --num-threads=64 run</t>
    <phoneticPr fontId="2" type="noConversion"/>
  </si>
  <si>
    <t>测试案例：</t>
    <phoneticPr fontId="2" type="noConversion"/>
  </si>
  <si>
    <t>sysbench --test=threads --thread-yields=5000000  --thread-locks=8 --num-threads=8--max-requests=5000000 run</t>
    <phoneticPr fontId="2" type="noConversion"/>
  </si>
  <si>
    <t>测试案例：</t>
    <phoneticPr fontId="2" type="noConversion"/>
  </si>
  <si>
    <t>sysbench --test=mutex --mutex-num=5000000 --mutex-locks=100000 --mutex-loops=100000 --num-threads=8 --max-requests=5000000 run</t>
    <phoneticPr fontId="2" type="noConversion"/>
  </si>
  <si>
    <t>测试案例：读内存</t>
    <phoneticPr fontId="2" type="noConversion"/>
  </si>
  <si>
    <t>sysbench --test=memory --memory-access-mode=rnd --memory-total-size=32G --memory-block-size=4096  -memory-oper=read  --num-threads=8 --max-requests=50000 run</t>
    <phoneticPr fontId="2" type="noConversion"/>
  </si>
  <si>
    <t>测试案例：写内存</t>
    <phoneticPr fontId="2" type="noConversion"/>
  </si>
  <si>
    <t>sysbench --test=memory --memory-access-mode=rnd --memory-total-size=32G --memory-block-size=4096 --memory-oper=write --num-threads=8 --max-requests=50000 run</t>
    <phoneticPr fontId="2" type="noConversion"/>
  </si>
  <si>
    <r>
      <rPr>
        <sz val="12"/>
        <color rgb="FF000000"/>
        <rFont val="宋体"/>
        <family val="3"/>
        <charset val="134"/>
      </rPr>
      <t>测试案例：</t>
    </r>
    <r>
      <rPr>
        <sz val="12"/>
        <color rgb="FF000000"/>
        <rFont val="Calibri"/>
        <family val="2"/>
      </rPr>
      <t>FileIO iozone</t>
    </r>
    <phoneticPr fontId="2" type="noConversion"/>
  </si>
  <si>
    <t>iozone -R -E -s 1024M -l 4 -r 4k</t>
    <phoneticPr fontId="2" type="noConversion"/>
  </si>
  <si>
    <t>测试案例：读内存</t>
    <phoneticPr fontId="2" type="noConversion"/>
  </si>
  <si>
    <t>sysbench --test=fileio --init-rng=on --file-num=10 --num-threads=4 --file-total-size=4G --max-requests=10000 --file-block-size=8192  --file-test-mode=rndrw run</t>
    <phoneticPr fontId="2" type="noConversion"/>
  </si>
  <si>
    <r>
      <rPr>
        <sz val="12"/>
        <color rgb="FF000000"/>
        <rFont val="宋体"/>
        <family val="3"/>
        <charset val="134"/>
      </rPr>
      <t>测试案例：</t>
    </r>
    <r>
      <rPr>
        <sz val="12"/>
        <color rgb="FF000000"/>
        <rFont val="Calibri"/>
        <family val="2"/>
      </rPr>
      <t>tpcc-mysql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oltp</t>
    </r>
    <phoneticPr fontId="2" type="noConversion"/>
  </si>
  <si>
    <t>tpcc_start -h localhost -d tpcc1000 -u root -p ' xx' -w 1000 -c 32 -r 120 -l 3600 -f ./tpcc_mysql_20120314</t>
    <phoneticPr fontId="2" type="noConversion"/>
  </si>
  <si>
    <r>
      <rPr>
        <sz val="12"/>
        <color rgb="FF000000"/>
        <rFont val="宋体"/>
        <family val="3"/>
        <charset val="134"/>
      </rPr>
      <t>测试案例：</t>
    </r>
    <r>
      <rPr>
        <sz val="12"/>
        <color rgb="FF000000"/>
        <rFont val="Calibri"/>
        <family val="2"/>
      </rPr>
      <t>sysbench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oltp</t>
    </r>
    <phoneticPr fontId="2" type="noConversion"/>
  </si>
  <si>
    <t>sysbench --mysql-user=root --test=oltp --mysql-host=localhost --mysql-socket=/tmp/mysql.sock \</t>
    <phoneticPr fontId="2" type="noConversion"/>
  </si>
  <si>
    <t xml:space="preserve"> --oltp-table-name=sb_test_1kw --num-threads=4 --max-requests=1000000 run</t>
    <phoneticPr fontId="2" type="noConversion"/>
  </si>
  <si>
    <t xml:space="preserve"> --oltp-test-mode=complex --mysql-table-engine=innodb --oltp-table-size=1000000 --mysql-db=test \</t>
    <phoneticPr fontId="2" type="noConversion"/>
  </si>
  <si>
    <t xml:space="preserve"> 附录3：MySQL配置信息</t>
    <phoneticPr fontId="2" type="noConversion"/>
  </si>
  <si>
    <t>0、索引</t>
    <phoneticPr fontId="2" type="noConversion"/>
  </si>
  <si>
    <t>1、测试环境</t>
    <phoneticPr fontId="2" type="noConversion"/>
  </si>
  <si>
    <t xml:space="preserve"> 1.1、 测试环境</t>
    <phoneticPr fontId="2" type="noConversion"/>
  </si>
  <si>
    <t xml:space="preserve"> 1.2、 测试工具、脚本</t>
    <phoneticPr fontId="2" type="noConversion"/>
  </si>
  <si>
    <t>2、CPU测试结果</t>
    <phoneticPr fontId="2" type="noConversion"/>
  </si>
  <si>
    <t>3、THREADS测试结果</t>
    <phoneticPr fontId="2" type="noConversion"/>
  </si>
  <si>
    <t>4、MUTEX测试结果</t>
    <phoneticPr fontId="2" type="noConversion"/>
  </si>
  <si>
    <t>5、内存测试结果</t>
    <phoneticPr fontId="2" type="noConversion"/>
  </si>
  <si>
    <t>6、IO测试结果(iozone)</t>
    <phoneticPr fontId="2" type="noConversion"/>
  </si>
  <si>
    <t>7、IO测试结果(sysbench)</t>
    <phoneticPr fontId="2" type="noConversion"/>
  </si>
  <si>
    <t>8、OLTP测试结果(tpcc-mysql)</t>
    <phoneticPr fontId="2" type="noConversion"/>
  </si>
  <si>
    <t>9、OLTP测试结果(sysbench)</t>
    <phoneticPr fontId="2" type="noConversion"/>
  </si>
  <si>
    <t>10、OLAP测试结果(tpch)</t>
    <phoneticPr fontId="2" type="noConversion"/>
  </si>
  <si>
    <t>11、测试报告</t>
    <phoneticPr fontId="2" type="noConversion"/>
  </si>
  <si>
    <t>12、附录</t>
    <phoneticPr fontId="2" type="noConversion"/>
  </si>
  <si>
    <t xml:space="preserve"> 附录1：硬件信息</t>
    <phoneticPr fontId="2" type="noConversion"/>
  </si>
  <si>
    <t xml:space="preserve"> 附录2：Intel 520 SSD配置</t>
    <phoneticPr fontId="2" type="noConversion"/>
  </si>
  <si>
    <t>4th_5000000prime_5000000req</t>
    <phoneticPr fontId="2" type="noConversion"/>
  </si>
  <si>
    <t>8th_5000000prime_5000000req</t>
    <phoneticPr fontId="2" type="noConversion"/>
  </si>
  <si>
    <t>16th_5000000prime_5000000req</t>
    <phoneticPr fontId="2" type="noConversion"/>
  </si>
  <si>
    <t>模式</t>
    <phoneticPr fontId="2" type="noConversion"/>
  </si>
  <si>
    <t>模式</t>
    <phoneticPr fontId="2" type="noConversion"/>
  </si>
  <si>
    <t>CPU：一次测试耗时(s)-20121214</t>
    <phoneticPr fontId="2" type="noConversion"/>
  </si>
  <si>
    <t>CPU：单次测试平均耗时(s)-20121214</t>
    <phoneticPr fontId="2" type="noConversion"/>
  </si>
  <si>
    <t>THREADS：一次测试耗时-20121214</t>
    <phoneticPr fontId="2" type="noConversion"/>
  </si>
  <si>
    <t>4th_5000yields_8locks_5000req</t>
    <phoneticPr fontId="2" type="noConversion"/>
  </si>
  <si>
    <t>8th_5000yields_8locks_5000req</t>
    <phoneticPr fontId="2" type="noConversion"/>
  </si>
  <si>
    <t>16th_5000yields_8locks_5000req</t>
    <phoneticPr fontId="2" type="noConversion"/>
  </si>
  <si>
    <t>32th_5000yields_8locks_5000req</t>
    <phoneticPr fontId="2" type="noConversion"/>
  </si>
  <si>
    <t>耗时：Xeon 5130(s)</t>
    <phoneticPr fontId="2" type="noConversion"/>
  </si>
  <si>
    <t>耗时：Xeon E5506(s)</t>
    <phoneticPr fontId="2" type="noConversion"/>
  </si>
  <si>
    <t>耗时：Xeon E5620(s)</t>
    <phoneticPr fontId="2" type="noConversion"/>
  </si>
  <si>
    <t>读性能，32G(ops/sec)</t>
    <phoneticPr fontId="2" type="noConversion"/>
  </si>
  <si>
    <t>写性能，32G(ops/sec)</t>
    <phoneticPr fontId="2" type="noConversion"/>
  </si>
  <si>
    <t>读速度，32G(MB/sec)</t>
    <phoneticPr fontId="2" type="noConversion"/>
  </si>
  <si>
    <t>写速度，32G(MB/sec)</t>
    <phoneticPr fontId="2" type="noConversion"/>
  </si>
  <si>
    <t>读速度，64G(MB/sec)</t>
    <phoneticPr fontId="2" type="noConversion"/>
  </si>
  <si>
    <t>写速度，64G(MB/sec)</t>
    <phoneticPr fontId="2" type="noConversion"/>
  </si>
  <si>
    <t>THREADS：单次测试平均耗时-20121214</t>
    <phoneticPr fontId="2" type="noConversion"/>
  </si>
  <si>
    <t>4th_50000req_5000mutex_100000locks_100000_loops</t>
    <phoneticPr fontId="2" type="noConversion"/>
  </si>
  <si>
    <t>32th_50000req_5000mutex_100000locks_100000_loops</t>
    <phoneticPr fontId="2" type="noConversion"/>
  </si>
  <si>
    <t>16th_50000req_5000mutex_100000locks_100000_loops</t>
    <phoneticPr fontId="2" type="noConversion"/>
  </si>
  <si>
    <t>8th_50000req_5000mutex_100000locks_100000_loops</t>
    <phoneticPr fontId="2" type="noConversion"/>
  </si>
  <si>
    <t>MUTEX：一次测试耗时(s)-20121214</t>
    <phoneticPr fontId="2" type="noConversion"/>
  </si>
  <si>
    <t>MUTEX：单次测试平均耗时(s)-20121214</t>
    <phoneticPr fontId="2" type="noConversion"/>
  </si>
  <si>
    <t>2SSD_RAID1_ext4(tps)</t>
    <phoneticPr fontId="2" type="noConversion"/>
  </si>
  <si>
    <t>2SSD_RAID1_xfs(tps)</t>
    <phoneticPr fontId="2" type="noConversion"/>
  </si>
  <si>
    <r>
      <t>OLTP tpcc-mysql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(tps)-20121214</t>
    </r>
    <phoneticPr fontId="2" type="noConversion"/>
  </si>
  <si>
    <r>
      <t>FileIO sysbench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(MB/s)-20121214</t>
    </r>
    <phoneticPr fontId="2" type="noConversion"/>
  </si>
  <si>
    <r>
      <t>FileIO iozone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(MB/s)-20121214</t>
    </r>
    <phoneticPr fontId="2" type="noConversion"/>
  </si>
  <si>
    <r>
      <t>OLTP sysbench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(tps)-20121214</t>
    </r>
    <phoneticPr fontId="2" type="noConversion"/>
  </si>
  <si>
    <t>OLTP：tpcc-mysql</t>
    <phoneticPr fontId="2" type="noConversion"/>
  </si>
  <si>
    <t>OLTP：sysbench</t>
    <phoneticPr fontId="2" type="noConversion"/>
  </si>
  <si>
    <r>
      <t>OLAP tpch</t>
    </r>
    <r>
      <rPr>
        <sz val="12"/>
        <color rgb="FF000000"/>
        <rFont val="宋体"/>
        <family val="3"/>
        <charset val="134"/>
      </rPr>
      <t>测试</t>
    </r>
    <r>
      <rPr>
        <sz val="12"/>
        <color rgb="FF000000"/>
        <rFont val="Calibri"/>
        <family val="2"/>
      </rPr>
      <t>(s)-20121214</t>
    </r>
    <phoneticPr fontId="2" type="noConversion"/>
  </si>
  <si>
    <t>thread locks：4 ~ 512</t>
    <phoneticPr fontId="2" type="noConversion"/>
  </si>
  <si>
    <t>mutex num： 5,000,000</t>
    <phoneticPr fontId="2" type="noConversion"/>
  </si>
  <si>
    <t>mutex locks： 100,000</t>
    <phoneticPr fontId="2" type="noConversion"/>
  </si>
  <si>
    <t>读写内存总量：物理内存 0.5 ~ 4倍</t>
    <phoneticPr fontId="2" type="noConversion"/>
  </si>
  <si>
    <t>读写文件总个数：1 ~ 16个</t>
    <phoneticPr fontId="2" type="noConversion"/>
  </si>
  <si>
    <t>读写文件总量：1G ~ 256G</t>
    <phoneticPr fontId="2" type="noConversion"/>
  </si>
  <si>
    <t>每次读写块大小：4 ~ 64K</t>
    <phoneticPr fontId="2" type="noConversion"/>
  </si>
  <si>
    <t>读写文件总量：8G ~ 256G</t>
    <phoneticPr fontId="2" type="noConversion"/>
  </si>
  <si>
    <t>读写文件总个数：10个</t>
    <phoneticPr fontId="2" type="noConversion"/>
  </si>
  <si>
    <t>warmup time： 120s</t>
    <phoneticPr fontId="2" type="noConversion"/>
  </si>
  <si>
    <t>run time： 3600s</t>
    <phoneticPr fontId="2" type="noConversion"/>
  </si>
  <si>
    <t>并发线程数： 4 ~ 16</t>
    <phoneticPr fontId="2" type="noConversion"/>
  </si>
  <si>
    <t>并发线程数： 4 ~ 512</t>
    <phoneticPr fontId="2" type="noConversion"/>
  </si>
  <si>
    <t>并发线程数： 4 ~ 256</t>
    <phoneticPr fontId="2" type="noConversion"/>
  </si>
  <si>
    <t>测试Warehouse数： 1000</t>
    <phoneticPr fontId="2" type="noConversion"/>
  </si>
  <si>
    <t>测试工具： sysbench</t>
    <phoneticPr fontId="2" type="noConversion"/>
  </si>
  <si>
    <t>测试模式： complex</t>
    <phoneticPr fontId="2" type="noConversion"/>
  </si>
  <si>
    <t>测试表引擎： innodb</t>
    <phoneticPr fontId="2" type="noConversion"/>
  </si>
  <si>
    <t>测试表数量： 1个</t>
    <phoneticPr fontId="2" type="noConversion"/>
  </si>
  <si>
    <t>测试表数据行： 10,000,000</t>
    <phoneticPr fontId="2" type="noConversion"/>
  </si>
  <si>
    <t>DELL PE R710, 10.x.x.x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</si>
</sst>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00_ "/>
    <numFmt numFmtId="177" formatCode="0_ "/>
    <numFmt numFmtId="178" formatCode="0.00_ "/>
    <numFmt numFmtId="179" formatCode="0.00_);[Red]\(0.00\)"/>
    <numFmt numFmtId="180" formatCode="#,##0_ "/>
    <numFmt numFmtId="181" formatCode="#,##0.000_ "/>
    <numFmt numFmtId="182" formatCode="0.0000_ "/>
    <numFmt numFmtId="183" formatCode="0.0000_);[Red]\(0.0000\)"/>
  </numFmts>
  <fonts count="14" x14ac:knownFonts="1">
    <font>
      <sz val="11"/>
      <color theme="1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theme="4" tint="-0.249977111117893"/>
      <name val="微软雅黑"/>
      <family val="2"/>
      <charset val="134"/>
    </font>
    <font>
      <sz val="12"/>
      <color theme="1"/>
      <name val="微软雅黑"/>
      <family val="2"/>
      <charset val="134"/>
    </font>
    <font>
      <sz val="7"/>
      <color theme="1"/>
      <name val="Times New Roman"/>
      <family val="1"/>
    </font>
    <font>
      <sz val="10"/>
      <color rgb="FF4B4B4B"/>
      <name val="Courier"/>
      <family val="3"/>
    </font>
    <font>
      <b/>
      <sz val="9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2"/>
      <color rgb="FF000000"/>
      <name val="Calibri"/>
      <family val="2"/>
    </font>
    <font>
      <sz val="10"/>
      <color rgb="FF4B4B4B"/>
      <name val="宋体"/>
      <family val="3"/>
      <charset val="134"/>
    </font>
    <font>
      <sz val="12"/>
      <color rgb="FF000000"/>
      <name val="宋体"/>
      <family val="3"/>
      <charset val="134"/>
    </font>
    <font>
      <u/>
      <sz val="11"/>
      <color theme="1"/>
      <name val="宋体"/>
      <family val="2"/>
      <charset val="134"/>
      <scheme val="minor"/>
    </font>
    <font>
      <u/>
      <sz val="12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>
      <alignment vertical="center"/>
    </xf>
    <xf numFmtId="176" fontId="3" fillId="3" borderId="1" xfId="0" applyNumberFormat="1" applyFont="1" applyFill="1" applyBorder="1">
      <alignment vertical="center"/>
    </xf>
    <xf numFmtId="0" fontId="4" fillId="0" borderId="0" xfId="0" applyFont="1">
      <alignment vertical="center"/>
    </xf>
    <xf numFmtId="0" fontId="7" fillId="4" borderId="2" xfId="0" applyFont="1" applyFill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6" fillId="0" borderId="0" xfId="0" applyFont="1">
      <alignment vertical="center"/>
    </xf>
    <xf numFmtId="0" fontId="6" fillId="0" borderId="0" xfId="0" applyFont="1" applyFill="1" applyBorder="1" applyAlignment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177" fontId="3" fillId="3" borderId="1" xfId="0" applyNumberFormat="1" applyFont="1" applyFill="1" applyBorder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3" fillId="3" borderId="1" xfId="0" applyNumberFormat="1" applyFont="1" applyFill="1" applyBorder="1">
      <alignment vertical="center"/>
    </xf>
    <xf numFmtId="181" fontId="3" fillId="3" borderId="1" xfId="0" applyNumberFormat="1" applyFont="1" applyFill="1" applyBorder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82" fontId="3" fillId="3" borderId="1" xfId="0" applyNumberFormat="1" applyFont="1" applyFill="1" applyBorder="1">
      <alignment vertical="center"/>
    </xf>
    <xf numFmtId="0" fontId="9" fillId="0" borderId="0" xfId="0" applyFont="1" applyAlignment="1">
      <alignment horizontal="left" vertical="center" readingOrder="1"/>
    </xf>
    <xf numFmtId="0" fontId="1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vertical="center" wrapText="1"/>
    </xf>
    <xf numFmtId="183" fontId="3" fillId="3" borderId="1" xfId="0" applyNumberFormat="1" applyFont="1" applyFill="1" applyBorder="1">
      <alignment vertical="center"/>
    </xf>
    <xf numFmtId="180" fontId="3" fillId="3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80" fontId="3" fillId="3" borderId="0" xfId="0" applyNumberFormat="1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CPU</a:t>
            </a:r>
            <a:r>
              <a:rPr lang="zh-CN" altLang="en-US" sz="1400"/>
              <a:t>：一次测试耗时</a:t>
            </a:r>
            <a:r>
              <a:rPr lang="en-US" altLang="zh-CN" sz="1400"/>
              <a:t>(s)-20121214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'2、CPU测试结果'!$B$28</c:f>
              <c:strCache>
                <c:ptCount val="1"/>
                <c:pt idx="0">
                  <c:v>4th_5000000prime_5000000req</c:v>
                </c:pt>
              </c:strCache>
            </c:strRef>
          </c:tx>
          <c:marker>
            <c:symbol val="none"/>
          </c:marker>
          <c:cat>
            <c:strRef>
              <c:f>'2、CPU测试结果'!$C$27:$E$27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'2、CPU测试结果'!$C$28:$E$28</c:f>
              <c:numCache>
                <c:formatCode>0.0000_);[Red]\(0.0000\)</c:formatCode>
                <c:ptCount val="3"/>
                <c:pt idx="0">
                  <c:v>42128.837699999996</c:v>
                </c:pt>
                <c:pt idx="1">
                  <c:v>35128.837699999996</c:v>
                </c:pt>
                <c:pt idx="2">
                  <c:v>31128.8377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'2、CPU测试结果'!$B$29</c:f>
              <c:strCache>
                <c:ptCount val="1"/>
                <c:pt idx="0">
                  <c:v>8th_5000000prime_5000000req</c:v>
                </c:pt>
              </c:strCache>
            </c:strRef>
          </c:tx>
          <c:marker>
            <c:symbol val="none"/>
          </c:marker>
          <c:cat>
            <c:strRef>
              <c:f>'2、CPU测试结果'!$C$27:$E$27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'2、CPU测试结果'!$C$29:$E$29</c:f>
              <c:numCache>
                <c:formatCode>0.0000_);[Red]\(0.0000\)</c:formatCode>
                <c:ptCount val="3"/>
                <c:pt idx="0">
                  <c:v>22128.847000000002</c:v>
                </c:pt>
                <c:pt idx="1">
                  <c:v>19128.847000000002</c:v>
                </c:pt>
                <c:pt idx="2">
                  <c:v>16128.847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'2、CPU测试结果'!$B$30</c:f>
              <c:strCache>
                <c:ptCount val="1"/>
                <c:pt idx="0">
                  <c:v>16th_5000000prime_5000000req</c:v>
                </c:pt>
              </c:strCache>
            </c:strRef>
          </c:tx>
          <c:marker>
            <c:symbol val="none"/>
          </c:marker>
          <c:cat>
            <c:strRef>
              <c:f>'2、CPU测试结果'!$C$27:$E$27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'2、CPU测试结果'!$C$30:$E$30</c:f>
              <c:numCache>
                <c:formatCode>0.0000_);[Red]\(0.0000\)</c:formatCode>
                <c:ptCount val="3"/>
                <c:pt idx="0">
                  <c:v>20982.222600000001</c:v>
                </c:pt>
                <c:pt idx="1">
                  <c:v>15982.222599999999</c:v>
                </c:pt>
                <c:pt idx="2">
                  <c:v>10982.222599999999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166776"/>
        <c:axId val="601167168"/>
      </c:lineChart>
      <c:catAx>
        <c:axId val="60116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601167168"/>
        <c:crosses val="autoZero"/>
        <c:auto val="1"/>
        <c:lblAlgn val="ctr"/>
        <c:lblOffset val="100"/>
        <c:noMultiLvlLbl val="0"/>
      </c:catAx>
      <c:valAx>
        <c:axId val="601167168"/>
        <c:scaling>
          <c:orientation val="minMax"/>
        </c:scaling>
        <c:delete val="0"/>
        <c:axPos val="l"/>
        <c:majorGridlines/>
        <c:numFmt formatCode="0.0000_);[Red]\(0.0000\)" sourceLinked="1"/>
        <c:majorTickMark val="none"/>
        <c:minorTickMark val="none"/>
        <c:tickLblPos val="nextTo"/>
        <c:spPr>
          <a:ln w="9525">
            <a:noFill/>
          </a:ln>
        </c:spPr>
        <c:crossAx val="6011667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CPU</a:t>
            </a:r>
            <a:r>
              <a:rPr lang="zh-CN" altLang="en-US" sz="1400"/>
              <a:t>：单次测试平均耗时</a:t>
            </a:r>
            <a:r>
              <a:rPr lang="en-US" altLang="zh-CN" sz="1400"/>
              <a:t>(s)-20121214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'2、CPU测试结果'!$K$28</c:f>
              <c:strCache>
                <c:ptCount val="1"/>
                <c:pt idx="0">
                  <c:v>4th_5000000prime_5000000req</c:v>
                </c:pt>
              </c:strCache>
            </c:strRef>
          </c:tx>
          <c:marker>
            <c:symbol val="none"/>
          </c:marker>
          <c:cat>
            <c:strRef>
              <c:f>'2、CPU测试结果'!$L$27:$N$27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'2、CPU测试结果'!$L$28:$N$28</c:f>
              <c:numCache>
                <c:formatCode>0.0000_);[Red]\(0.0000\)</c:formatCode>
                <c:ptCount val="3"/>
                <c:pt idx="0">
                  <c:v>0.34899999999999998</c:v>
                </c:pt>
                <c:pt idx="1">
                  <c:v>0.27900000000000003</c:v>
                </c:pt>
                <c:pt idx="2">
                  <c:v>0.249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'2、CPU测试结果'!$K$29</c:f>
              <c:strCache>
                <c:ptCount val="1"/>
                <c:pt idx="0">
                  <c:v>8th_5000000prime_5000000req</c:v>
                </c:pt>
              </c:strCache>
            </c:strRef>
          </c:tx>
          <c:marker>
            <c:symbol val="none"/>
          </c:marker>
          <c:val>
            <c:numRef>
              <c:f>'2、CPU测试结果'!$L$29:$N$29</c:f>
              <c:numCache>
                <c:formatCode>0.0000_);[Red]\(0.0000\)</c:formatCode>
                <c:ptCount val="3"/>
                <c:pt idx="0">
                  <c:v>0.35809999999999997</c:v>
                </c:pt>
                <c:pt idx="1">
                  <c:v>0.28810000000000002</c:v>
                </c:pt>
                <c:pt idx="2">
                  <c:v>0.2581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'2、CPU测试结果'!$K$30</c:f>
              <c:strCache>
                <c:ptCount val="1"/>
                <c:pt idx="0">
                  <c:v>16th_5000000prime_5000000req</c:v>
                </c:pt>
              </c:strCache>
            </c:strRef>
          </c:tx>
          <c:marker>
            <c:symbol val="none"/>
          </c:marker>
          <c:val>
            <c:numRef>
              <c:f>'2、CPU测试结果'!$L$30:$N$30</c:f>
              <c:numCache>
                <c:formatCode>0.0000_);[Red]\(0.0000\)</c:formatCode>
                <c:ptCount val="3"/>
                <c:pt idx="0">
                  <c:v>0.45140000000000002</c:v>
                </c:pt>
                <c:pt idx="1">
                  <c:v>0.4914</c:v>
                </c:pt>
                <c:pt idx="2">
                  <c:v>0.35139999999999999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167952"/>
        <c:axId val="602019600"/>
      </c:lineChart>
      <c:catAx>
        <c:axId val="60116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602019600"/>
        <c:crosses val="autoZero"/>
        <c:auto val="1"/>
        <c:lblAlgn val="ctr"/>
        <c:lblOffset val="100"/>
        <c:noMultiLvlLbl val="0"/>
      </c:catAx>
      <c:valAx>
        <c:axId val="602019600"/>
        <c:scaling>
          <c:orientation val="minMax"/>
        </c:scaling>
        <c:delete val="0"/>
        <c:axPos val="l"/>
        <c:majorGridlines/>
        <c:numFmt formatCode="0.0000_);[Red]\(0.0000\)" sourceLinked="1"/>
        <c:majorTickMark val="none"/>
        <c:minorTickMark val="none"/>
        <c:tickLblPos val="nextTo"/>
        <c:spPr>
          <a:ln w="9525">
            <a:noFill/>
          </a:ln>
        </c:spPr>
        <c:crossAx val="6011679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THREADS</a:t>
            </a:r>
            <a:r>
              <a:rPr lang="zh-CN" altLang="en-US" sz="1400"/>
              <a:t>：一次测试耗时</a:t>
            </a:r>
            <a:r>
              <a:rPr lang="en-US" altLang="zh-CN" sz="1400"/>
              <a:t>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'3、THREAD测试结果'!$B$30</c:f>
              <c:strCache>
                <c:ptCount val="1"/>
                <c:pt idx="0">
                  <c:v>4th_5000yields_8locks_5000req</c:v>
                </c:pt>
              </c:strCache>
            </c:strRef>
          </c:tx>
          <c:marker>
            <c:symbol val="none"/>
          </c:marker>
          <c:cat>
            <c:strRef>
              <c:f>'3、THREAD测试结果'!$C$29:$E$29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'3、THREAD测试结果'!$C$30:$E$30</c:f>
              <c:numCache>
                <c:formatCode>0.0000_ </c:formatCode>
                <c:ptCount val="3"/>
                <c:pt idx="0">
                  <c:v>3.5430999999999999</c:v>
                </c:pt>
                <c:pt idx="1">
                  <c:v>3.0430999999999999</c:v>
                </c:pt>
                <c:pt idx="2">
                  <c:v>2.8431000000000002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'3、THREAD测试结果'!$B$31</c:f>
              <c:strCache>
                <c:ptCount val="1"/>
                <c:pt idx="0">
                  <c:v>8th_5000yields_8locks_5000req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'3、THREAD测试结果'!$C$31:$E$31</c:f>
              <c:numCache>
                <c:formatCode>0.0000_ </c:formatCode>
                <c:ptCount val="3"/>
                <c:pt idx="0">
                  <c:v>4.9831000000000003</c:v>
                </c:pt>
                <c:pt idx="1">
                  <c:v>4.4831000000000003</c:v>
                </c:pt>
                <c:pt idx="2">
                  <c:v>4.0831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'3、THREAD测试结果'!$B$32</c:f>
              <c:strCache>
                <c:ptCount val="1"/>
                <c:pt idx="0">
                  <c:v>16th_5000yields_8locks_5000req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'3、THREAD测试结果'!$C$32:$E$32</c:f>
              <c:numCache>
                <c:formatCode>0.0000_ </c:formatCode>
                <c:ptCount val="3"/>
                <c:pt idx="0">
                  <c:v>5.9992999999999999</c:v>
                </c:pt>
                <c:pt idx="1">
                  <c:v>5.5993000000000004</c:v>
                </c:pt>
                <c:pt idx="2">
                  <c:v>5.0993000000000004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'3、THREAD测试结果'!$B$33</c:f>
              <c:strCache>
                <c:ptCount val="1"/>
                <c:pt idx="0">
                  <c:v>32th_5000yields_8locks_5000req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'3、THREAD测试结果'!$C$33:$E$33</c:f>
              <c:numCache>
                <c:formatCode>0.0000_ </c:formatCode>
                <c:ptCount val="3"/>
                <c:pt idx="0">
                  <c:v>7.5667999999999997</c:v>
                </c:pt>
                <c:pt idx="1">
                  <c:v>7.1668000000000003</c:v>
                </c:pt>
                <c:pt idx="2">
                  <c:v>6.8667999999999996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020384"/>
        <c:axId val="602020776"/>
      </c:lineChart>
      <c:catAx>
        <c:axId val="60202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602020776"/>
        <c:crosses val="autoZero"/>
        <c:auto val="1"/>
        <c:lblAlgn val="ctr"/>
        <c:lblOffset val="100"/>
        <c:noMultiLvlLbl val="0"/>
      </c:catAx>
      <c:valAx>
        <c:axId val="602020776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0203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THREADS</a:t>
            </a:r>
            <a:r>
              <a:rPr lang="zh-CN" altLang="en-US" sz="1400"/>
              <a:t>：单次测试平均耗时</a:t>
            </a:r>
            <a:r>
              <a:rPr lang="en-US" altLang="zh-CN" sz="1400"/>
              <a:t>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'3、THREAD测试结果'!$K$30</c:f>
              <c:strCache>
                <c:ptCount val="1"/>
                <c:pt idx="0">
                  <c:v>4th_5000yields_8locks_5000req</c:v>
                </c:pt>
              </c:strCache>
            </c:strRef>
          </c:tx>
          <c:marker>
            <c:symbol val="none"/>
          </c:marker>
          <c:cat>
            <c:strRef>
              <c:f>'3、THREAD测试结果'!$L$29:$N$29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'3、THREAD测试结果'!$L$30:$N$30</c:f>
              <c:numCache>
                <c:formatCode>0.0000_ </c:formatCode>
                <c:ptCount val="3"/>
                <c:pt idx="0">
                  <c:v>3.3E-3</c:v>
                </c:pt>
                <c:pt idx="1">
                  <c:v>2.8E-3</c:v>
                </c:pt>
                <c:pt idx="2">
                  <c:v>2.3E-3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'3、THREAD测试结果'!$K$31</c:f>
              <c:strCache>
                <c:ptCount val="1"/>
                <c:pt idx="0">
                  <c:v>8th_5000yields_8locks_5000req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'3、THREAD测试结果'!$L$31:$N$31</c:f>
              <c:numCache>
                <c:formatCode>0.0000_ </c:formatCode>
                <c:ptCount val="3"/>
                <c:pt idx="0">
                  <c:v>7.4999999999999997E-3</c:v>
                </c:pt>
                <c:pt idx="1">
                  <c:v>7.0000000000000001E-3</c:v>
                </c:pt>
                <c:pt idx="2">
                  <c:v>6.4999999999999997E-3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'3、THREAD测试结果'!$K$32</c:f>
              <c:strCache>
                <c:ptCount val="1"/>
                <c:pt idx="0">
                  <c:v>16th_5000yields_8locks_5000req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'3、THREAD测试结果'!$L$32:$N$32</c:f>
              <c:numCache>
                <c:formatCode>0.0000_ </c:formatCode>
                <c:ptCount val="3"/>
                <c:pt idx="0">
                  <c:v>2.4299999999999999E-2</c:v>
                </c:pt>
                <c:pt idx="1">
                  <c:v>2.0299999999999999E-2</c:v>
                </c:pt>
                <c:pt idx="2">
                  <c:v>1.43E-2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'3、THREAD测试结果'!$K$33</c:f>
              <c:strCache>
                <c:ptCount val="1"/>
                <c:pt idx="0">
                  <c:v>32th_5000yields_8locks_5000req</c:v>
                </c:pt>
              </c:strCache>
            </c:strRef>
          </c:tx>
          <c:marker>
            <c:symbol val="none"/>
          </c:marker>
          <c:val>
            <c:numRef>
              <c:f>'3、THREAD测试结果'!$L$33:$N$33</c:f>
              <c:numCache>
                <c:formatCode>0.0000_ </c:formatCode>
                <c:ptCount val="3"/>
                <c:pt idx="0">
                  <c:v>5.3600000000000002E-2</c:v>
                </c:pt>
                <c:pt idx="1">
                  <c:v>4.8599999999999997E-2</c:v>
                </c:pt>
                <c:pt idx="2">
                  <c:v>4.36E-2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17496"/>
        <c:axId val="602517888"/>
      </c:lineChart>
      <c:catAx>
        <c:axId val="60251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602517888"/>
        <c:crosses val="autoZero"/>
        <c:auto val="1"/>
        <c:lblAlgn val="ctr"/>
        <c:lblOffset val="100"/>
        <c:noMultiLvlLbl val="0"/>
      </c:catAx>
      <c:valAx>
        <c:axId val="602517888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51749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MUTEX</a:t>
            </a:r>
            <a:r>
              <a:rPr lang="zh-CN" altLang="en-US" sz="1400"/>
              <a:t>：一次测试耗时</a:t>
            </a:r>
            <a:r>
              <a:rPr lang="en-US" altLang="zh-CN" sz="1400"/>
              <a:t>(s)-20121214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'4、MUTEX测试结果'!$B$31</c:f>
              <c:strCache>
                <c:ptCount val="1"/>
                <c:pt idx="0">
                  <c:v>4th_50000req_5000mutex_100000locks_100000_loops</c:v>
                </c:pt>
              </c:strCache>
            </c:strRef>
          </c:tx>
          <c:marker>
            <c:symbol val="none"/>
          </c:marker>
          <c:cat>
            <c:strRef>
              <c:f>'4、MUTEX测试结果'!$C$30:$E$30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'4、MUTEX测试结果'!$C$31:$E$31</c:f>
              <c:numCache>
                <c:formatCode>0.0000_ </c:formatCode>
                <c:ptCount val="3"/>
                <c:pt idx="0">
                  <c:v>10.003</c:v>
                </c:pt>
                <c:pt idx="1">
                  <c:v>9.0030000000000001</c:v>
                </c:pt>
                <c:pt idx="2">
                  <c:v>8.0030000000000001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'4、MUTEX测试结果'!$B$32</c:f>
              <c:strCache>
                <c:ptCount val="1"/>
                <c:pt idx="0">
                  <c:v>8th_50000req_5000mutex_100000locks_100000_loops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'4、MUTEX测试结果'!$C$32:$E$32</c:f>
              <c:numCache>
                <c:formatCode>0.0000_ </c:formatCode>
                <c:ptCount val="3"/>
                <c:pt idx="0">
                  <c:v>10.322100000000001</c:v>
                </c:pt>
                <c:pt idx="1">
                  <c:v>9.3221000000000007</c:v>
                </c:pt>
                <c:pt idx="2">
                  <c:v>8.3221000000000007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'4、MUTEX测试结果'!$B$33</c:f>
              <c:strCache>
                <c:ptCount val="1"/>
                <c:pt idx="0">
                  <c:v>16th_50000req_5000mutex_100000locks_100000_loops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'4、MUTEX测试结果'!$C$33:$E$33</c:f>
              <c:numCache>
                <c:formatCode>0.000_ </c:formatCode>
                <c:ptCount val="3"/>
                <c:pt idx="0">
                  <c:v>20.057500000000001</c:v>
                </c:pt>
                <c:pt idx="1">
                  <c:v>18.057500000000001</c:v>
                </c:pt>
                <c:pt idx="2">
                  <c:v>16.057500000000001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'4、MUTEX测试结果'!$B$34</c:f>
              <c:strCache>
                <c:ptCount val="1"/>
                <c:pt idx="0">
                  <c:v>32th_50000req_5000mutex_100000locks_100000_loops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'4、MUTEX测试结果'!$C$34:$E$34</c:f>
              <c:numCache>
                <c:formatCode>0.000_ </c:formatCode>
                <c:ptCount val="3"/>
                <c:pt idx="0">
                  <c:v>38.362200000000001</c:v>
                </c:pt>
                <c:pt idx="1">
                  <c:v>35.362200000000001</c:v>
                </c:pt>
                <c:pt idx="2">
                  <c:v>32.362200000000001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25184"/>
        <c:axId val="607625576"/>
      </c:lineChart>
      <c:catAx>
        <c:axId val="6076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607625576"/>
        <c:crosses val="autoZero"/>
        <c:auto val="1"/>
        <c:lblAlgn val="ctr"/>
        <c:lblOffset val="100"/>
        <c:noMultiLvlLbl val="0"/>
      </c:catAx>
      <c:valAx>
        <c:axId val="607625576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76251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MUTEX</a:t>
            </a:r>
            <a:r>
              <a:rPr lang="zh-CN" altLang="en-US" sz="1400"/>
              <a:t>：单次测试平均耗时</a:t>
            </a:r>
            <a:r>
              <a:rPr lang="en-US" altLang="zh-CN" sz="1400"/>
              <a:t>(s)-20121214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'4、MUTEX测试结果'!$K$31</c:f>
              <c:strCache>
                <c:ptCount val="1"/>
                <c:pt idx="0">
                  <c:v>4th_50000req_5000mutex_100000locks_100000_loops</c:v>
                </c:pt>
              </c:strCache>
            </c:strRef>
          </c:tx>
          <c:marker>
            <c:symbol val="none"/>
          </c:marker>
          <c:cat>
            <c:strRef>
              <c:f>'4、MUTEX测试结果'!$L$30:$N$30</c:f>
              <c:strCache>
                <c:ptCount val="3"/>
                <c:pt idx="0">
                  <c:v>耗时：Xeon 5130(s)</c:v>
                </c:pt>
                <c:pt idx="1">
                  <c:v>耗时：Xeon E5506(s)</c:v>
                </c:pt>
                <c:pt idx="2">
                  <c:v>耗时：Xeon E5620(s)</c:v>
                </c:pt>
              </c:strCache>
            </c:strRef>
          </c:cat>
          <c:val>
            <c:numRef>
              <c:f>'4、MUTEX测试结果'!$L$31:$N$31</c:f>
              <c:numCache>
                <c:formatCode>0.0000_ </c:formatCode>
                <c:ptCount val="3"/>
                <c:pt idx="0">
                  <c:v>10.9975</c:v>
                </c:pt>
                <c:pt idx="1">
                  <c:v>8.9975000000000005</c:v>
                </c:pt>
                <c:pt idx="2">
                  <c:v>7.9974999999999996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'4、MUTEX测试结果'!$K$32</c:f>
              <c:strCache>
                <c:ptCount val="1"/>
                <c:pt idx="0">
                  <c:v>8th_50000req_5000mutex_100000locks_100000_loops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'4、MUTEX测试结果'!$L$32:$N$32</c:f>
              <c:numCache>
                <c:formatCode>0.0000_ </c:formatCode>
                <c:ptCount val="3"/>
                <c:pt idx="0">
                  <c:v>15.313700000000001</c:v>
                </c:pt>
                <c:pt idx="1">
                  <c:v>10.313700000000001</c:v>
                </c:pt>
                <c:pt idx="2">
                  <c:v>8.3137000000000008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'4、MUTEX测试结果'!$K$33</c:f>
              <c:strCache>
                <c:ptCount val="1"/>
                <c:pt idx="0">
                  <c:v>16th_50000req_5000mutex_100000locks_100000_loops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'4、MUTEX测试结果'!$L$33:$N$33</c:f>
              <c:numCache>
                <c:formatCode>0.000_ </c:formatCode>
                <c:ptCount val="3"/>
                <c:pt idx="0">
                  <c:v>25.044899999999998</c:v>
                </c:pt>
                <c:pt idx="1">
                  <c:v>20.044899999999998</c:v>
                </c:pt>
                <c:pt idx="2">
                  <c:v>16.044899999999998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'4、MUTEX测试结果'!$K$34</c:f>
              <c:strCache>
                <c:ptCount val="1"/>
                <c:pt idx="0">
                  <c:v>32th_50000req_5000mutex_100000locks_100000_loops</c:v>
                </c:pt>
              </c:strCache>
            </c:strRef>
          </c:tx>
          <c:marker>
            <c:symbol val="none"/>
          </c:marker>
          <c:val>
            <c:numRef>
              <c:f>'4、MUTEX测试结果'!$L$34:$N$34</c:f>
              <c:numCache>
                <c:formatCode>0.000_ </c:formatCode>
                <c:ptCount val="3"/>
                <c:pt idx="0">
                  <c:v>40.0184</c:v>
                </c:pt>
                <c:pt idx="1">
                  <c:v>35.0184</c:v>
                </c:pt>
                <c:pt idx="2">
                  <c:v>30.0184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211744"/>
        <c:axId val="599212136"/>
      </c:lineChart>
      <c:catAx>
        <c:axId val="5992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599212136"/>
        <c:crosses val="autoZero"/>
        <c:auto val="1"/>
        <c:lblAlgn val="ctr"/>
        <c:lblOffset val="100"/>
        <c:noMultiLvlLbl val="0"/>
      </c:catAx>
      <c:valAx>
        <c:axId val="599212136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992117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'5、内存测试结果'!$AD$1</c:f>
              <c:strCache>
                <c:ptCount val="1"/>
                <c:pt idx="0">
                  <c:v>Memory Read：读性能(Ops/s)</c:v>
                </c:pt>
              </c:strCache>
            </c:strRef>
          </c:tx>
          <c:marker>
            <c:symbol val="none"/>
          </c:marker>
          <c:cat>
            <c:numRef>
              <c:f>'5、内存测试结果'!$AD$3:$AD$7</c:f>
              <c:numCache>
                <c:formatCode>#,##0_ 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16</c:v>
                </c:pt>
                <c:pt idx="4">
                  <c:v>32</c:v>
                </c:pt>
              </c:numCache>
            </c:numRef>
          </c:cat>
          <c:val>
            <c:numRef>
              <c:f>'5、内存测试结果'!$AE$3:$AE$7</c:f>
              <c:numCache>
                <c:formatCode>0.0000_ </c:formatCode>
                <c:ptCount val="5"/>
                <c:pt idx="0">
                  <c:v>531823.94999999995</c:v>
                </c:pt>
                <c:pt idx="1">
                  <c:v>328783.89</c:v>
                </c:pt>
                <c:pt idx="2">
                  <c:v>543861.01</c:v>
                </c:pt>
                <c:pt idx="4">
                  <c:v>350874.56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24792"/>
        <c:axId val="607624400"/>
      </c:lineChart>
      <c:catAx>
        <c:axId val="607624792"/>
        <c:scaling>
          <c:orientation val="minMax"/>
        </c:scaling>
        <c:delete val="0"/>
        <c:axPos val="b"/>
        <c:numFmt formatCode="#,##0_ " sourceLinked="1"/>
        <c:majorTickMark val="none"/>
        <c:minorTickMark val="none"/>
        <c:tickLblPos val="nextTo"/>
        <c:crossAx val="607624400"/>
        <c:crosses val="autoZero"/>
        <c:auto val="1"/>
        <c:lblAlgn val="ctr"/>
        <c:lblOffset val="100"/>
        <c:noMultiLvlLbl val="0"/>
      </c:catAx>
      <c:valAx>
        <c:axId val="607624400"/>
        <c:scaling>
          <c:orientation val="minMax"/>
        </c:scaling>
        <c:delete val="0"/>
        <c:axPos val="l"/>
        <c:numFmt formatCode="0.0000_ " sourceLinked="1"/>
        <c:majorTickMark val="none"/>
        <c:minorTickMark val="none"/>
        <c:tickLblPos val="nextTo"/>
        <c:crossAx val="6076247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'5、内存测试结果'!$AL$1</c:f>
              <c:strCache>
                <c:ptCount val="1"/>
                <c:pt idx="0">
                  <c:v>Memory Read：读性能(Mb/s)</c:v>
                </c:pt>
              </c:strCache>
            </c:strRef>
          </c:tx>
          <c:marker>
            <c:symbol val="none"/>
          </c:marker>
          <c:cat>
            <c:numRef>
              <c:f>'5、内存测试结果'!$AL$3:$AL$7</c:f>
              <c:numCache>
                <c:formatCode>#,##0_ 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16</c:v>
                </c:pt>
                <c:pt idx="4">
                  <c:v>32</c:v>
                </c:pt>
              </c:numCache>
            </c:numRef>
          </c:cat>
          <c:val>
            <c:numRef>
              <c:f>'5、内存测试结果'!$AM$3:$AM$7</c:f>
              <c:numCache>
                <c:formatCode>0.0000_ </c:formatCode>
                <c:ptCount val="5"/>
                <c:pt idx="0">
                  <c:v>2077.44</c:v>
                </c:pt>
                <c:pt idx="1">
                  <c:v>2568.62</c:v>
                </c:pt>
                <c:pt idx="2">
                  <c:v>2124.46</c:v>
                </c:pt>
                <c:pt idx="4">
                  <c:v>2741.21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19064"/>
        <c:axId val="602518672"/>
      </c:lineChart>
      <c:catAx>
        <c:axId val="602519064"/>
        <c:scaling>
          <c:orientation val="minMax"/>
        </c:scaling>
        <c:delete val="0"/>
        <c:axPos val="b"/>
        <c:numFmt formatCode="#,##0_ " sourceLinked="1"/>
        <c:majorTickMark val="none"/>
        <c:minorTickMark val="none"/>
        <c:tickLblPos val="nextTo"/>
        <c:crossAx val="602518672"/>
        <c:crosses val="autoZero"/>
        <c:auto val="1"/>
        <c:lblAlgn val="ctr"/>
        <c:lblOffset val="100"/>
        <c:noMultiLvlLbl val="0"/>
      </c:catAx>
      <c:valAx>
        <c:axId val="602518672"/>
        <c:scaling>
          <c:orientation val="minMax"/>
        </c:scaling>
        <c:delete val="0"/>
        <c:axPos val="l"/>
        <c:numFmt formatCode="0.0000_ " sourceLinked="1"/>
        <c:majorTickMark val="none"/>
        <c:minorTickMark val="none"/>
        <c:tickLblPos val="nextTo"/>
        <c:crossAx val="6025190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'5、内存测试结果'!$AD$21</c:f>
              <c:strCache>
                <c:ptCount val="1"/>
                <c:pt idx="0">
                  <c:v>Memory Write：写性能(Ops/s)</c:v>
                </c:pt>
              </c:strCache>
            </c:strRef>
          </c:tx>
          <c:marker>
            <c:symbol val="none"/>
          </c:marker>
          <c:cat>
            <c:numRef>
              <c:f>'5、内存测试结果'!$AD$23:$AD$26</c:f>
              <c:numCache>
                <c:formatCode>#,##0_ </c:formatCode>
                <c:ptCount val="4"/>
                <c:pt idx="0">
                  <c:v>4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</c:numCache>
            </c:numRef>
          </c:cat>
          <c:val>
            <c:numRef>
              <c:f>'5、内存测试结果'!$AE$23:$AE$26</c:f>
              <c:numCache>
                <c:formatCode>0.0000_ </c:formatCode>
                <c:ptCount val="4"/>
                <c:pt idx="0">
                  <c:v>58778.21</c:v>
                </c:pt>
                <c:pt idx="1">
                  <c:v>30567.63</c:v>
                </c:pt>
                <c:pt idx="2">
                  <c:v>59182.720000000001</c:v>
                </c:pt>
                <c:pt idx="3">
                  <c:v>29886.26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964224"/>
        <c:axId val="599964616"/>
      </c:lineChart>
      <c:catAx>
        <c:axId val="599964224"/>
        <c:scaling>
          <c:orientation val="minMax"/>
        </c:scaling>
        <c:delete val="0"/>
        <c:axPos val="b"/>
        <c:numFmt formatCode="#,##0_ " sourceLinked="1"/>
        <c:majorTickMark val="none"/>
        <c:minorTickMark val="none"/>
        <c:tickLblPos val="nextTo"/>
        <c:crossAx val="599964616"/>
        <c:crosses val="autoZero"/>
        <c:auto val="1"/>
        <c:lblAlgn val="ctr"/>
        <c:lblOffset val="100"/>
        <c:noMultiLvlLbl val="0"/>
      </c:catAx>
      <c:valAx>
        <c:axId val="599964616"/>
        <c:scaling>
          <c:orientation val="minMax"/>
        </c:scaling>
        <c:delete val="0"/>
        <c:axPos val="l"/>
        <c:numFmt formatCode="0.0000_ " sourceLinked="1"/>
        <c:majorTickMark val="none"/>
        <c:minorTickMark val="none"/>
        <c:tickLblPos val="nextTo"/>
        <c:crossAx val="5999642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'5、内存测试结果'!$AL$21</c:f>
              <c:strCache>
                <c:ptCount val="1"/>
                <c:pt idx="0">
                  <c:v>Memory Write：写性能(Mb/s)</c:v>
                </c:pt>
              </c:strCache>
            </c:strRef>
          </c:tx>
          <c:marker>
            <c:symbol val="none"/>
          </c:marker>
          <c:cat>
            <c:numRef>
              <c:f>'5、内存测试结果'!$AL$23:$AL$26</c:f>
              <c:numCache>
                <c:formatCode>#,##0_ </c:formatCode>
                <c:ptCount val="4"/>
                <c:pt idx="0">
                  <c:v>4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</c:numCache>
            </c:numRef>
          </c:cat>
          <c:val>
            <c:numRef>
              <c:f>'5、内存测试结果'!$AM$23:$AM$26</c:f>
              <c:numCache>
                <c:formatCode>0.0000_ </c:formatCode>
                <c:ptCount val="4"/>
                <c:pt idx="0">
                  <c:v>229.6</c:v>
                </c:pt>
                <c:pt idx="1">
                  <c:v>238.81</c:v>
                </c:pt>
                <c:pt idx="2">
                  <c:v>231.18</c:v>
                </c:pt>
                <c:pt idx="3">
                  <c:v>233.49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965400"/>
        <c:axId val="599965792"/>
      </c:lineChart>
      <c:catAx>
        <c:axId val="599965400"/>
        <c:scaling>
          <c:orientation val="minMax"/>
        </c:scaling>
        <c:delete val="0"/>
        <c:axPos val="b"/>
        <c:numFmt formatCode="#,##0_ " sourceLinked="1"/>
        <c:majorTickMark val="none"/>
        <c:minorTickMark val="none"/>
        <c:tickLblPos val="nextTo"/>
        <c:crossAx val="599965792"/>
        <c:crosses val="autoZero"/>
        <c:auto val="1"/>
        <c:lblAlgn val="ctr"/>
        <c:lblOffset val="100"/>
        <c:noMultiLvlLbl val="0"/>
      </c:catAx>
      <c:valAx>
        <c:axId val="599965792"/>
        <c:scaling>
          <c:orientation val="minMax"/>
        </c:scaling>
        <c:delete val="0"/>
        <c:axPos val="l"/>
        <c:numFmt formatCode="0.0000_ " sourceLinked="1"/>
        <c:majorTickMark val="none"/>
        <c:minorTickMark val="none"/>
        <c:tickLblPos val="nextTo"/>
        <c:crossAx val="5999654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Memory</a:t>
            </a:r>
            <a:r>
              <a:rPr lang="zh-CN" altLang="en-US" sz="1400"/>
              <a:t>读写测试</a:t>
            </a:r>
            <a:r>
              <a:rPr lang="en-US" altLang="zh-CN" sz="1400"/>
              <a:t>(ops/sec)-20121214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'5、内存测试结果'!$B$42</c:f>
              <c:strCache>
                <c:ptCount val="1"/>
                <c:pt idx="0">
                  <c:v>4th_50000req_4g_4k</c:v>
                </c:pt>
              </c:strCache>
            </c:strRef>
          </c:tx>
          <c:marker>
            <c:symbol val="none"/>
          </c:marker>
          <c:cat>
            <c:strRef>
              <c:f>'5、内存测试结果'!$C$41:$F$41</c:f>
              <c:strCache>
                <c:ptCount val="4"/>
                <c:pt idx="0">
                  <c:v>读性能，32G(ops/sec)</c:v>
                </c:pt>
                <c:pt idx="1">
                  <c:v>写性能，32G(ops/sec)</c:v>
                </c:pt>
                <c:pt idx="2">
                  <c:v>读性能，32G(ops/sec)</c:v>
                </c:pt>
                <c:pt idx="3">
                  <c:v>写性能，32G(ops/sec)</c:v>
                </c:pt>
              </c:strCache>
            </c:strRef>
          </c:cat>
          <c:val>
            <c:numRef>
              <c:f>'5、内存测试结果'!$C$42:$F$42</c:f>
              <c:numCache>
                <c:formatCode>0.0000_ </c:formatCode>
                <c:ptCount val="4"/>
                <c:pt idx="0">
                  <c:v>531823.94999999995</c:v>
                </c:pt>
                <c:pt idx="1">
                  <c:v>58778.21</c:v>
                </c:pt>
                <c:pt idx="2">
                  <c:v>531823.94999999995</c:v>
                </c:pt>
                <c:pt idx="3">
                  <c:v>58778.21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'5、内存测试结果'!$B$43</c:f>
              <c:strCache>
                <c:ptCount val="1"/>
                <c:pt idx="0">
                  <c:v>4th_50000req_4g_8k</c:v>
                </c:pt>
              </c:strCache>
            </c:strRef>
          </c:tx>
          <c:marker>
            <c:symbol val="none"/>
          </c:marker>
          <c:cat>
            <c:strRef>
              <c:f>'5、内存测试结果'!$C$41:$F$41</c:f>
              <c:strCache>
                <c:ptCount val="4"/>
                <c:pt idx="0">
                  <c:v>读性能，32G(ops/sec)</c:v>
                </c:pt>
                <c:pt idx="1">
                  <c:v>写性能，32G(ops/sec)</c:v>
                </c:pt>
                <c:pt idx="2">
                  <c:v>读性能，32G(ops/sec)</c:v>
                </c:pt>
                <c:pt idx="3">
                  <c:v>写性能，32G(ops/sec)</c:v>
                </c:pt>
              </c:strCache>
            </c:strRef>
          </c:cat>
          <c:val>
            <c:numRef>
              <c:f>'5、内存测试结果'!$C$43:$F$43</c:f>
              <c:numCache>
                <c:formatCode>0.0000_ </c:formatCode>
                <c:ptCount val="4"/>
                <c:pt idx="0">
                  <c:v>328783.89</c:v>
                </c:pt>
                <c:pt idx="1">
                  <c:v>30567.63</c:v>
                </c:pt>
                <c:pt idx="2">
                  <c:v>328783.89</c:v>
                </c:pt>
                <c:pt idx="3">
                  <c:v>30567.63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'5、内存测试结果'!$B$44</c:f>
              <c:strCache>
                <c:ptCount val="1"/>
                <c:pt idx="0">
                  <c:v>4th_50000req_8g_4k</c:v>
                </c:pt>
              </c:strCache>
            </c:strRef>
          </c:tx>
          <c:marker>
            <c:symbol val="none"/>
          </c:marker>
          <c:cat>
            <c:strRef>
              <c:f>'5、内存测试结果'!$C$41:$F$41</c:f>
              <c:strCache>
                <c:ptCount val="4"/>
                <c:pt idx="0">
                  <c:v>读性能，32G(ops/sec)</c:v>
                </c:pt>
                <c:pt idx="1">
                  <c:v>写性能，32G(ops/sec)</c:v>
                </c:pt>
                <c:pt idx="2">
                  <c:v>读性能，32G(ops/sec)</c:v>
                </c:pt>
                <c:pt idx="3">
                  <c:v>写性能，32G(ops/sec)</c:v>
                </c:pt>
              </c:strCache>
            </c:strRef>
          </c:cat>
          <c:val>
            <c:numRef>
              <c:f>'5、内存测试结果'!$C$44:$F$44</c:f>
              <c:numCache>
                <c:formatCode>0.0000_ </c:formatCode>
                <c:ptCount val="4"/>
                <c:pt idx="0">
                  <c:v>543861.01</c:v>
                </c:pt>
                <c:pt idx="1">
                  <c:v>59182.720000000001</c:v>
                </c:pt>
                <c:pt idx="2">
                  <c:v>543861.01</c:v>
                </c:pt>
                <c:pt idx="3">
                  <c:v>59182.720000000001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'5、内存测试结果'!$B$45</c:f>
              <c:strCache>
                <c:ptCount val="1"/>
                <c:pt idx="0">
                  <c:v>4th_50000req_8g_8k</c:v>
                </c:pt>
              </c:strCache>
            </c:strRef>
          </c:tx>
          <c:marker>
            <c:symbol val="none"/>
          </c:marker>
          <c:val>
            <c:numRef>
              <c:f>'5、内存测试结果'!$C$45:$F$45</c:f>
              <c:numCache>
                <c:formatCode>0.0000_ </c:formatCode>
                <c:ptCount val="4"/>
                <c:pt idx="0">
                  <c:v>350874.56</c:v>
                </c:pt>
                <c:pt idx="1">
                  <c:v>29886.26</c:v>
                </c:pt>
                <c:pt idx="2">
                  <c:v>350874.56</c:v>
                </c:pt>
                <c:pt idx="3">
                  <c:v>29886.26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224768"/>
        <c:axId val="602225160"/>
      </c:lineChart>
      <c:catAx>
        <c:axId val="6022247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2225160"/>
        <c:crosses val="autoZero"/>
        <c:auto val="1"/>
        <c:lblAlgn val="ctr"/>
        <c:lblOffset val="100"/>
        <c:noMultiLvlLbl val="0"/>
      </c:catAx>
      <c:valAx>
        <c:axId val="602225160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2247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Memory</a:t>
            </a:r>
            <a:r>
              <a:rPr lang="zh-CN" altLang="en-US" sz="1400"/>
              <a:t>读写测试</a:t>
            </a:r>
            <a:r>
              <a:rPr lang="en-US" altLang="zh-CN" sz="1400"/>
              <a:t>(MB/sec)-20121214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'5、内存测试结果'!$I$42</c:f>
              <c:strCache>
                <c:ptCount val="1"/>
                <c:pt idx="0">
                  <c:v>4th_50000req_4g_4k</c:v>
                </c:pt>
              </c:strCache>
            </c:strRef>
          </c:tx>
          <c:marker>
            <c:symbol val="none"/>
          </c:marker>
          <c:cat>
            <c:strRef>
              <c:f>'5、内存测试结果'!$J$41:$M$41</c:f>
              <c:strCache>
                <c:ptCount val="4"/>
                <c:pt idx="0">
                  <c:v>读速度，32G(MB/sec)</c:v>
                </c:pt>
                <c:pt idx="1">
                  <c:v>写速度，32G(MB/sec)</c:v>
                </c:pt>
                <c:pt idx="2">
                  <c:v>读速度，64G(MB/sec)</c:v>
                </c:pt>
                <c:pt idx="3">
                  <c:v>写速度，64G(MB/sec)</c:v>
                </c:pt>
              </c:strCache>
            </c:strRef>
          </c:cat>
          <c:val>
            <c:numRef>
              <c:f>'5、内存测试结果'!$J$42:$M$42</c:f>
              <c:numCache>
                <c:formatCode>0.0000_ </c:formatCode>
                <c:ptCount val="4"/>
                <c:pt idx="0">
                  <c:v>2077.44</c:v>
                </c:pt>
                <c:pt idx="1">
                  <c:v>229.6</c:v>
                </c:pt>
                <c:pt idx="2">
                  <c:v>2077.44</c:v>
                </c:pt>
                <c:pt idx="3">
                  <c:v>229.6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'5、内存测试结果'!$I$43</c:f>
              <c:strCache>
                <c:ptCount val="1"/>
                <c:pt idx="0">
                  <c:v>4th_50000req_4g_8k</c:v>
                </c:pt>
              </c:strCache>
            </c:strRef>
          </c:tx>
          <c:marker>
            <c:symbol val="none"/>
          </c:marker>
          <c:cat>
            <c:strRef>
              <c:f>'5、内存测试结果'!$J$41:$M$41</c:f>
              <c:strCache>
                <c:ptCount val="4"/>
                <c:pt idx="0">
                  <c:v>读速度，32G(MB/sec)</c:v>
                </c:pt>
                <c:pt idx="1">
                  <c:v>写速度，32G(MB/sec)</c:v>
                </c:pt>
                <c:pt idx="2">
                  <c:v>读速度，64G(MB/sec)</c:v>
                </c:pt>
                <c:pt idx="3">
                  <c:v>写速度，64G(MB/sec)</c:v>
                </c:pt>
              </c:strCache>
            </c:strRef>
          </c:cat>
          <c:val>
            <c:numRef>
              <c:f>'5、内存测试结果'!$J$43:$M$43</c:f>
              <c:numCache>
                <c:formatCode>0.0000_ </c:formatCode>
                <c:ptCount val="4"/>
                <c:pt idx="0">
                  <c:v>2568.62</c:v>
                </c:pt>
                <c:pt idx="1">
                  <c:v>238.81</c:v>
                </c:pt>
                <c:pt idx="2">
                  <c:v>2568.62</c:v>
                </c:pt>
                <c:pt idx="3">
                  <c:v>238.81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'5、内存测试结果'!$I$44</c:f>
              <c:strCache>
                <c:ptCount val="1"/>
                <c:pt idx="0">
                  <c:v>4th_50000req_8g_4k</c:v>
                </c:pt>
              </c:strCache>
            </c:strRef>
          </c:tx>
          <c:marker>
            <c:symbol val="none"/>
          </c:marker>
          <c:cat>
            <c:strRef>
              <c:f>'5、内存测试结果'!$J$41:$M$41</c:f>
              <c:strCache>
                <c:ptCount val="4"/>
                <c:pt idx="0">
                  <c:v>读速度，32G(MB/sec)</c:v>
                </c:pt>
                <c:pt idx="1">
                  <c:v>写速度，32G(MB/sec)</c:v>
                </c:pt>
                <c:pt idx="2">
                  <c:v>读速度，64G(MB/sec)</c:v>
                </c:pt>
                <c:pt idx="3">
                  <c:v>写速度，64G(MB/sec)</c:v>
                </c:pt>
              </c:strCache>
            </c:strRef>
          </c:cat>
          <c:val>
            <c:numRef>
              <c:f>'5、内存测试结果'!$J$44:$M$44</c:f>
              <c:numCache>
                <c:formatCode>0.0000_ </c:formatCode>
                <c:ptCount val="4"/>
                <c:pt idx="0">
                  <c:v>2124.46</c:v>
                </c:pt>
                <c:pt idx="1">
                  <c:v>231.18</c:v>
                </c:pt>
                <c:pt idx="2">
                  <c:v>2124.46</c:v>
                </c:pt>
                <c:pt idx="3">
                  <c:v>231.18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'5、内存测试结果'!$I$45</c:f>
              <c:strCache>
                <c:ptCount val="1"/>
                <c:pt idx="0">
                  <c:v>4th_50000req_8g_8k</c:v>
                </c:pt>
              </c:strCache>
            </c:strRef>
          </c:tx>
          <c:marker>
            <c:symbol val="none"/>
          </c:marker>
          <c:cat>
            <c:strRef>
              <c:f>'5、内存测试结果'!$J$41:$M$41</c:f>
              <c:strCache>
                <c:ptCount val="4"/>
                <c:pt idx="0">
                  <c:v>读速度，32G(MB/sec)</c:v>
                </c:pt>
                <c:pt idx="1">
                  <c:v>写速度，32G(MB/sec)</c:v>
                </c:pt>
                <c:pt idx="2">
                  <c:v>读速度，64G(MB/sec)</c:v>
                </c:pt>
                <c:pt idx="3">
                  <c:v>写速度，64G(MB/sec)</c:v>
                </c:pt>
              </c:strCache>
            </c:strRef>
          </c:cat>
          <c:val>
            <c:numRef>
              <c:f>'5、内存测试结果'!$J$45:$M$45</c:f>
              <c:numCache>
                <c:formatCode>0.0000_ </c:formatCode>
                <c:ptCount val="4"/>
                <c:pt idx="0">
                  <c:v>2741.21</c:v>
                </c:pt>
                <c:pt idx="1">
                  <c:v>233.49</c:v>
                </c:pt>
                <c:pt idx="2">
                  <c:v>2741.21</c:v>
                </c:pt>
                <c:pt idx="3">
                  <c:v>233.49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225944"/>
        <c:axId val="600024024"/>
      </c:lineChart>
      <c:catAx>
        <c:axId val="6022259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0024024"/>
        <c:crosses val="autoZero"/>
        <c:auto val="1"/>
        <c:lblAlgn val="ctr"/>
        <c:lblOffset val="100"/>
        <c:noMultiLvlLbl val="0"/>
      </c:catAx>
      <c:valAx>
        <c:axId val="600024024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2259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FileIO iozone</a:t>
            </a:r>
            <a:r>
              <a:rPr lang="zh-CN" altLang="en-US" sz="1400"/>
              <a:t>测试</a:t>
            </a:r>
            <a:r>
              <a:rPr lang="en-US" altLang="zh-CN" sz="1400"/>
              <a:t>(MB/s)-20121214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'6、IO测试结果(iozone)'!$B$35</c:f>
              <c:strCache>
                <c:ptCount val="1"/>
                <c:pt idx="0">
                  <c:v>2SSD_RAID1_R_E_s_1024M_l_8_r_4k</c:v>
                </c:pt>
              </c:strCache>
            </c:strRef>
          </c:tx>
          <c:marker>
            <c:symbol val="none"/>
          </c:marker>
          <c:cat>
            <c:strRef>
              <c:f>'6、IO测试结果(iozone)'!$C$34:$O$34</c:f>
              <c:strCache>
                <c:ptCount val="13"/>
                <c:pt idx="0">
                  <c:v>Initial_write(MB/s)</c:v>
                </c:pt>
                <c:pt idx="1">
                  <c:v>Rewrite(MB/s)</c:v>
                </c:pt>
                <c:pt idx="2">
                  <c:v>Read(MB/s)</c:v>
                </c:pt>
                <c:pt idx="3">
                  <c:v>Re-read(MB/s)</c:v>
                </c:pt>
                <c:pt idx="4">
                  <c:v>Reverse_Read(MB/s)</c:v>
                </c:pt>
                <c:pt idx="5">
                  <c:v>Stride_read(MB/s)</c:v>
                </c:pt>
                <c:pt idx="6">
                  <c:v>Random_read(MB/s)</c:v>
                </c:pt>
                <c:pt idx="7">
                  <c:v>Mixed_workload(MB/s)</c:v>
                </c:pt>
                <c:pt idx="8">
                  <c:v>Random_write(MB/s)</c:v>
                </c:pt>
                <c:pt idx="9">
                  <c:v>Pwrite(MB/s)</c:v>
                </c:pt>
                <c:pt idx="10">
                  <c:v>Pread(MB/s)</c:v>
                </c:pt>
                <c:pt idx="11">
                  <c:v>Fwrite(MB/s)</c:v>
                </c:pt>
                <c:pt idx="12">
                  <c:v>Fread(MB/s)</c:v>
                </c:pt>
              </c:strCache>
            </c:strRef>
          </c:cat>
          <c:val>
            <c:numRef>
              <c:f>'6、IO测试结果(iozone)'!$C$35:$O$35</c:f>
              <c:numCache>
                <c:formatCode>#,##0.000_ </c:formatCode>
                <c:ptCount val="13"/>
                <c:pt idx="0">
                  <c:v>5532.6553906250001</c:v>
                </c:pt>
                <c:pt idx="1">
                  <c:v>5771.5542578124996</c:v>
                </c:pt>
                <c:pt idx="2">
                  <c:v>13711.94140625</c:v>
                </c:pt>
                <c:pt idx="3">
                  <c:v>13086.195683593751</c:v>
                </c:pt>
                <c:pt idx="4">
                  <c:v>13188.607666015625</c:v>
                </c:pt>
                <c:pt idx="5">
                  <c:v>11987.350468750001</c:v>
                </c:pt>
                <c:pt idx="6">
                  <c:v>12119.946171875001</c:v>
                </c:pt>
                <c:pt idx="7">
                  <c:v>7863.7094140625004</c:v>
                </c:pt>
                <c:pt idx="8">
                  <c:v>5636.91845703125</c:v>
                </c:pt>
                <c:pt idx="9">
                  <c:v>665.77628906250004</c:v>
                </c:pt>
                <c:pt idx="10">
                  <c:v>1102.7620800781251</c:v>
                </c:pt>
                <c:pt idx="11">
                  <c:v>737.49183593750001</c:v>
                </c:pt>
                <c:pt idx="12">
                  <c:v>5455.9194628906253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'6、IO测试结果(iozone)'!$B$36</c:f>
              <c:strCache>
                <c:ptCount val="1"/>
                <c:pt idx="0">
                  <c:v>2SSD_RAID1_R_E_s_1024M_l_8_r_8k</c:v>
                </c:pt>
              </c:strCache>
            </c:strRef>
          </c:tx>
          <c:marker>
            <c:symbol val="none"/>
          </c:marker>
          <c:cat>
            <c:strRef>
              <c:f>'6、IO测试结果(iozone)'!$C$34:$O$34</c:f>
              <c:strCache>
                <c:ptCount val="13"/>
                <c:pt idx="0">
                  <c:v>Initial_write(MB/s)</c:v>
                </c:pt>
                <c:pt idx="1">
                  <c:v>Rewrite(MB/s)</c:v>
                </c:pt>
                <c:pt idx="2">
                  <c:v>Read(MB/s)</c:v>
                </c:pt>
                <c:pt idx="3">
                  <c:v>Re-read(MB/s)</c:v>
                </c:pt>
                <c:pt idx="4">
                  <c:v>Reverse_Read(MB/s)</c:v>
                </c:pt>
                <c:pt idx="5">
                  <c:v>Stride_read(MB/s)</c:v>
                </c:pt>
                <c:pt idx="6">
                  <c:v>Random_read(MB/s)</c:v>
                </c:pt>
                <c:pt idx="7">
                  <c:v>Mixed_workload(MB/s)</c:v>
                </c:pt>
                <c:pt idx="8">
                  <c:v>Random_write(MB/s)</c:v>
                </c:pt>
                <c:pt idx="9">
                  <c:v>Pwrite(MB/s)</c:v>
                </c:pt>
                <c:pt idx="10">
                  <c:v>Pread(MB/s)</c:v>
                </c:pt>
                <c:pt idx="11">
                  <c:v>Fwrite(MB/s)</c:v>
                </c:pt>
                <c:pt idx="12">
                  <c:v>Fread(MB/s)</c:v>
                </c:pt>
              </c:strCache>
            </c:strRef>
          </c:cat>
          <c:val>
            <c:numRef>
              <c:f>'6、IO测试结果(iozone)'!$C$36:$O$36</c:f>
              <c:numCache>
                <c:formatCode>#,##0.000_ </c:formatCode>
                <c:ptCount val="13"/>
                <c:pt idx="0">
                  <c:v>5499.3276953124996</c:v>
                </c:pt>
                <c:pt idx="1">
                  <c:v>5648.7810644531246</c:v>
                </c:pt>
                <c:pt idx="2">
                  <c:v>13550.920527343749</c:v>
                </c:pt>
                <c:pt idx="3">
                  <c:v>14063.35400390625</c:v>
                </c:pt>
                <c:pt idx="4">
                  <c:v>14092.30029296875</c:v>
                </c:pt>
                <c:pt idx="5">
                  <c:v>13311.0419921875</c:v>
                </c:pt>
                <c:pt idx="6">
                  <c:v>13249.170781250001</c:v>
                </c:pt>
                <c:pt idx="7">
                  <c:v>8029.16748046875</c:v>
                </c:pt>
                <c:pt idx="8">
                  <c:v>5770.0476660156246</c:v>
                </c:pt>
                <c:pt idx="9">
                  <c:v>670.44341796875005</c:v>
                </c:pt>
                <c:pt idx="10">
                  <c:v>1116.52486328125</c:v>
                </c:pt>
                <c:pt idx="11">
                  <c:v>746.30913085937505</c:v>
                </c:pt>
                <c:pt idx="12">
                  <c:v>6844.4809375000004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'6、IO测试结果(iozone)'!$B$37</c:f>
              <c:strCache>
                <c:ptCount val="1"/>
                <c:pt idx="0">
                  <c:v>2SSD_RAID1_R_E_s_1024M_l_8_r_16k</c:v>
                </c:pt>
              </c:strCache>
            </c:strRef>
          </c:tx>
          <c:marker>
            <c:symbol val="none"/>
          </c:marker>
          <c:cat>
            <c:strRef>
              <c:f>'6、IO测试结果(iozone)'!$C$34:$O$34</c:f>
              <c:strCache>
                <c:ptCount val="13"/>
                <c:pt idx="0">
                  <c:v>Initial_write(MB/s)</c:v>
                </c:pt>
                <c:pt idx="1">
                  <c:v>Rewrite(MB/s)</c:v>
                </c:pt>
                <c:pt idx="2">
                  <c:v>Read(MB/s)</c:v>
                </c:pt>
                <c:pt idx="3">
                  <c:v>Re-read(MB/s)</c:v>
                </c:pt>
                <c:pt idx="4">
                  <c:v>Reverse_Read(MB/s)</c:v>
                </c:pt>
                <c:pt idx="5">
                  <c:v>Stride_read(MB/s)</c:v>
                </c:pt>
                <c:pt idx="6">
                  <c:v>Random_read(MB/s)</c:v>
                </c:pt>
                <c:pt idx="7">
                  <c:v>Mixed_workload(MB/s)</c:v>
                </c:pt>
                <c:pt idx="8">
                  <c:v>Random_write(MB/s)</c:v>
                </c:pt>
                <c:pt idx="9">
                  <c:v>Pwrite(MB/s)</c:v>
                </c:pt>
                <c:pt idx="10">
                  <c:v>Pread(MB/s)</c:v>
                </c:pt>
                <c:pt idx="11">
                  <c:v>Fwrite(MB/s)</c:v>
                </c:pt>
                <c:pt idx="12">
                  <c:v>Fread(MB/s)</c:v>
                </c:pt>
              </c:strCache>
            </c:strRef>
          </c:cat>
          <c:val>
            <c:numRef>
              <c:f>'6、IO测试结果(iozone)'!$C$37:$O$37</c:f>
              <c:numCache>
                <c:formatCode>#,##0.000_ </c:formatCode>
                <c:ptCount val="13"/>
                <c:pt idx="0">
                  <c:v>5491.6997656249996</c:v>
                </c:pt>
                <c:pt idx="1">
                  <c:v>5411.6519140624996</c:v>
                </c:pt>
                <c:pt idx="2">
                  <c:v>14015.385625000001</c:v>
                </c:pt>
                <c:pt idx="3">
                  <c:v>14074.976318359375</c:v>
                </c:pt>
                <c:pt idx="4">
                  <c:v>13926.9033203125</c:v>
                </c:pt>
                <c:pt idx="5">
                  <c:v>13532.330937500001</c:v>
                </c:pt>
                <c:pt idx="6">
                  <c:v>13365.030644531251</c:v>
                </c:pt>
                <c:pt idx="7">
                  <c:v>7871.7738085937499</c:v>
                </c:pt>
                <c:pt idx="8">
                  <c:v>5400.4984765625004</c:v>
                </c:pt>
                <c:pt idx="9">
                  <c:v>706.78375976562495</c:v>
                </c:pt>
                <c:pt idx="10">
                  <c:v>1557.716357421875</c:v>
                </c:pt>
                <c:pt idx="11">
                  <c:v>724.74447265624997</c:v>
                </c:pt>
                <c:pt idx="12">
                  <c:v>5742.9598535156247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'6、IO测试结果(iozone)'!$B$38</c:f>
              <c:strCache>
                <c:ptCount val="1"/>
                <c:pt idx="0">
                  <c:v>2SSD_RAID1_R_E_s_1024M_l_8_r_32k</c:v>
                </c:pt>
              </c:strCache>
            </c:strRef>
          </c:tx>
          <c:marker>
            <c:symbol val="none"/>
          </c:marker>
          <c:cat>
            <c:strRef>
              <c:f>'6、IO测试结果(iozone)'!$C$34:$O$34</c:f>
              <c:strCache>
                <c:ptCount val="13"/>
                <c:pt idx="0">
                  <c:v>Initial_write(MB/s)</c:v>
                </c:pt>
                <c:pt idx="1">
                  <c:v>Rewrite(MB/s)</c:v>
                </c:pt>
                <c:pt idx="2">
                  <c:v>Read(MB/s)</c:v>
                </c:pt>
                <c:pt idx="3">
                  <c:v>Re-read(MB/s)</c:v>
                </c:pt>
                <c:pt idx="4">
                  <c:v>Reverse_Read(MB/s)</c:v>
                </c:pt>
                <c:pt idx="5">
                  <c:v>Stride_read(MB/s)</c:v>
                </c:pt>
                <c:pt idx="6">
                  <c:v>Random_read(MB/s)</c:v>
                </c:pt>
                <c:pt idx="7">
                  <c:v>Mixed_workload(MB/s)</c:v>
                </c:pt>
                <c:pt idx="8">
                  <c:v>Random_write(MB/s)</c:v>
                </c:pt>
                <c:pt idx="9">
                  <c:v>Pwrite(MB/s)</c:v>
                </c:pt>
                <c:pt idx="10">
                  <c:v>Pread(MB/s)</c:v>
                </c:pt>
                <c:pt idx="11">
                  <c:v>Fwrite(MB/s)</c:v>
                </c:pt>
                <c:pt idx="12">
                  <c:v>Fread(MB/s)</c:v>
                </c:pt>
              </c:strCache>
            </c:strRef>
          </c:cat>
          <c:val>
            <c:numRef>
              <c:f>'6、IO测试结果(iozone)'!$C$38:$O$38</c:f>
              <c:numCache>
                <c:formatCode>#,##0.000_ </c:formatCode>
                <c:ptCount val="13"/>
                <c:pt idx="0">
                  <c:v>5553.0349707031246</c:v>
                </c:pt>
                <c:pt idx="1">
                  <c:v>5465.7997460937504</c:v>
                </c:pt>
                <c:pt idx="2">
                  <c:v>14095.891845703125</c:v>
                </c:pt>
                <c:pt idx="3">
                  <c:v>14125.847285156249</c:v>
                </c:pt>
                <c:pt idx="4">
                  <c:v>14439.337773437501</c:v>
                </c:pt>
                <c:pt idx="5">
                  <c:v>13887.31787109375</c:v>
                </c:pt>
                <c:pt idx="6">
                  <c:v>13765.419921875</c:v>
                </c:pt>
                <c:pt idx="7">
                  <c:v>7834.5252734374999</c:v>
                </c:pt>
                <c:pt idx="8">
                  <c:v>5474.8533984374999</c:v>
                </c:pt>
                <c:pt idx="9">
                  <c:v>702.70392578124995</c:v>
                </c:pt>
                <c:pt idx="10">
                  <c:v>884.44701171874999</c:v>
                </c:pt>
                <c:pt idx="11">
                  <c:v>792.74839843749999</c:v>
                </c:pt>
                <c:pt idx="12">
                  <c:v>3814.5603320312498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'6、IO测试结果(iozone)'!$B$39</c:f>
              <c:strCache>
                <c:ptCount val="1"/>
                <c:pt idx="0">
                  <c:v>2SSD_RAID1_R_E_s_1024M_l_8_r_64k</c:v>
                </c:pt>
              </c:strCache>
            </c:strRef>
          </c:tx>
          <c:marker>
            <c:symbol val="none"/>
          </c:marker>
          <c:cat>
            <c:strRef>
              <c:f>'6、IO测试结果(iozone)'!$C$34:$O$34</c:f>
              <c:strCache>
                <c:ptCount val="13"/>
                <c:pt idx="0">
                  <c:v>Initial_write(MB/s)</c:v>
                </c:pt>
                <c:pt idx="1">
                  <c:v>Rewrite(MB/s)</c:v>
                </c:pt>
                <c:pt idx="2">
                  <c:v>Read(MB/s)</c:v>
                </c:pt>
                <c:pt idx="3">
                  <c:v>Re-read(MB/s)</c:v>
                </c:pt>
                <c:pt idx="4">
                  <c:v>Reverse_Read(MB/s)</c:v>
                </c:pt>
                <c:pt idx="5">
                  <c:v>Stride_read(MB/s)</c:v>
                </c:pt>
                <c:pt idx="6">
                  <c:v>Random_read(MB/s)</c:v>
                </c:pt>
                <c:pt idx="7">
                  <c:v>Mixed_workload(MB/s)</c:v>
                </c:pt>
                <c:pt idx="8">
                  <c:v>Random_write(MB/s)</c:v>
                </c:pt>
                <c:pt idx="9">
                  <c:v>Pwrite(MB/s)</c:v>
                </c:pt>
                <c:pt idx="10">
                  <c:v>Pread(MB/s)</c:v>
                </c:pt>
                <c:pt idx="11">
                  <c:v>Fwrite(MB/s)</c:v>
                </c:pt>
                <c:pt idx="12">
                  <c:v>Fread(MB/s)</c:v>
                </c:pt>
              </c:strCache>
            </c:strRef>
          </c:cat>
          <c:val>
            <c:numRef>
              <c:f>'6、IO测试结果(iozone)'!$C$39:$O$39</c:f>
              <c:numCache>
                <c:formatCode>#,##0.000_ </c:formatCode>
                <c:ptCount val="13"/>
                <c:pt idx="0">
                  <c:v>5646.8314257812499</c:v>
                </c:pt>
                <c:pt idx="1">
                  <c:v>5719.866455078125</c:v>
                </c:pt>
                <c:pt idx="2">
                  <c:v>14149.978398437501</c:v>
                </c:pt>
                <c:pt idx="3">
                  <c:v>13956.43505859375</c:v>
                </c:pt>
                <c:pt idx="4">
                  <c:v>14052.023554687499</c:v>
                </c:pt>
                <c:pt idx="5">
                  <c:v>14006.770751953125</c:v>
                </c:pt>
                <c:pt idx="6">
                  <c:v>13899.945917968749</c:v>
                </c:pt>
                <c:pt idx="7">
                  <c:v>11062.082822265626</c:v>
                </c:pt>
                <c:pt idx="8">
                  <c:v>5790.8856249999999</c:v>
                </c:pt>
                <c:pt idx="9">
                  <c:v>495.54715820312498</c:v>
                </c:pt>
                <c:pt idx="10">
                  <c:v>595.62228515624997</c:v>
                </c:pt>
                <c:pt idx="11">
                  <c:v>501.16959960937498</c:v>
                </c:pt>
                <c:pt idx="12">
                  <c:v>279.48048828125002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024808"/>
        <c:axId val="600025200"/>
      </c:lineChart>
      <c:catAx>
        <c:axId val="6000248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0025200"/>
        <c:crosses val="autoZero"/>
        <c:auto val="1"/>
        <c:lblAlgn val="ctr"/>
        <c:lblOffset val="100"/>
        <c:noMultiLvlLbl val="0"/>
      </c:catAx>
      <c:valAx>
        <c:axId val="600025200"/>
        <c:scaling>
          <c:orientation val="minMax"/>
        </c:scaling>
        <c:delete val="0"/>
        <c:axPos val="l"/>
        <c:majorGridlines/>
        <c:numFmt formatCode="#,##0.000_ " sourceLinked="1"/>
        <c:majorTickMark val="none"/>
        <c:minorTickMark val="none"/>
        <c:tickLblPos val="nextTo"/>
        <c:spPr>
          <a:ln w="9525">
            <a:noFill/>
          </a:ln>
        </c:spPr>
        <c:crossAx val="6000248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FileIO sysbench</a:t>
            </a:r>
            <a:r>
              <a:rPr lang="zh-CN" altLang="en-US" sz="1400"/>
              <a:t>测试</a:t>
            </a:r>
            <a:r>
              <a:rPr lang="en-US" altLang="zh-CN" sz="1400"/>
              <a:t>(MB/s)-20121214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'7、IO测试结果(sysbench)'!$B$32</c:f>
              <c:strCache>
                <c:ptCount val="1"/>
                <c:pt idx="0">
                  <c:v>6SAS_RAID10_4th_50000req_4g_4k</c:v>
                </c:pt>
              </c:strCache>
            </c:strRef>
          </c:tx>
          <c:marker>
            <c:symbol val="none"/>
          </c:marker>
          <c:cat>
            <c:strRef>
              <c:f>'7、IO测试结果(sysbench)'!$C$31:$H$31</c:f>
              <c:strCache>
                <c:ptCount val="6"/>
                <c:pt idx="0">
                  <c:v>seqwr(MB/s)</c:v>
                </c:pt>
                <c:pt idx="1">
                  <c:v>seqrewr(MB/s)</c:v>
                </c:pt>
                <c:pt idx="2">
                  <c:v>seqrd(MB/s)</c:v>
                </c:pt>
                <c:pt idx="3">
                  <c:v>rndrd(MB/s)</c:v>
                </c:pt>
                <c:pt idx="4">
                  <c:v>rndwr(MB/s)</c:v>
                </c:pt>
                <c:pt idx="5">
                  <c:v>rndrw(MB/s)</c:v>
                </c:pt>
              </c:strCache>
            </c:strRef>
          </c:cat>
          <c:val>
            <c:numRef>
              <c:f>'7、IO测试结果(sysbench)'!$C$32:$H$32</c:f>
              <c:numCache>
                <c:formatCode>0.0000_ </c:formatCode>
                <c:ptCount val="6"/>
                <c:pt idx="0">
                  <c:v>290.43</c:v>
                </c:pt>
                <c:pt idx="1">
                  <c:v>788.79</c:v>
                </c:pt>
                <c:pt idx="2">
                  <c:v>2104.2944000000002</c:v>
                </c:pt>
                <c:pt idx="3">
                  <c:v>2448.4863999999998</c:v>
                </c:pt>
                <c:pt idx="4">
                  <c:v>114.43</c:v>
                </c:pt>
                <c:pt idx="5">
                  <c:v>228.97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'7、IO测试结果(sysbench)'!$B$33</c:f>
              <c:strCache>
                <c:ptCount val="1"/>
                <c:pt idx="0">
                  <c:v>6SAS_RAID10_4th_50000_req_4g_8k</c:v>
                </c:pt>
              </c:strCache>
            </c:strRef>
          </c:tx>
          <c:marker>
            <c:symbol val="none"/>
          </c:marker>
          <c:val>
            <c:numRef>
              <c:f>'7、IO测试结果(sysbench)'!$C$33:$H$33</c:f>
              <c:numCache>
                <c:formatCode>0.0000_ </c:formatCode>
                <c:ptCount val="6"/>
                <c:pt idx="0">
                  <c:v>230.43</c:v>
                </c:pt>
                <c:pt idx="1">
                  <c:v>688.79</c:v>
                </c:pt>
                <c:pt idx="2">
                  <c:v>2704.2944000000002</c:v>
                </c:pt>
                <c:pt idx="3">
                  <c:v>2748.4863999999998</c:v>
                </c:pt>
                <c:pt idx="4">
                  <c:v>214.43</c:v>
                </c:pt>
                <c:pt idx="5">
                  <c:v>208.97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'7、IO测试结果(sysbench)'!$B$34</c:f>
              <c:strCache>
                <c:ptCount val="1"/>
                <c:pt idx="0">
                  <c:v>6SAS_RAID10_4th_50000req_8g_4k</c:v>
                </c:pt>
              </c:strCache>
            </c:strRef>
          </c:tx>
          <c:marker>
            <c:symbol val="none"/>
          </c:marker>
          <c:val>
            <c:numRef>
              <c:f>'7、IO测试结果(sysbench)'!$C$34:$H$34</c:f>
              <c:numCache>
                <c:formatCode>0.0000_ </c:formatCode>
                <c:ptCount val="6"/>
                <c:pt idx="0">
                  <c:v>250.43</c:v>
                </c:pt>
                <c:pt idx="1">
                  <c:v>888.79</c:v>
                </c:pt>
                <c:pt idx="2">
                  <c:v>3504.2944000000002</c:v>
                </c:pt>
                <c:pt idx="3">
                  <c:v>2748.4863999999998</c:v>
                </c:pt>
                <c:pt idx="4">
                  <c:v>154.43</c:v>
                </c:pt>
                <c:pt idx="5">
                  <c:v>288.97000000000003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'7、IO测试结果(sysbench)'!$B$35</c:f>
              <c:strCache>
                <c:ptCount val="1"/>
                <c:pt idx="0">
                  <c:v>6SAS_RAID10_4th_50000req_8g_8k</c:v>
                </c:pt>
              </c:strCache>
            </c:strRef>
          </c:tx>
          <c:marker>
            <c:symbol val="none"/>
          </c:marker>
          <c:val>
            <c:numRef>
              <c:f>'7、IO测试结果(sysbench)'!$C$35:$H$35</c:f>
              <c:numCache>
                <c:formatCode>0.0000_ </c:formatCode>
                <c:ptCount val="6"/>
                <c:pt idx="0">
                  <c:v>210.43</c:v>
                </c:pt>
                <c:pt idx="1">
                  <c:v>588.79</c:v>
                </c:pt>
                <c:pt idx="2">
                  <c:v>2004.2944</c:v>
                </c:pt>
                <c:pt idx="3">
                  <c:v>3448.4863999999998</c:v>
                </c:pt>
                <c:pt idx="4">
                  <c:v>194.43</c:v>
                </c:pt>
                <c:pt idx="5">
                  <c:v>328.97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074896"/>
        <c:axId val="602075288"/>
      </c:lineChart>
      <c:catAx>
        <c:axId val="602074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2075288"/>
        <c:crosses val="autoZero"/>
        <c:auto val="1"/>
        <c:lblAlgn val="ctr"/>
        <c:lblOffset val="100"/>
        <c:noMultiLvlLbl val="0"/>
      </c:catAx>
      <c:valAx>
        <c:axId val="602075288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0748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OLTP tpcc-mysql</a:t>
            </a:r>
            <a:r>
              <a:rPr lang="zh-CN" altLang="en-US" sz="1400"/>
              <a:t>测试</a:t>
            </a:r>
            <a:r>
              <a:rPr lang="en-US" altLang="zh-CN" sz="1400"/>
              <a:t>(tps)-20121214</a:t>
            </a:r>
            <a:endParaRPr lang="zh-CN" altLang="en-US" sz="14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'8、OLTP测试结果(tpcc-mysql)'!$B$27</c:f>
              <c:strCache>
                <c:ptCount val="1"/>
                <c:pt idx="0">
                  <c:v>Percona_5.5.15_1000w_16c_120r_3600l</c:v>
                </c:pt>
              </c:strCache>
            </c:strRef>
          </c:tx>
          <c:marker>
            <c:symbol val="none"/>
          </c:marker>
          <c:cat>
            <c:strRef>
              <c:f>'8、OLTP测试结果(tpcc-mysql)'!$C$26:$F$26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'8、OLTP测试结果(tpcc-mysql)'!$C$27:$F$27</c:f>
              <c:numCache>
                <c:formatCode>0.0000_ </c:formatCode>
                <c:ptCount val="4"/>
                <c:pt idx="0">
                  <c:v>1267.2750000000001</c:v>
                </c:pt>
                <c:pt idx="1">
                  <c:v>1583.1579999999999</c:v>
                </c:pt>
                <c:pt idx="2">
                  <c:v>12670.275</c:v>
                </c:pt>
                <c:pt idx="3">
                  <c:v>15183.157999999999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'8、OLTP测试结果(tpcc-mysql)'!$B$28</c:f>
              <c:strCache>
                <c:ptCount val="1"/>
                <c:pt idx="0">
                  <c:v>Percona_5.5.15_1000w_32c_120r_3600l</c:v>
                </c:pt>
              </c:strCache>
            </c:strRef>
          </c:tx>
          <c:marker>
            <c:symbol val="none"/>
          </c:marker>
          <c:cat>
            <c:strRef>
              <c:f>'8、OLTP测试结果(tpcc-mysql)'!$C$26:$F$26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'8、OLTP测试结果(tpcc-mysql)'!$C$28:$F$28</c:f>
              <c:numCache>
                <c:formatCode>0.0000_ </c:formatCode>
                <c:ptCount val="4"/>
                <c:pt idx="0">
                  <c:v>1744.5920000000001</c:v>
                </c:pt>
                <c:pt idx="1">
                  <c:v>2088.942</c:v>
                </c:pt>
                <c:pt idx="2">
                  <c:v>17044.592000000001</c:v>
                </c:pt>
                <c:pt idx="3">
                  <c:v>21088.941999999999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'8、OLTP测试结果(tpcc-mysql)'!$B$29</c:f>
              <c:strCache>
                <c:ptCount val="1"/>
                <c:pt idx="0">
                  <c:v>Percona_5.5.15_1000w_64c_120r_3600l</c:v>
                </c:pt>
              </c:strCache>
            </c:strRef>
          </c:tx>
          <c:marker>
            <c:symbol val="none"/>
          </c:marker>
          <c:cat>
            <c:strRef>
              <c:f>'8、OLTP测试结果(tpcc-mysql)'!$C$26:$F$26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'8、OLTP测试结果(tpcc-mysql)'!$C$29:$F$29</c:f>
              <c:numCache>
                <c:formatCode>0.0000_ </c:formatCode>
                <c:ptCount val="4"/>
                <c:pt idx="0">
                  <c:v>1887.925</c:v>
                </c:pt>
                <c:pt idx="1">
                  <c:v>2180.5</c:v>
                </c:pt>
                <c:pt idx="2">
                  <c:v>18087.924999999999</c:v>
                </c:pt>
                <c:pt idx="3">
                  <c:v>21800.5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'8、OLTP测试结果(tpcc-mysql)'!$B$30</c:f>
              <c:strCache>
                <c:ptCount val="1"/>
                <c:pt idx="0">
                  <c:v>Percona_5.5.15_1000w_128c_120r_3600l</c:v>
                </c:pt>
              </c:strCache>
            </c:strRef>
          </c:tx>
          <c:marker>
            <c:symbol val="none"/>
          </c:marker>
          <c:cat>
            <c:strRef>
              <c:f>'8、OLTP测试结果(tpcc-mysql)'!$C$26:$F$26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'8、OLTP测试结果(tpcc-mysql)'!$C$30:$F$30</c:f>
              <c:numCache>
                <c:formatCode>0.0000_ </c:formatCode>
                <c:ptCount val="4"/>
                <c:pt idx="0">
                  <c:v>1931.2329999999999</c:v>
                </c:pt>
                <c:pt idx="1">
                  <c:v>2204.3330000000001</c:v>
                </c:pt>
                <c:pt idx="2">
                  <c:v>19031.233</c:v>
                </c:pt>
                <c:pt idx="3">
                  <c:v>20204.332999999999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'8、OLTP测试结果(tpcc-mysql)'!$B$31</c:f>
              <c:strCache>
                <c:ptCount val="1"/>
                <c:pt idx="0">
                  <c:v>Percona_5.5.15_1000w_256c_120r_3600l</c:v>
                </c:pt>
              </c:strCache>
            </c:strRef>
          </c:tx>
          <c:marker>
            <c:symbol val="none"/>
          </c:marker>
          <c:cat>
            <c:strRef>
              <c:f>'8、OLTP测试结果(tpcc-mysql)'!$C$26:$F$26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'8、OLTP测试结果(tpcc-mysql)'!$C$31:$F$31</c:f>
              <c:numCache>
                <c:formatCode>0.0000_ </c:formatCode>
                <c:ptCount val="4"/>
                <c:pt idx="0">
                  <c:v>1916.684</c:v>
                </c:pt>
                <c:pt idx="1">
                  <c:v>2193.9</c:v>
                </c:pt>
                <c:pt idx="2">
                  <c:v>19106.684000000001</c:v>
                </c:pt>
                <c:pt idx="3">
                  <c:v>21903.9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076072"/>
        <c:axId val="602076464"/>
      </c:lineChart>
      <c:catAx>
        <c:axId val="6020760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2076464"/>
        <c:crosses val="autoZero"/>
        <c:auto val="1"/>
        <c:lblAlgn val="ctr"/>
        <c:lblOffset val="100"/>
        <c:noMultiLvlLbl val="0"/>
      </c:catAx>
      <c:valAx>
        <c:axId val="602076464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6020760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OLTP sysbench</a:t>
            </a:r>
            <a:r>
              <a:rPr lang="zh-CN" altLang="en-US" sz="1400"/>
              <a:t>测试</a:t>
            </a:r>
            <a:r>
              <a:rPr lang="en-US" altLang="zh-CN" sz="1400"/>
              <a:t>(tps)-20121214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'8、OLTP测试结果(sysbench)'!$B$30</c:f>
              <c:strCache>
                <c:ptCount val="1"/>
                <c:pt idx="0">
                  <c:v>Percona_5.5.15_innodb_1000000rows_4th_1000000req</c:v>
                </c:pt>
              </c:strCache>
            </c:strRef>
          </c:tx>
          <c:marker>
            <c:symbol val="none"/>
          </c:marker>
          <c:cat>
            <c:strRef>
              <c:f>'8、OLTP测试结果(sysbench)'!$C$29:$F$29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'8、OLTP测试结果(sysbench)'!$C$30:$F$30</c:f>
              <c:numCache>
                <c:formatCode>0.0000_ </c:formatCode>
                <c:ptCount val="4"/>
                <c:pt idx="0">
                  <c:v>1267.2750000000001</c:v>
                </c:pt>
                <c:pt idx="1">
                  <c:v>1583.1579999999999</c:v>
                </c:pt>
                <c:pt idx="2">
                  <c:v>12067.275</c:v>
                </c:pt>
                <c:pt idx="3">
                  <c:v>16583.157999999999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'8、OLTP测试结果(sysbench)'!$B$31</c:f>
              <c:strCache>
                <c:ptCount val="1"/>
                <c:pt idx="0">
                  <c:v>Percona_5.5.15_innodb_1000000rows_8th_1000000req</c:v>
                </c:pt>
              </c:strCache>
            </c:strRef>
          </c:tx>
          <c:marker>
            <c:symbol val="none"/>
          </c:marker>
          <c:cat>
            <c:strRef>
              <c:f>'8、OLTP测试结果(sysbench)'!$C$29:$F$29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'8、OLTP测试结果(sysbench)'!$C$31:$F$31</c:f>
              <c:numCache>
                <c:formatCode>0.0000_ </c:formatCode>
                <c:ptCount val="4"/>
                <c:pt idx="0">
                  <c:v>1744.5920000000001</c:v>
                </c:pt>
                <c:pt idx="1">
                  <c:v>2088.942</c:v>
                </c:pt>
                <c:pt idx="2">
                  <c:v>17144.592000000001</c:v>
                </c:pt>
                <c:pt idx="3">
                  <c:v>20188.941999999999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'8、OLTP测试结果(sysbench)'!$B$32</c:f>
              <c:strCache>
                <c:ptCount val="1"/>
                <c:pt idx="0">
                  <c:v>Percona_5.5.15_innodb_1000000rows_16th_1000000req</c:v>
                </c:pt>
              </c:strCache>
            </c:strRef>
          </c:tx>
          <c:marker>
            <c:symbol val="none"/>
          </c:marker>
          <c:cat>
            <c:strRef>
              <c:f>'8、OLTP测试结果(sysbench)'!$C$29:$F$29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'8、OLTP测试结果(sysbench)'!$C$32:$F$32</c:f>
              <c:numCache>
                <c:formatCode>0.0000_ </c:formatCode>
                <c:ptCount val="4"/>
                <c:pt idx="0">
                  <c:v>1887.925</c:v>
                </c:pt>
                <c:pt idx="1">
                  <c:v>2180.5</c:v>
                </c:pt>
                <c:pt idx="2">
                  <c:v>18087.924999999999</c:v>
                </c:pt>
                <c:pt idx="3">
                  <c:v>22180.5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'8、OLTP测试结果(sysbench)'!$B$33</c:f>
              <c:strCache>
                <c:ptCount val="1"/>
                <c:pt idx="0">
                  <c:v>Percona_5.5.15_innodb_1000000rows_32th_1000000req</c:v>
                </c:pt>
              </c:strCache>
            </c:strRef>
          </c:tx>
          <c:marker>
            <c:symbol val="none"/>
          </c:marker>
          <c:cat>
            <c:strRef>
              <c:f>'8、OLTP测试结果(sysbench)'!$C$29:$F$29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'8、OLTP测试结果(sysbench)'!$C$33:$F$33</c:f>
              <c:numCache>
                <c:formatCode>0.0000_ </c:formatCode>
                <c:ptCount val="4"/>
                <c:pt idx="0">
                  <c:v>1931.2329999999999</c:v>
                </c:pt>
                <c:pt idx="1">
                  <c:v>2204.3330000000001</c:v>
                </c:pt>
                <c:pt idx="2">
                  <c:v>19231.233</c:v>
                </c:pt>
                <c:pt idx="3">
                  <c:v>23204.332999999999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'8、OLTP测试结果(sysbench)'!$B$34</c:f>
              <c:strCache>
                <c:ptCount val="1"/>
                <c:pt idx="0">
                  <c:v>Percona_5.5.15_innodb_1000000rows_64th_1000000req</c:v>
                </c:pt>
              </c:strCache>
            </c:strRef>
          </c:tx>
          <c:marker>
            <c:symbol val="none"/>
          </c:marker>
          <c:cat>
            <c:strRef>
              <c:f>'8、OLTP测试结果(sysbench)'!$C$29:$F$29</c:f>
              <c:strCache>
                <c:ptCount val="4"/>
                <c:pt idx="0">
                  <c:v>2SAS_RAID1_ext4(tps)</c:v>
                </c:pt>
                <c:pt idx="1">
                  <c:v>2SAS_RAID1_xfs(tps)</c:v>
                </c:pt>
                <c:pt idx="2">
                  <c:v>2SSD_RAID1_ext4(tps)</c:v>
                </c:pt>
                <c:pt idx="3">
                  <c:v>2SSD_RAID1_xfs(tps)</c:v>
                </c:pt>
              </c:strCache>
            </c:strRef>
          </c:cat>
          <c:val>
            <c:numRef>
              <c:f>'8、OLTP测试结果(sysbench)'!$C$34:$F$34</c:f>
              <c:numCache>
                <c:formatCode>0.0000_ </c:formatCode>
                <c:ptCount val="4"/>
                <c:pt idx="0">
                  <c:v>1916.684</c:v>
                </c:pt>
                <c:pt idx="1">
                  <c:v>2193.9</c:v>
                </c:pt>
                <c:pt idx="2">
                  <c:v>19316.684000000001</c:v>
                </c:pt>
                <c:pt idx="3">
                  <c:v>22193.9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6144"/>
        <c:axId val="257176536"/>
      </c:lineChart>
      <c:catAx>
        <c:axId val="2571761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57176536"/>
        <c:crosses val="autoZero"/>
        <c:auto val="1"/>
        <c:lblAlgn val="ctr"/>
        <c:lblOffset val="100"/>
        <c:noMultiLvlLbl val="0"/>
      </c:catAx>
      <c:valAx>
        <c:axId val="257176536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2571761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400"/>
              <a:t>OLAP tpch</a:t>
            </a:r>
            <a:r>
              <a:rPr lang="zh-CN" altLang="en-US" sz="1400"/>
              <a:t>测试</a:t>
            </a:r>
            <a:r>
              <a:rPr lang="en-US" altLang="zh-CN" sz="1400"/>
              <a:t>(s)-20121214</a:t>
            </a:r>
            <a:endParaRPr lang="zh-CN" alt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'9、OLAP测试结果(tpch)'!$B$35</c:f>
              <c:strCache>
                <c:ptCount val="1"/>
                <c:pt idx="0">
                  <c:v>MySQL_5.6_100dw_ext4</c:v>
                </c:pt>
              </c:strCache>
            </c:strRef>
          </c:tx>
          <c:marker>
            <c:symbol val="none"/>
          </c:marker>
          <c:cat>
            <c:strRef>
              <c:f>'9、OLAP测试结果(tpch)'!$C$34:$X$34</c:f>
              <c:strCache>
                <c:ptCount val="22"/>
                <c:pt idx="0">
                  <c:v>Q1(s)</c:v>
                </c:pt>
                <c:pt idx="1">
                  <c:v>Q2(s)</c:v>
                </c:pt>
                <c:pt idx="2">
                  <c:v>Q3(s)</c:v>
                </c:pt>
                <c:pt idx="3">
                  <c:v>Q4(s)</c:v>
                </c:pt>
                <c:pt idx="4">
                  <c:v>Q5(s)</c:v>
                </c:pt>
                <c:pt idx="5">
                  <c:v>Q6(s)</c:v>
                </c:pt>
                <c:pt idx="6">
                  <c:v>Q7(s)</c:v>
                </c:pt>
                <c:pt idx="7">
                  <c:v>Q8(s)</c:v>
                </c:pt>
                <c:pt idx="8">
                  <c:v>Q9(s)</c:v>
                </c:pt>
                <c:pt idx="9">
                  <c:v>Q10(s)</c:v>
                </c:pt>
                <c:pt idx="10">
                  <c:v>Q11(s)</c:v>
                </c:pt>
                <c:pt idx="11">
                  <c:v>Q12(s)</c:v>
                </c:pt>
                <c:pt idx="12">
                  <c:v>Q13(s)</c:v>
                </c:pt>
                <c:pt idx="13">
                  <c:v>Q14(s)</c:v>
                </c:pt>
                <c:pt idx="14">
                  <c:v>Q15(s)</c:v>
                </c:pt>
                <c:pt idx="15">
                  <c:v>Q16(s)</c:v>
                </c:pt>
                <c:pt idx="16">
                  <c:v>Q17(s)</c:v>
                </c:pt>
                <c:pt idx="17">
                  <c:v>Q18(s)</c:v>
                </c:pt>
                <c:pt idx="18">
                  <c:v>Q19(s)</c:v>
                </c:pt>
                <c:pt idx="19">
                  <c:v>Q20(s)</c:v>
                </c:pt>
                <c:pt idx="20">
                  <c:v>Q21(s)</c:v>
                </c:pt>
                <c:pt idx="21">
                  <c:v>Q22(s)</c:v>
                </c:pt>
              </c:strCache>
            </c:strRef>
          </c:cat>
          <c:val>
            <c:numRef>
              <c:f>'9、OLAP测试结果(tpch)'!$C$35:$X$35</c:f>
              <c:numCache>
                <c:formatCode>0.000_ </c:formatCode>
                <c:ptCount val="22"/>
                <c:pt idx="0">
                  <c:v>270.09749999999997</c:v>
                </c:pt>
                <c:pt idx="1">
                  <c:v>44.752099999999999</c:v>
                </c:pt>
                <c:pt idx="2">
                  <c:v>370.54129999999998</c:v>
                </c:pt>
                <c:pt idx="3">
                  <c:v>10.456900000000001</c:v>
                </c:pt>
                <c:pt idx="4">
                  <c:v>263.08100000000002</c:v>
                </c:pt>
                <c:pt idx="5">
                  <c:v>219.9478</c:v>
                </c:pt>
                <c:pt idx="6">
                  <c:v>286.00310000000002</c:v>
                </c:pt>
                <c:pt idx="7">
                  <c:v>337.85399999999998</c:v>
                </c:pt>
                <c:pt idx="8">
                  <c:v>477.74590000000001</c:v>
                </c:pt>
                <c:pt idx="9">
                  <c:v>305.49149999999997</c:v>
                </c:pt>
                <c:pt idx="10">
                  <c:v>28.059199999999997</c:v>
                </c:pt>
                <c:pt idx="11">
                  <c:v>18.5703</c:v>
                </c:pt>
                <c:pt idx="12">
                  <c:v>68.781899999999993</c:v>
                </c:pt>
                <c:pt idx="13">
                  <c:v>190.99160000000001</c:v>
                </c:pt>
                <c:pt idx="14">
                  <c:v>256.05380000000002</c:v>
                </c:pt>
                <c:pt idx="15">
                  <c:v>46.098399999999998</c:v>
                </c:pt>
                <c:pt idx="16">
                  <c:v>35.713700000000003</c:v>
                </c:pt>
                <c:pt idx="17">
                  <c:v>81.955600000000004</c:v>
                </c:pt>
                <c:pt idx="18">
                  <c:v>77.091800000000006</c:v>
                </c:pt>
                <c:pt idx="19">
                  <c:v>74.993799999999993</c:v>
                </c:pt>
                <c:pt idx="20">
                  <c:v>53.939499999999995</c:v>
                </c:pt>
                <c:pt idx="21">
                  <c:v>8.1358999999999995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'9、OLAP测试结果(tpch)'!$B$36</c:f>
              <c:strCache>
                <c:ptCount val="1"/>
                <c:pt idx="0">
                  <c:v>MySQL_5.6_1000dw_ext4</c:v>
                </c:pt>
              </c:strCache>
            </c:strRef>
          </c:tx>
          <c:marker>
            <c:symbol val="none"/>
          </c:marker>
          <c:val>
            <c:numRef>
              <c:f>'9、OLAP测试结果(tpch)'!$C$36:$X$36</c:f>
              <c:numCache>
                <c:formatCode>0.000_ </c:formatCode>
                <c:ptCount val="22"/>
                <c:pt idx="0">
                  <c:v>2700.9749999999999</c:v>
                </c:pt>
                <c:pt idx="1">
                  <c:v>417.52100000000002</c:v>
                </c:pt>
                <c:pt idx="2">
                  <c:v>3705.413</c:v>
                </c:pt>
                <c:pt idx="3">
                  <c:v>104.569</c:v>
                </c:pt>
                <c:pt idx="4">
                  <c:v>2530.81</c:v>
                </c:pt>
                <c:pt idx="5">
                  <c:v>2199.4780000000001</c:v>
                </c:pt>
                <c:pt idx="6">
                  <c:v>2860.0309999999999</c:v>
                </c:pt>
                <c:pt idx="7">
                  <c:v>3378.54</c:v>
                </c:pt>
                <c:pt idx="8">
                  <c:v>4777.4589999999998</c:v>
                </c:pt>
                <c:pt idx="9">
                  <c:v>2854.915</c:v>
                </c:pt>
                <c:pt idx="10">
                  <c:v>280.59199999999998</c:v>
                </c:pt>
                <c:pt idx="11">
                  <c:v>185.703</c:v>
                </c:pt>
                <c:pt idx="12">
                  <c:v>687.81899999999996</c:v>
                </c:pt>
                <c:pt idx="13">
                  <c:v>1909.9159999999999</c:v>
                </c:pt>
                <c:pt idx="14">
                  <c:v>2560.538</c:v>
                </c:pt>
                <c:pt idx="15">
                  <c:v>410.98399999999998</c:v>
                </c:pt>
                <c:pt idx="16">
                  <c:v>357.137</c:v>
                </c:pt>
                <c:pt idx="17">
                  <c:v>819.55600000000004</c:v>
                </c:pt>
                <c:pt idx="18">
                  <c:v>770.91800000000001</c:v>
                </c:pt>
                <c:pt idx="19">
                  <c:v>749.93799999999999</c:v>
                </c:pt>
                <c:pt idx="20">
                  <c:v>359.39499999999998</c:v>
                </c:pt>
                <c:pt idx="21">
                  <c:v>81.358999999999995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'9、OLAP测试结果(tpch)'!$B$37</c:f>
              <c:strCache>
                <c:ptCount val="1"/>
                <c:pt idx="0">
                  <c:v>Percona_5.6_100dw_xfs</c:v>
                </c:pt>
              </c:strCache>
            </c:strRef>
          </c:tx>
          <c:marker>
            <c:symbol val="none"/>
          </c:marker>
          <c:val>
            <c:numRef>
              <c:f>'9、OLAP测试结果(tpch)'!$C$37:$X$37</c:f>
              <c:numCache>
                <c:formatCode>0.000_ </c:formatCode>
                <c:ptCount val="22"/>
                <c:pt idx="0">
                  <c:v>250.0975</c:v>
                </c:pt>
                <c:pt idx="1">
                  <c:v>36.752099999999999</c:v>
                </c:pt>
                <c:pt idx="2">
                  <c:v>370.54129999999998</c:v>
                </c:pt>
                <c:pt idx="3">
                  <c:v>10.456900000000001</c:v>
                </c:pt>
                <c:pt idx="4">
                  <c:v>243.08099999999999</c:v>
                </c:pt>
                <c:pt idx="5">
                  <c:v>219.9478</c:v>
                </c:pt>
                <c:pt idx="6">
                  <c:v>286.00310000000002</c:v>
                </c:pt>
                <c:pt idx="7">
                  <c:v>337.85399999999998</c:v>
                </c:pt>
                <c:pt idx="8">
                  <c:v>477.74590000000001</c:v>
                </c:pt>
                <c:pt idx="9">
                  <c:v>265.49149999999997</c:v>
                </c:pt>
                <c:pt idx="10">
                  <c:v>28.059199999999997</c:v>
                </c:pt>
                <c:pt idx="11">
                  <c:v>18.5703</c:v>
                </c:pt>
                <c:pt idx="12">
                  <c:v>68.781899999999993</c:v>
                </c:pt>
                <c:pt idx="13">
                  <c:v>190.99160000000001</c:v>
                </c:pt>
                <c:pt idx="14">
                  <c:v>256.05380000000002</c:v>
                </c:pt>
                <c:pt idx="15">
                  <c:v>36.098399999999998</c:v>
                </c:pt>
                <c:pt idx="16">
                  <c:v>35.713700000000003</c:v>
                </c:pt>
                <c:pt idx="17">
                  <c:v>81.955600000000004</c:v>
                </c:pt>
                <c:pt idx="18">
                  <c:v>77.091800000000006</c:v>
                </c:pt>
                <c:pt idx="19">
                  <c:v>74.993799999999993</c:v>
                </c:pt>
                <c:pt idx="20">
                  <c:v>17.939499999999995</c:v>
                </c:pt>
                <c:pt idx="21">
                  <c:v>8.1358999999999995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'9、OLAP测试结果(tpch)'!$B$38</c:f>
              <c:strCache>
                <c:ptCount val="1"/>
                <c:pt idx="0">
                  <c:v>Percona_5.6_1000dw_xfs</c:v>
                </c:pt>
              </c:strCache>
            </c:strRef>
          </c:tx>
          <c:marker>
            <c:symbol val="none"/>
          </c:marker>
          <c:val>
            <c:numRef>
              <c:f>'9、OLAP测试结果(tpch)'!$C$38:$X$38</c:f>
              <c:numCache>
                <c:formatCode>0.000_ </c:formatCode>
                <c:ptCount val="22"/>
                <c:pt idx="0">
                  <c:v>2480.9749999999999</c:v>
                </c:pt>
                <c:pt idx="1">
                  <c:v>407.52100000000002</c:v>
                </c:pt>
                <c:pt idx="2">
                  <c:v>3705.413</c:v>
                </c:pt>
                <c:pt idx="3">
                  <c:v>104.569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185.703</c:v>
                </c:pt>
                <c:pt idx="12">
                  <c:v>687.81899999999996</c:v>
                </c:pt>
                <c:pt idx="13">
                  <c:v>0</c:v>
                </c:pt>
                <c:pt idx="14">
                  <c:v>0</c:v>
                </c:pt>
                <c:pt idx="15">
                  <c:v>410.98399999999998</c:v>
                </c:pt>
                <c:pt idx="16">
                  <c:v>357.137</c:v>
                </c:pt>
                <c:pt idx="17">
                  <c:v>819.55600000000004</c:v>
                </c:pt>
                <c:pt idx="18">
                  <c:v>770.91800000000001</c:v>
                </c:pt>
                <c:pt idx="19">
                  <c:v>0</c:v>
                </c:pt>
                <c:pt idx="20">
                  <c:v>359.39499999999998</c:v>
                </c:pt>
                <c:pt idx="2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7320"/>
        <c:axId val="607634248"/>
      </c:lineChart>
      <c:catAx>
        <c:axId val="257177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07634248"/>
        <c:crosses val="autoZero"/>
        <c:auto val="1"/>
        <c:lblAlgn val="ctr"/>
        <c:lblOffset val="100"/>
        <c:noMultiLvlLbl val="0"/>
      </c:catAx>
      <c:valAx>
        <c:axId val="607634248"/>
        <c:scaling>
          <c:orientation val="minMax"/>
        </c:scaling>
        <c:delete val="0"/>
        <c:axPos val="l"/>
        <c:majorGridlines/>
        <c:numFmt formatCode="0.000_ " sourceLinked="1"/>
        <c:majorTickMark val="none"/>
        <c:minorTickMark val="none"/>
        <c:tickLblPos val="nextTo"/>
        <c:spPr>
          <a:ln w="9525">
            <a:noFill/>
          </a:ln>
        </c:spPr>
        <c:crossAx val="2571773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'10、测试报告'!$B$4</c:f>
              <c:strCache>
                <c:ptCount val="1"/>
                <c:pt idx="0">
                  <c:v>(SSD,XFS)</c:v>
                </c:pt>
              </c:strCache>
            </c:strRef>
          </c:tx>
          <c:marker>
            <c:symbol val="none"/>
          </c:marker>
          <c:cat>
            <c:strLit>
              <c:ptCount val="5"/>
              <c:pt idx="0">
                <c:v>16线程</c:v>
              </c:pt>
              <c:pt idx="1">
                <c:v>32线程</c:v>
              </c:pt>
              <c:pt idx="2">
                <c:v>64线程</c:v>
              </c:pt>
              <c:pt idx="3">
                <c:v>128线程</c:v>
              </c:pt>
              <c:pt idx="4">
                <c:v>256线程</c:v>
              </c:pt>
            </c:strLit>
          </c:cat>
          <c:val>
            <c:numRef>
              <c:f>'10、测试报告'!$B$5:$B$9</c:f>
              <c:numCache>
                <c:formatCode>0.000_ </c:formatCode>
                <c:ptCount val="5"/>
                <c:pt idx="0">
                  <c:v>14440.55</c:v>
                </c:pt>
                <c:pt idx="1">
                  <c:v>16074.35</c:v>
                </c:pt>
                <c:pt idx="2">
                  <c:v>15177.683999999999</c:v>
                </c:pt>
                <c:pt idx="3">
                  <c:v>15116.75</c:v>
                </c:pt>
                <c:pt idx="4">
                  <c:v>15138.183999999999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'10、测试报告'!$C$4</c:f>
              <c:strCache>
                <c:ptCount val="1"/>
                <c:pt idx="0">
                  <c:v>(SSD,EXT4)</c:v>
                </c:pt>
              </c:strCache>
            </c:strRef>
          </c:tx>
          <c:marker>
            <c:symbol val="none"/>
          </c:marker>
          <c:cat>
            <c:strLit>
              <c:ptCount val="5"/>
              <c:pt idx="0">
                <c:v>16线程</c:v>
              </c:pt>
              <c:pt idx="1">
                <c:v>32线程</c:v>
              </c:pt>
              <c:pt idx="2">
                <c:v>64线程</c:v>
              </c:pt>
              <c:pt idx="3">
                <c:v>128线程</c:v>
              </c:pt>
              <c:pt idx="4">
                <c:v>256线程</c:v>
              </c:pt>
            </c:strLit>
          </c:cat>
          <c:val>
            <c:numRef>
              <c:f>'10、测试报告'!$C$5:$C$9</c:f>
              <c:numCache>
                <c:formatCode>0.000_ </c:formatCode>
                <c:ptCount val="5"/>
                <c:pt idx="0">
                  <c:v>13618.95</c:v>
                </c:pt>
                <c:pt idx="1">
                  <c:v>15105.866</c:v>
                </c:pt>
                <c:pt idx="2">
                  <c:v>14169.4</c:v>
                </c:pt>
                <c:pt idx="3">
                  <c:v>12704.884</c:v>
                </c:pt>
                <c:pt idx="4">
                  <c:v>10831.384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'10、测试报告'!$D$4</c:f>
              <c:strCache>
                <c:ptCount val="1"/>
                <c:pt idx="0">
                  <c:v>(SAS, XFS)</c:v>
                </c:pt>
              </c:strCache>
            </c:strRef>
          </c:tx>
          <c:marker>
            <c:symbol val="none"/>
          </c:marker>
          <c:cat>
            <c:strLit>
              <c:ptCount val="5"/>
              <c:pt idx="0">
                <c:v>16线程</c:v>
              </c:pt>
              <c:pt idx="1">
                <c:v>32线程</c:v>
              </c:pt>
              <c:pt idx="2">
                <c:v>64线程</c:v>
              </c:pt>
              <c:pt idx="3">
                <c:v>128线程</c:v>
              </c:pt>
              <c:pt idx="4">
                <c:v>256线程</c:v>
              </c:pt>
            </c:strLit>
          </c:cat>
          <c:val>
            <c:numRef>
              <c:f>'10、测试报告'!$D$5:$D$9</c:f>
              <c:numCache>
                <c:formatCode>0.000_ </c:formatCode>
                <c:ptCount val="5"/>
                <c:pt idx="0">
                  <c:v>1267.2750000000001</c:v>
                </c:pt>
                <c:pt idx="1">
                  <c:v>1744.5920000000001</c:v>
                </c:pt>
                <c:pt idx="2">
                  <c:v>1887.925</c:v>
                </c:pt>
                <c:pt idx="3">
                  <c:v>1931.2329999999999</c:v>
                </c:pt>
                <c:pt idx="4">
                  <c:v>1916.684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'10、测试报告'!$E$4</c:f>
              <c:strCache>
                <c:ptCount val="1"/>
                <c:pt idx="0">
                  <c:v>(SAS,EXT4)</c:v>
                </c:pt>
              </c:strCache>
            </c:strRef>
          </c:tx>
          <c:marker>
            <c:symbol val="none"/>
          </c:marker>
          <c:cat>
            <c:strLit>
              <c:ptCount val="5"/>
              <c:pt idx="0">
                <c:v>16线程</c:v>
              </c:pt>
              <c:pt idx="1">
                <c:v>32线程</c:v>
              </c:pt>
              <c:pt idx="2">
                <c:v>64线程</c:v>
              </c:pt>
              <c:pt idx="3">
                <c:v>128线程</c:v>
              </c:pt>
              <c:pt idx="4">
                <c:v>256线程</c:v>
              </c:pt>
            </c:strLit>
          </c:cat>
          <c:val>
            <c:numRef>
              <c:f>'10、测试报告'!$E$5:$E$9</c:f>
              <c:numCache>
                <c:formatCode>0.000_ </c:formatCode>
                <c:ptCount val="5"/>
                <c:pt idx="0">
                  <c:v>1583.1579999999999</c:v>
                </c:pt>
                <c:pt idx="1">
                  <c:v>2088.942</c:v>
                </c:pt>
                <c:pt idx="2">
                  <c:v>2180.5</c:v>
                </c:pt>
                <c:pt idx="3">
                  <c:v>2204.3330000000001</c:v>
                </c:pt>
                <c:pt idx="4">
                  <c:v>2193.9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299240"/>
        <c:axId val="221299632"/>
      </c:lineChart>
      <c:catAx>
        <c:axId val="221299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1299632"/>
        <c:crosses val="autoZero"/>
        <c:auto val="1"/>
        <c:lblAlgn val="ctr"/>
        <c:lblOffset val="100"/>
        <c:noMultiLvlLbl val="0"/>
      </c:catAx>
      <c:valAx>
        <c:axId val="221299632"/>
        <c:scaling>
          <c:orientation val="minMax"/>
        </c:scaling>
        <c:delete val="0"/>
        <c:axPos val="l"/>
        <c:majorGridlines/>
        <c:numFmt formatCode="0.000_ " sourceLinked="1"/>
        <c:majorTickMark val="out"/>
        <c:minorTickMark val="none"/>
        <c:tickLblPos val="nextTo"/>
        <c:crossAx val="221299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14</xdr:row>
          <xdr:rowOff>47625</xdr:rowOff>
        </xdr:from>
        <xdr:to>
          <xdr:col>1</xdr:col>
          <xdr:colOff>1133475</xdr:colOff>
          <xdr:row>17</xdr:row>
          <xdr:rowOff>123825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20</xdr:row>
          <xdr:rowOff>38100</xdr:rowOff>
        </xdr:from>
        <xdr:to>
          <xdr:col>1</xdr:col>
          <xdr:colOff>962025</xdr:colOff>
          <xdr:row>23</xdr:row>
          <xdr:rowOff>114300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26</xdr:row>
          <xdr:rowOff>28575</xdr:rowOff>
        </xdr:from>
        <xdr:to>
          <xdr:col>1</xdr:col>
          <xdr:colOff>1285875</xdr:colOff>
          <xdr:row>29</xdr:row>
          <xdr:rowOff>104775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32</xdr:row>
          <xdr:rowOff>9525</xdr:rowOff>
        </xdr:from>
        <xdr:to>
          <xdr:col>1</xdr:col>
          <xdr:colOff>771525</xdr:colOff>
          <xdr:row>35</xdr:row>
          <xdr:rowOff>85725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30</xdr:row>
      <xdr:rowOff>100012</xdr:rowOff>
    </xdr:from>
    <xdr:to>
      <xdr:col>8</xdr:col>
      <xdr:colOff>323100</xdr:colOff>
      <xdr:row>51</xdr:row>
      <xdr:rowOff>51937</xdr:rowOff>
    </xdr:to>
    <xdr:graphicFrame macro="">
      <xdr:nvGraphicFramePr>
        <xdr:cNvPr id="5" name="图表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30</xdr:row>
      <xdr:rowOff>104774</xdr:rowOff>
    </xdr:from>
    <xdr:to>
      <xdr:col>18</xdr:col>
      <xdr:colOff>189750</xdr:colOff>
      <xdr:row>51</xdr:row>
      <xdr:rowOff>56699</xdr:rowOff>
    </xdr:to>
    <xdr:graphicFrame macro="">
      <xdr:nvGraphicFramePr>
        <xdr:cNvPr id="6" name="图表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33</xdr:row>
      <xdr:rowOff>66675</xdr:rowOff>
    </xdr:from>
    <xdr:to>
      <xdr:col>7</xdr:col>
      <xdr:colOff>818400</xdr:colOff>
      <xdr:row>53</xdr:row>
      <xdr:rowOff>94800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33</xdr:row>
      <xdr:rowOff>95249</xdr:rowOff>
    </xdr:from>
    <xdr:to>
      <xdr:col>18</xdr:col>
      <xdr:colOff>208800</xdr:colOff>
      <xdr:row>53</xdr:row>
      <xdr:rowOff>123374</xdr:rowOff>
    </xdr:to>
    <xdr:graphicFrame macro="">
      <xdr:nvGraphicFramePr>
        <xdr:cNvPr id="3" name="图表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34</xdr:row>
      <xdr:rowOff>76199</xdr:rowOff>
    </xdr:from>
    <xdr:to>
      <xdr:col>7</xdr:col>
      <xdr:colOff>856500</xdr:colOff>
      <xdr:row>54</xdr:row>
      <xdr:rowOff>151949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34</xdr:row>
      <xdr:rowOff>85724</xdr:rowOff>
    </xdr:from>
    <xdr:to>
      <xdr:col>18</xdr:col>
      <xdr:colOff>556450</xdr:colOff>
      <xdr:row>54</xdr:row>
      <xdr:rowOff>161474</xdr:rowOff>
    </xdr:to>
    <xdr:graphicFrame macro="">
      <xdr:nvGraphicFramePr>
        <xdr:cNvPr id="3" name="图表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76200</xdr:colOff>
      <xdr:row>1</xdr:row>
      <xdr:rowOff>66675</xdr:rowOff>
    </xdr:from>
    <xdr:to>
      <xdr:col>36</xdr:col>
      <xdr:colOff>508596</xdr:colOff>
      <xdr:row>14</xdr:row>
      <xdr:rowOff>171450</xdr:rowOff>
    </xdr:to>
    <xdr:graphicFrame macro="">
      <xdr:nvGraphicFramePr>
        <xdr:cNvPr id="6" name="图表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76200</xdr:colOff>
      <xdr:row>1</xdr:row>
      <xdr:rowOff>66675</xdr:rowOff>
    </xdr:from>
    <xdr:to>
      <xdr:col>44</xdr:col>
      <xdr:colOff>508596</xdr:colOff>
      <xdr:row>14</xdr:row>
      <xdr:rowOff>171450</xdr:rowOff>
    </xdr:to>
    <xdr:graphicFrame macro="">
      <xdr:nvGraphicFramePr>
        <xdr:cNvPr id="7" name="图表 6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76200</xdr:colOff>
      <xdr:row>21</xdr:row>
      <xdr:rowOff>66675</xdr:rowOff>
    </xdr:from>
    <xdr:to>
      <xdr:col>36</xdr:col>
      <xdr:colOff>508596</xdr:colOff>
      <xdr:row>29</xdr:row>
      <xdr:rowOff>171450</xdr:rowOff>
    </xdr:to>
    <xdr:graphicFrame macro="">
      <xdr:nvGraphicFramePr>
        <xdr:cNvPr id="8" name="图表 7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76200</xdr:colOff>
      <xdr:row>21</xdr:row>
      <xdr:rowOff>66675</xdr:rowOff>
    </xdr:from>
    <xdr:to>
      <xdr:col>44</xdr:col>
      <xdr:colOff>508596</xdr:colOff>
      <xdr:row>29</xdr:row>
      <xdr:rowOff>171450</xdr:rowOff>
    </xdr:to>
    <xdr:graphicFrame macro="">
      <xdr:nvGraphicFramePr>
        <xdr:cNvPr id="9" name="图表 8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47624</xdr:colOff>
      <xdr:row>46</xdr:row>
      <xdr:rowOff>0</xdr:rowOff>
    </xdr:from>
    <xdr:to>
      <xdr:col>7</xdr:col>
      <xdr:colOff>567699</xdr:colOff>
      <xdr:row>66</xdr:row>
      <xdr:rowOff>171000</xdr:rowOff>
    </xdr:to>
    <xdr:graphicFrame macro="">
      <xdr:nvGraphicFramePr>
        <xdr:cNvPr id="10" name="图表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723899</xdr:colOff>
      <xdr:row>45</xdr:row>
      <xdr:rowOff>171449</xdr:rowOff>
    </xdr:from>
    <xdr:to>
      <xdr:col>16</xdr:col>
      <xdr:colOff>296849</xdr:colOff>
      <xdr:row>66</xdr:row>
      <xdr:rowOff>170999</xdr:rowOff>
    </xdr:to>
    <xdr:graphicFrame macro="">
      <xdr:nvGraphicFramePr>
        <xdr:cNvPr id="11" name="图表 10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76202</xdr:colOff>
      <xdr:row>42</xdr:row>
      <xdr:rowOff>4758</xdr:rowOff>
    </xdr:from>
    <xdr:to>
      <xdr:col>9</xdr:col>
      <xdr:colOff>216206</xdr:colOff>
      <xdr:row>68</xdr:row>
      <xdr:rowOff>47058</xdr:rowOff>
    </xdr:to>
    <xdr:graphicFrame macro="">
      <xdr:nvGraphicFramePr>
        <xdr:cNvPr id="24" name="图表 2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36</xdr:row>
      <xdr:rowOff>0</xdr:rowOff>
    </xdr:from>
    <xdr:to>
      <xdr:col>7</xdr:col>
      <xdr:colOff>544437</xdr:colOff>
      <xdr:row>56</xdr:row>
      <xdr:rowOff>171000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31</xdr:row>
      <xdr:rowOff>209549</xdr:rowOff>
    </xdr:from>
    <xdr:to>
      <xdr:col>9</xdr:col>
      <xdr:colOff>197151</xdr:colOff>
      <xdr:row>58</xdr:row>
      <xdr:rowOff>42299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171449</xdr:rowOff>
    </xdr:from>
    <xdr:to>
      <xdr:col>8</xdr:col>
      <xdr:colOff>492426</xdr:colOff>
      <xdr:row>61</xdr:row>
      <xdr:rowOff>42299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39</xdr:row>
      <xdr:rowOff>28575</xdr:rowOff>
    </xdr:from>
    <xdr:to>
      <xdr:col>9</xdr:col>
      <xdr:colOff>28116</xdr:colOff>
      <xdr:row>64</xdr:row>
      <xdr:rowOff>66675</xdr:rowOff>
    </xdr:to>
    <xdr:graphicFrame macro="">
      <xdr:nvGraphicFramePr>
        <xdr:cNvPr id="2" name="图表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252411</xdr:colOff>
      <xdr:row>10</xdr:row>
      <xdr:rowOff>138112</xdr:rowOff>
    </xdr:from>
    <xdr:to>
      <xdr:col>6</xdr:col>
      <xdr:colOff>409574</xdr:colOff>
      <xdr:row>30</xdr:row>
      <xdr:rowOff>0</xdr:rowOff>
    </xdr:to>
    <xdr:graphicFrame macro="">
      <xdr:nvGraphicFramePr>
        <xdr:cNvPr id="3" name="图表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228601</xdr:colOff>
      <xdr:row>11</xdr:row>
      <xdr:rowOff>66675</xdr:rowOff>
    </xdr:from>
    <xdr:to>
      <xdr:col>6</xdr:col>
      <xdr:colOff>400051</xdr:colOff>
      <xdr:row>13</xdr:row>
      <xdr:rowOff>9524</xdr:rowOff>
    </xdr:to>
    <xdr:sp macro="" textlink="">
      <xdr:nvSpPr>
        <xdr:cNvPr id="5" name="TextBox 1"/>
        <xdr:cNvSpPr txBox="1"/>
      </xdr:nvSpPr>
      <xdr:spPr>
        <a:xfrm>
          <a:off x="228601" y="2581275"/>
          <a:ext cx="5943600" cy="285749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 b="1"/>
            <a:t>对比测试</a:t>
          </a:r>
          <a:r>
            <a:rPr lang="en-US" altLang="zh-CN" sz="1200" b="1"/>
            <a:t>SAS</a:t>
          </a:r>
          <a:r>
            <a:rPr lang="zh-CN" altLang="en-US" sz="1200" b="1"/>
            <a:t>和</a:t>
          </a:r>
          <a:r>
            <a:rPr lang="en-US" altLang="zh-CN" sz="1200" b="1"/>
            <a:t>SSD</a:t>
          </a:r>
          <a:r>
            <a:rPr lang="zh-CN" altLang="en-US" sz="1200" b="1"/>
            <a:t>设备下</a:t>
          </a:r>
          <a:r>
            <a:rPr lang="en-US" altLang="zh-CN" sz="1200" b="1"/>
            <a:t>MySQL</a:t>
          </a:r>
          <a:r>
            <a:rPr lang="zh-CN" altLang="en-US" sz="1200" b="1"/>
            <a:t>性能</a:t>
          </a:r>
          <a:r>
            <a:rPr lang="en-US" altLang="zh-CN" sz="1200" b="1"/>
            <a:t>(2012-06-26)</a:t>
          </a:r>
          <a:endParaRPr lang="zh-CN" altLang="en-US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tabSelected="1" workbookViewId="0"/>
  </sheetViews>
  <sheetFormatPr defaultRowHeight="13.5" x14ac:dyDescent="0.15"/>
  <cols>
    <col min="1" max="1" width="27.625" bestFit="1" customWidth="1"/>
  </cols>
  <sheetData>
    <row r="1" spans="1:1" ht="17.25" x14ac:dyDescent="0.15">
      <c r="A1" s="4"/>
    </row>
    <row r="2" spans="1:1" ht="17.25" x14ac:dyDescent="0.15">
      <c r="A2" s="29" t="s">
        <v>379</v>
      </c>
    </row>
    <row r="3" spans="1:1" ht="17.25" x14ac:dyDescent="0.15">
      <c r="A3" s="29" t="s">
        <v>380</v>
      </c>
    </row>
    <row r="4" spans="1:1" ht="17.25" x14ac:dyDescent="0.15">
      <c r="A4" s="29" t="s">
        <v>381</v>
      </c>
    </row>
    <row r="5" spans="1:1" ht="17.25" x14ac:dyDescent="0.15">
      <c r="A5" s="29" t="s">
        <v>382</v>
      </c>
    </row>
    <row r="6" spans="1:1" ht="17.25" x14ac:dyDescent="0.15">
      <c r="A6" s="29" t="s">
        <v>383</v>
      </c>
    </row>
    <row r="7" spans="1:1" ht="17.25" x14ac:dyDescent="0.15">
      <c r="A7" s="29" t="s">
        <v>384</v>
      </c>
    </row>
    <row r="8" spans="1:1" ht="17.25" x14ac:dyDescent="0.15">
      <c r="A8" s="29" t="s">
        <v>385</v>
      </c>
    </row>
    <row r="9" spans="1:1" ht="17.25" x14ac:dyDescent="0.15">
      <c r="A9" s="29" t="s">
        <v>386</v>
      </c>
    </row>
    <row r="10" spans="1:1" ht="17.25" x14ac:dyDescent="0.15">
      <c r="A10" s="29" t="s">
        <v>387</v>
      </c>
    </row>
    <row r="11" spans="1:1" ht="17.25" x14ac:dyDescent="0.15">
      <c r="A11" s="29" t="s">
        <v>388</v>
      </c>
    </row>
    <row r="12" spans="1:1" ht="17.25" x14ac:dyDescent="0.15">
      <c r="A12" s="29" t="s">
        <v>389</v>
      </c>
    </row>
    <row r="13" spans="1:1" ht="17.25" x14ac:dyDescent="0.15">
      <c r="A13" s="29" t="s">
        <v>390</v>
      </c>
    </row>
    <row r="14" spans="1:1" ht="17.25" x14ac:dyDescent="0.15">
      <c r="A14" s="29" t="s">
        <v>391</v>
      </c>
    </row>
    <row r="15" spans="1:1" ht="17.25" x14ac:dyDescent="0.15">
      <c r="A15" s="29" t="s">
        <v>392</v>
      </c>
    </row>
    <row r="16" spans="1:1" ht="17.25" x14ac:dyDescent="0.15">
      <c r="A16" s="29" t="s">
        <v>393</v>
      </c>
    </row>
    <row r="17" spans="1:1" ht="17.25" x14ac:dyDescent="0.15">
      <c r="A17" s="29" t="s">
        <v>394</v>
      </c>
    </row>
    <row r="18" spans="1:1" ht="17.25" x14ac:dyDescent="0.15">
      <c r="A18" s="29" t="s">
        <v>395</v>
      </c>
    </row>
    <row r="19" spans="1:1" ht="17.25" x14ac:dyDescent="0.15">
      <c r="A19" s="29" t="s">
        <v>378</v>
      </c>
    </row>
    <row r="21" spans="1:1" x14ac:dyDescent="0.15">
      <c r="A21" t="s">
        <v>59</v>
      </c>
    </row>
    <row r="24" spans="1:1" x14ac:dyDescent="0.15">
      <c r="A24" s="28"/>
    </row>
  </sheetData>
  <phoneticPr fontId="2" type="noConversion"/>
  <hyperlinks>
    <hyperlink ref="A4" location="_1、测试环境" display=" 1.1、 测试环境"/>
    <hyperlink ref="A17:A19" location="'4、附录'!A1" display=" 附录1：硬件信息"/>
    <hyperlink ref="A19" location="附录3_MySQL配置信息" display=" 附录3：MySQL配置信息"/>
    <hyperlink ref="A18" location="附录2_Intel_520_SSD配置" display=" 附录2：Intel 520 SSD配置"/>
    <hyperlink ref="A17" location="附录1_硬件信息" display=" 附录1：硬件信息"/>
    <hyperlink ref="A2" location="_0、索引" display="0、索引"/>
    <hyperlink ref="A3" location="'1、测试环境'!A1" display="1、测试环境"/>
    <hyperlink ref="A12" location="'8、OLTP测试结果(tpcc-mysql)'!A1" display="8、TPCC测试结果(tpcc-mysql)"/>
    <hyperlink ref="A15" location="'10、测试报告'!A1" display="11、测试报告"/>
    <hyperlink ref="A16" location="'11、附录'!A1" display="12、附录"/>
    <hyperlink ref="A13" location="'8、OLTP测试结果(sysbench)'!A1" display="9、OLTP测试结果(sysbench)"/>
    <hyperlink ref="A6" location="'2、CPU测试结果'!A1" display="2、CPU测试结果"/>
    <hyperlink ref="A5" location="'1、测试环境'!A1" display=" 1.2、 测试工具、脚本"/>
    <hyperlink ref="A7" location="'3、THREAD测试结果'!A1" display="3、THREADS测试结果"/>
    <hyperlink ref="A8" location="'4、MUTEX测试结果'!A1" display="4、MUTEX测试结果"/>
    <hyperlink ref="A9" location="'5、内存测试结果'!A1" display="5、内存测试结果"/>
    <hyperlink ref="A10" location="'6、IO测试结果(iozone)'!A1" display="6、IO测试结果(iozone)"/>
    <hyperlink ref="A11" location="'7、IO测试结果(sysbench)'!A1" display="7、IO测试结果(sysbench)"/>
    <hyperlink ref="A14" location="'9、OLAP测试结果(tpch)'!A1" display="10、OLAP测试结果(tpch)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80"/>
  <sheetViews>
    <sheetView workbookViewId="0">
      <selection activeCell="A8" sqref="A8"/>
    </sheetView>
  </sheetViews>
  <sheetFormatPr defaultRowHeight="13.5" x14ac:dyDescent="0.15"/>
  <cols>
    <col min="2" max="2" width="43.25" customWidth="1"/>
  </cols>
  <sheetData>
    <row r="1" spans="1:2" ht="18" thickBot="1" x14ac:dyDescent="0.2">
      <c r="A1" s="4" t="s">
        <v>62</v>
      </c>
    </row>
    <row r="2" spans="1:2" ht="14.25" thickBot="1" x14ac:dyDescent="0.2">
      <c r="A2" s="5" t="s">
        <v>42</v>
      </c>
      <c r="B2" s="6" t="s">
        <v>453</v>
      </c>
    </row>
    <row r="3" spans="1:2" ht="14.25" thickBot="1" x14ac:dyDescent="0.2">
      <c r="A3" s="5" t="s">
        <v>43</v>
      </c>
      <c r="B3" s="6" t="s">
        <v>53</v>
      </c>
    </row>
    <row r="4" spans="1:2" ht="14.25" thickBot="1" x14ac:dyDescent="0.2">
      <c r="A4" s="5" t="s">
        <v>44</v>
      </c>
      <c r="B4" s="6" t="s">
        <v>45</v>
      </c>
    </row>
    <row r="5" spans="1:2" ht="14.25" thickBot="1" x14ac:dyDescent="0.2">
      <c r="A5" s="5" t="s">
        <v>46</v>
      </c>
      <c r="B5" s="6" t="s">
        <v>54</v>
      </c>
    </row>
    <row r="6" spans="1:2" ht="14.25" thickBot="1" x14ac:dyDescent="0.2">
      <c r="A6" s="5" t="s">
        <v>47</v>
      </c>
      <c r="B6" s="6" t="s">
        <v>48</v>
      </c>
    </row>
    <row r="7" spans="1:2" ht="14.25" thickBot="1" x14ac:dyDescent="0.2">
      <c r="A7" s="5" t="s">
        <v>49</v>
      </c>
      <c r="B7" s="6" t="s">
        <v>55</v>
      </c>
    </row>
    <row r="8" spans="1:2" ht="14.25" thickBot="1" x14ac:dyDescent="0.2">
      <c r="A8" s="5" t="s">
        <v>50</v>
      </c>
      <c r="B8" s="6" t="s">
        <v>56</v>
      </c>
    </row>
    <row r="9" spans="1:2" ht="14.25" thickBot="1" x14ac:dyDescent="0.2">
      <c r="A9" s="5" t="s">
        <v>51</v>
      </c>
      <c r="B9" s="6" t="s">
        <v>57</v>
      </c>
    </row>
    <row r="10" spans="1:2" ht="23.25" thickBot="1" x14ac:dyDescent="0.2">
      <c r="A10" s="5" t="s">
        <v>52</v>
      </c>
      <c r="B10" s="6" t="s">
        <v>58</v>
      </c>
    </row>
    <row r="13" spans="1:2" ht="17.25" x14ac:dyDescent="0.15">
      <c r="A13" s="4" t="s">
        <v>351</v>
      </c>
    </row>
    <row r="14" spans="1:2" x14ac:dyDescent="0.15">
      <c r="A14" s="20" t="s">
        <v>266</v>
      </c>
    </row>
    <row r="15" spans="1:2" x14ac:dyDescent="0.15">
      <c r="A15" s="20"/>
    </row>
    <row r="16" spans="1:2" x14ac:dyDescent="0.15">
      <c r="A16" s="20"/>
    </row>
    <row r="17" spans="1:1" x14ac:dyDescent="0.15">
      <c r="A17" s="20"/>
    </row>
    <row r="18" spans="1:1" x14ac:dyDescent="0.15">
      <c r="A18" s="20"/>
    </row>
    <row r="19" spans="1:1" x14ac:dyDescent="0.15">
      <c r="A19" s="20"/>
    </row>
    <row r="20" spans="1:1" x14ac:dyDescent="0.15">
      <c r="A20" s="20" t="s">
        <v>267</v>
      </c>
    </row>
    <row r="21" spans="1:1" x14ac:dyDescent="0.15">
      <c r="A21" s="20"/>
    </row>
    <row r="22" spans="1:1" x14ac:dyDescent="0.15">
      <c r="A22" s="20"/>
    </row>
    <row r="23" spans="1:1" x14ac:dyDescent="0.15">
      <c r="A23" s="20"/>
    </row>
    <row r="24" spans="1:1" x14ac:dyDescent="0.15">
      <c r="A24" s="20"/>
    </row>
    <row r="25" spans="1:1" x14ac:dyDescent="0.15">
      <c r="A25" s="20"/>
    </row>
    <row r="26" spans="1:1" x14ac:dyDescent="0.15">
      <c r="A26" s="20" t="s">
        <v>268</v>
      </c>
    </row>
    <row r="27" spans="1:1" x14ac:dyDescent="0.15">
      <c r="A27" s="20"/>
    </row>
    <row r="28" spans="1:1" x14ac:dyDescent="0.15">
      <c r="A28" s="20"/>
    </row>
    <row r="29" spans="1:1" x14ac:dyDescent="0.15">
      <c r="A29" s="20"/>
    </row>
    <row r="30" spans="1:1" x14ac:dyDescent="0.15">
      <c r="A30" s="20"/>
    </row>
    <row r="31" spans="1:1" x14ac:dyDescent="0.15">
      <c r="A31" s="20"/>
    </row>
    <row r="32" spans="1:1" x14ac:dyDescent="0.15">
      <c r="A32" s="20" t="s">
        <v>269</v>
      </c>
    </row>
    <row r="33" spans="1:1" x14ac:dyDescent="0.15">
      <c r="A33" s="7"/>
    </row>
    <row r="34" spans="1:1" x14ac:dyDescent="0.15">
      <c r="A34" s="7"/>
    </row>
    <row r="35" spans="1:1" x14ac:dyDescent="0.15">
      <c r="A35" s="7"/>
    </row>
    <row r="36" spans="1:1" x14ac:dyDescent="0.15">
      <c r="A36" s="7"/>
    </row>
    <row r="37" spans="1:1" x14ac:dyDescent="0.15">
      <c r="A37" s="7"/>
    </row>
    <row r="38" spans="1:1" x14ac:dyDescent="0.15">
      <c r="A38" s="7"/>
    </row>
    <row r="39" spans="1:1" x14ac:dyDescent="0.15">
      <c r="A39" s="7"/>
    </row>
    <row r="40" spans="1:1" x14ac:dyDescent="0.15">
      <c r="A40" s="7"/>
    </row>
    <row r="41" spans="1:1" x14ac:dyDescent="0.15">
      <c r="A41" s="7"/>
    </row>
    <row r="42" spans="1:1" x14ac:dyDescent="0.15">
      <c r="A42" s="7"/>
    </row>
    <row r="43" spans="1:1" x14ac:dyDescent="0.15">
      <c r="A43" s="7"/>
    </row>
    <row r="44" spans="1:1" x14ac:dyDescent="0.15">
      <c r="A44" s="7"/>
    </row>
    <row r="45" spans="1:1" x14ac:dyDescent="0.15">
      <c r="A45" s="7"/>
    </row>
    <row r="46" spans="1:1" x14ac:dyDescent="0.15">
      <c r="A46" s="7"/>
    </row>
    <row r="47" spans="1:1" x14ac:dyDescent="0.15">
      <c r="A47" s="7"/>
    </row>
    <row r="48" spans="1:1" x14ac:dyDescent="0.15">
      <c r="A48" s="7"/>
    </row>
    <row r="49" spans="1:1" x14ac:dyDescent="0.15">
      <c r="A49" s="7"/>
    </row>
    <row r="50" spans="1:1" x14ac:dyDescent="0.15">
      <c r="A50" s="7"/>
    </row>
    <row r="51" spans="1:1" x14ac:dyDescent="0.15">
      <c r="A51" s="7"/>
    </row>
    <row r="52" spans="1:1" x14ac:dyDescent="0.15">
      <c r="A52" s="7"/>
    </row>
    <row r="53" spans="1:1" x14ac:dyDescent="0.15">
      <c r="A53" s="7"/>
    </row>
    <row r="54" spans="1:1" x14ac:dyDescent="0.15">
      <c r="A54" s="7"/>
    </row>
    <row r="55" spans="1:1" x14ac:dyDescent="0.15">
      <c r="A55" s="7"/>
    </row>
    <row r="56" spans="1:1" x14ac:dyDescent="0.15">
      <c r="A56" s="7"/>
    </row>
    <row r="57" spans="1:1" x14ac:dyDescent="0.15">
      <c r="A57" s="7"/>
    </row>
    <row r="58" spans="1:1" x14ac:dyDescent="0.15">
      <c r="A58" s="7"/>
    </row>
    <row r="59" spans="1:1" x14ac:dyDescent="0.15">
      <c r="A59" s="7"/>
    </row>
    <row r="60" spans="1:1" x14ac:dyDescent="0.15">
      <c r="A60" s="7"/>
    </row>
    <row r="61" spans="1:1" x14ac:dyDescent="0.15">
      <c r="A61" s="7"/>
    </row>
    <row r="62" spans="1:1" x14ac:dyDescent="0.15">
      <c r="A62" s="7"/>
    </row>
    <row r="63" spans="1:1" x14ac:dyDescent="0.15">
      <c r="A63" s="7"/>
    </row>
    <row r="64" spans="1:1" x14ac:dyDescent="0.15">
      <c r="A64" s="7"/>
    </row>
    <row r="65" spans="1:1" x14ac:dyDescent="0.15">
      <c r="A65" s="7"/>
    </row>
    <row r="66" spans="1:1" x14ac:dyDescent="0.15">
      <c r="A66" s="7"/>
    </row>
    <row r="67" spans="1:1" x14ac:dyDescent="0.15">
      <c r="A67" s="7"/>
    </row>
    <row r="68" spans="1:1" x14ac:dyDescent="0.15">
      <c r="A68" s="7"/>
    </row>
    <row r="69" spans="1:1" x14ac:dyDescent="0.15">
      <c r="A69" s="7"/>
    </row>
    <row r="70" spans="1:1" x14ac:dyDescent="0.15">
      <c r="A70" s="7"/>
    </row>
    <row r="71" spans="1:1" x14ac:dyDescent="0.15">
      <c r="A71" s="7"/>
    </row>
    <row r="72" spans="1:1" x14ac:dyDescent="0.15">
      <c r="A72" s="7"/>
    </row>
    <row r="73" spans="1:1" x14ac:dyDescent="0.15">
      <c r="A73" s="7"/>
    </row>
    <row r="74" spans="1:1" x14ac:dyDescent="0.15">
      <c r="A74" s="7"/>
    </row>
    <row r="75" spans="1:1" x14ac:dyDescent="0.15">
      <c r="A75" s="7"/>
    </row>
    <row r="76" spans="1:1" x14ac:dyDescent="0.15">
      <c r="A76" s="7"/>
    </row>
    <row r="77" spans="1:1" x14ac:dyDescent="0.15">
      <c r="A77" s="7"/>
    </row>
    <row r="78" spans="1:1" x14ac:dyDescent="0.15">
      <c r="A78" s="7"/>
    </row>
    <row r="79" spans="1:1" x14ac:dyDescent="0.15">
      <c r="A79" s="7"/>
    </row>
    <row r="80" spans="1:1" x14ac:dyDescent="0.15">
      <c r="A80" s="7"/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4097" r:id="rId4">
          <objectPr defaultSize="0" autoPict="0" altText="" r:id="rId5">
            <anchor moveWithCells="1">
              <from>
                <xdr:col>0</xdr:col>
                <xdr:colOff>47625</xdr:colOff>
                <xdr:row>14</xdr:row>
                <xdr:rowOff>47625</xdr:rowOff>
              </from>
              <to>
                <xdr:col>1</xdr:col>
                <xdr:colOff>1133475</xdr:colOff>
                <xdr:row>17</xdr:row>
                <xdr:rowOff>123825</xdr:rowOff>
              </to>
            </anchor>
          </objectPr>
        </oleObject>
      </mc:Choice>
      <mc:Fallback>
        <oleObject progId="包装程序外壳对象" dvAspect="DVASPECT_ICON" shapeId="4097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4098" r:id="rId6">
          <objectPr defaultSize="0" autoPict="0" r:id="rId7">
            <anchor moveWithCells="1">
              <from>
                <xdr:col>0</xdr:col>
                <xdr:colOff>57150</xdr:colOff>
                <xdr:row>20</xdr:row>
                <xdr:rowOff>38100</xdr:rowOff>
              </from>
              <to>
                <xdr:col>1</xdr:col>
                <xdr:colOff>962025</xdr:colOff>
                <xdr:row>23</xdr:row>
                <xdr:rowOff>114300</xdr:rowOff>
              </to>
            </anchor>
          </objectPr>
        </oleObject>
      </mc:Choice>
      <mc:Fallback>
        <oleObject progId="包装程序外壳对象" dvAspect="DVASPECT_ICON" shapeId="4098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4099" r:id="rId8">
          <objectPr defaultSize="0" autoPict="0" r:id="rId9">
            <anchor moveWithCells="1">
              <from>
                <xdr:col>0</xdr:col>
                <xdr:colOff>57150</xdr:colOff>
                <xdr:row>26</xdr:row>
                <xdr:rowOff>28575</xdr:rowOff>
              </from>
              <to>
                <xdr:col>1</xdr:col>
                <xdr:colOff>1285875</xdr:colOff>
                <xdr:row>29</xdr:row>
                <xdr:rowOff>104775</xdr:rowOff>
              </to>
            </anchor>
          </objectPr>
        </oleObject>
      </mc:Choice>
      <mc:Fallback>
        <oleObject progId="包装程序外壳对象" dvAspect="DVASPECT_ICON" shapeId="4099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4100" r:id="rId10">
          <objectPr defaultSize="0" autoPict="0" r:id="rId11">
            <anchor moveWithCells="1">
              <from>
                <xdr:col>0</xdr:col>
                <xdr:colOff>57150</xdr:colOff>
                <xdr:row>32</xdr:row>
                <xdr:rowOff>9525</xdr:rowOff>
              </from>
              <to>
                <xdr:col>1</xdr:col>
                <xdr:colOff>771525</xdr:colOff>
                <xdr:row>35</xdr:row>
                <xdr:rowOff>85725</xdr:rowOff>
              </to>
            </anchor>
          </objectPr>
        </oleObject>
      </mc:Choice>
      <mc:Fallback>
        <oleObject progId="包装程序外壳对象" dvAspect="DVASPECT_ICON" shapeId="4100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2"/>
  <sheetViews>
    <sheetView zoomScaleNormal="100" workbookViewId="0"/>
  </sheetViews>
  <sheetFormatPr defaultRowHeight="13.5" x14ac:dyDescent="0.15"/>
  <cols>
    <col min="1" max="1" width="0.625" customWidth="1"/>
    <col min="2" max="2" width="6.75" bestFit="1" customWidth="1"/>
    <col min="3" max="3" width="13.25" bestFit="1" customWidth="1"/>
    <col min="4" max="4" width="12.5" bestFit="1" customWidth="1"/>
    <col min="5" max="5" width="14.5" bestFit="1" customWidth="1"/>
    <col min="6" max="6" width="8.5" bestFit="1" customWidth="1"/>
    <col min="7" max="8" width="9.625" bestFit="1" customWidth="1"/>
    <col min="11" max="11" width="13.12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353</v>
      </c>
      <c r="C2" s="4"/>
      <c r="D2" s="4"/>
      <c r="E2" s="4"/>
      <c r="F2" s="4"/>
      <c r="G2" s="4"/>
      <c r="H2" s="4"/>
      <c r="I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354</v>
      </c>
      <c r="C3" s="4"/>
      <c r="D3" s="4"/>
      <c r="E3" s="4"/>
      <c r="F3" s="4"/>
      <c r="G3" s="4"/>
      <c r="H3" s="4"/>
      <c r="I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355</v>
      </c>
      <c r="C4" s="4"/>
      <c r="D4" s="4"/>
      <c r="E4" s="4"/>
      <c r="F4" s="4"/>
      <c r="G4" s="4"/>
      <c r="H4" s="4"/>
      <c r="I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2:16384" ht="17.25" x14ac:dyDescent="0.15">
      <c r="B5" s="4" t="s">
        <v>445</v>
      </c>
      <c r="C5" s="4"/>
      <c r="D5" s="4"/>
      <c r="E5" s="4"/>
      <c r="F5" s="4"/>
      <c r="G5" s="4"/>
      <c r="H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2:16384" ht="17.25" x14ac:dyDescent="0.15">
      <c r="B6" s="4"/>
      <c r="C6" s="4"/>
      <c r="D6" s="4"/>
      <c r="E6" s="4"/>
      <c r="F6" s="4"/>
      <c r="G6" s="4"/>
      <c r="H6" s="4"/>
    </row>
    <row r="7" spans="2:16384" ht="17.25" x14ac:dyDescent="0.15">
      <c r="B7" s="4" t="s">
        <v>356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2:16384" ht="17.25" customHeight="1" x14ac:dyDescent="0.15">
      <c r="B8" s="30" t="s">
        <v>183</v>
      </c>
      <c r="C8" s="30" t="s">
        <v>184</v>
      </c>
      <c r="D8" s="30" t="s">
        <v>185</v>
      </c>
      <c r="E8" s="30" t="s">
        <v>186</v>
      </c>
      <c r="F8" s="30" t="s">
        <v>201</v>
      </c>
      <c r="G8" s="30"/>
      <c r="H8" s="30"/>
    </row>
    <row r="9" spans="2:16384" x14ac:dyDescent="0.15">
      <c r="B9" s="30"/>
      <c r="C9" s="30"/>
      <c r="D9" s="30"/>
      <c r="E9" s="30"/>
      <c r="F9" s="17" t="s">
        <v>202</v>
      </c>
      <c r="G9" s="17" t="s">
        <v>203</v>
      </c>
      <c r="H9" s="17" t="s">
        <v>204</v>
      </c>
    </row>
    <row r="10" spans="2:16384" ht="16.5" x14ac:dyDescent="0.15">
      <c r="B10" s="14">
        <v>32</v>
      </c>
      <c r="C10" s="14">
        <v>500000</v>
      </c>
      <c r="D10" s="14">
        <v>5000000</v>
      </c>
      <c r="E10" s="23">
        <v>275258.02830000001</v>
      </c>
      <c r="F10" s="23">
        <v>8.7881</v>
      </c>
      <c r="G10" s="23">
        <v>27.615100000000002</v>
      </c>
      <c r="H10" s="23">
        <v>17.616199999999999</v>
      </c>
    </row>
    <row r="11" spans="2:16384" ht="16.5" x14ac:dyDescent="0.15">
      <c r="B11" s="14">
        <v>32</v>
      </c>
      <c r="C11" s="14">
        <v>500000</v>
      </c>
      <c r="D11" s="14">
        <v>500000</v>
      </c>
      <c r="E11" s="23">
        <v>10982.4166</v>
      </c>
      <c r="F11" s="23">
        <v>0.33150000000000002</v>
      </c>
      <c r="G11" s="23">
        <v>2.3702000000000001</v>
      </c>
      <c r="H11" s="23">
        <v>0.70279999999999998</v>
      </c>
    </row>
    <row r="12" spans="2:16384" ht="16.5" x14ac:dyDescent="0.15">
      <c r="B12" s="14">
        <v>64</v>
      </c>
      <c r="C12" s="14">
        <v>500000</v>
      </c>
      <c r="D12" s="14">
        <v>500000</v>
      </c>
      <c r="E12" s="23">
        <v>10981.5514</v>
      </c>
      <c r="F12" s="23">
        <v>0.3508</v>
      </c>
      <c r="G12" s="23">
        <v>4.8529</v>
      </c>
      <c r="H12" s="23">
        <v>1.4054</v>
      </c>
    </row>
    <row r="13" spans="2:16384" ht="16.5" x14ac:dyDescent="0.15">
      <c r="B13" s="14">
        <v>64</v>
      </c>
      <c r="C13" s="14">
        <v>5000000</v>
      </c>
      <c r="D13" s="14">
        <v>500000</v>
      </c>
      <c r="E13" s="23">
        <v>109815.11500000001</v>
      </c>
      <c r="F13" s="23">
        <v>0.3508</v>
      </c>
      <c r="G13" s="23">
        <v>6.4176000000000002</v>
      </c>
      <c r="H13" s="23">
        <v>1.4056</v>
      </c>
    </row>
    <row r="14" spans="2:16384" ht="16.5" x14ac:dyDescent="0.15">
      <c r="B14" s="14">
        <v>4</v>
      </c>
      <c r="C14" s="14">
        <v>5000000</v>
      </c>
      <c r="D14" s="14">
        <v>5000000</v>
      </c>
      <c r="E14" s="23">
        <v>31128.8377</v>
      </c>
      <c r="F14" s="23">
        <v>0.2475</v>
      </c>
      <c r="G14" s="23">
        <v>0.84699999999999998</v>
      </c>
      <c r="H14" s="23">
        <v>0.249</v>
      </c>
    </row>
    <row r="15" spans="2:16384" ht="16.5" x14ac:dyDescent="0.15">
      <c r="B15" s="14">
        <v>8</v>
      </c>
      <c r="C15" s="14">
        <v>5000000</v>
      </c>
      <c r="D15" s="14">
        <v>5000000</v>
      </c>
      <c r="E15" s="23">
        <v>16128.847</v>
      </c>
      <c r="F15" s="23">
        <v>0.25219999999999998</v>
      </c>
      <c r="G15" s="23">
        <v>0.4103</v>
      </c>
      <c r="H15" s="23">
        <v>0.2581</v>
      </c>
    </row>
    <row r="16" spans="2:16384" ht="17.25" x14ac:dyDescent="0.15">
      <c r="B16" s="14">
        <v>16</v>
      </c>
      <c r="C16" s="14">
        <v>5000000</v>
      </c>
      <c r="D16" s="14">
        <v>5000000</v>
      </c>
      <c r="E16" s="23">
        <v>10982.222599999999</v>
      </c>
      <c r="F16" s="23">
        <v>0.26</v>
      </c>
      <c r="G16" s="23">
        <v>1.3024</v>
      </c>
      <c r="H16" s="23">
        <v>0.35139999999999999</v>
      </c>
      <c r="J16" s="4"/>
      <c r="K16" s="4"/>
    </row>
    <row r="17" spans="2:19" ht="16.5" x14ac:dyDescent="0.15">
      <c r="B17" s="14"/>
      <c r="C17" s="14"/>
      <c r="D17" s="14"/>
      <c r="E17" s="23"/>
      <c r="F17" s="23"/>
      <c r="G17" s="23"/>
      <c r="H17" s="23"/>
    </row>
    <row r="18" spans="2:19" ht="16.5" x14ac:dyDescent="0.15">
      <c r="B18" s="14"/>
      <c r="C18" s="14"/>
      <c r="D18" s="14"/>
      <c r="E18" s="23"/>
      <c r="F18" s="23"/>
      <c r="G18" s="23"/>
      <c r="H18" s="23"/>
    </row>
    <row r="19" spans="2:19" ht="17.25" x14ac:dyDescent="0.15">
      <c r="B19" s="4"/>
    </row>
    <row r="20" spans="2:19" ht="17.25" x14ac:dyDescent="0.15">
      <c r="B20" s="4"/>
    </row>
    <row r="21" spans="2:19" ht="17.25" x14ac:dyDescent="0.15">
      <c r="B21" s="4" t="s">
        <v>358</v>
      </c>
    </row>
    <row r="22" spans="2:19" ht="17.25" x14ac:dyDescent="0.15">
      <c r="B22" s="4" t="s">
        <v>359</v>
      </c>
    </row>
    <row r="23" spans="2:19" ht="17.25" x14ac:dyDescent="0.15">
      <c r="B23" s="4"/>
    </row>
    <row r="24" spans="2:19" ht="17.25" x14ac:dyDescent="0.15">
      <c r="B24" s="4"/>
    </row>
    <row r="25" spans="2:19" ht="17.25" x14ac:dyDescent="0.15">
      <c r="B25" s="4" t="s">
        <v>357</v>
      </c>
    </row>
    <row r="26" spans="2:19" ht="17.25" x14ac:dyDescent="0.15">
      <c r="B26" s="4" t="s">
        <v>401</v>
      </c>
      <c r="C26" s="4"/>
      <c r="D26" s="4"/>
      <c r="E26" s="4"/>
      <c r="F26" s="4"/>
      <c r="G26" s="4"/>
      <c r="H26" s="4"/>
      <c r="I26" s="4"/>
      <c r="J26" s="4"/>
      <c r="K26" s="4" t="s">
        <v>402</v>
      </c>
      <c r="L26" s="4"/>
      <c r="M26" s="4"/>
      <c r="N26" s="4"/>
      <c r="O26" s="4"/>
      <c r="P26" s="4"/>
      <c r="Q26" s="4"/>
      <c r="R26" s="4"/>
      <c r="S26" s="4"/>
    </row>
    <row r="27" spans="2:19" ht="36" x14ac:dyDescent="0.15">
      <c r="B27" s="22" t="s">
        <v>399</v>
      </c>
      <c r="C27" s="22" t="s">
        <v>408</v>
      </c>
      <c r="D27" s="22" t="s">
        <v>409</v>
      </c>
      <c r="E27" s="22" t="s">
        <v>410</v>
      </c>
      <c r="F27" s="4"/>
      <c r="G27" s="4"/>
      <c r="H27" s="4"/>
      <c r="I27" s="4"/>
      <c r="J27" s="4"/>
      <c r="K27" s="22" t="s">
        <v>400</v>
      </c>
      <c r="L27" s="22" t="s">
        <v>408</v>
      </c>
      <c r="M27" s="22" t="s">
        <v>409</v>
      </c>
      <c r="N27" s="22" t="s">
        <v>410</v>
      </c>
      <c r="O27" s="4"/>
      <c r="P27" s="4"/>
      <c r="Q27" s="4"/>
      <c r="R27" s="4"/>
      <c r="S27" s="4"/>
    </row>
    <row r="28" spans="2:19" ht="17.25" x14ac:dyDescent="0.15">
      <c r="B28" s="14" t="s">
        <v>396</v>
      </c>
      <c r="C28" s="23">
        <v>42128.837699999996</v>
      </c>
      <c r="D28" s="23">
        <v>35128.837699999996</v>
      </c>
      <c r="E28" s="23">
        <v>31128.8377</v>
      </c>
      <c r="F28" s="4"/>
      <c r="G28" s="4"/>
      <c r="H28" s="4"/>
      <c r="I28" s="4"/>
      <c r="J28" s="4"/>
      <c r="K28" s="14" t="s">
        <v>396</v>
      </c>
      <c r="L28" s="23">
        <v>0.34899999999999998</v>
      </c>
      <c r="M28" s="23">
        <v>0.27900000000000003</v>
      </c>
      <c r="N28" s="23">
        <v>0.249</v>
      </c>
      <c r="O28" s="4"/>
      <c r="P28" s="4"/>
      <c r="Q28" s="4"/>
      <c r="R28" s="4"/>
      <c r="S28" s="4"/>
    </row>
    <row r="29" spans="2:19" ht="17.25" x14ac:dyDescent="0.15">
      <c r="B29" s="14" t="s">
        <v>397</v>
      </c>
      <c r="C29" s="23">
        <v>22128.847000000002</v>
      </c>
      <c r="D29" s="23">
        <v>19128.847000000002</v>
      </c>
      <c r="E29" s="23">
        <v>16128.847</v>
      </c>
      <c r="F29" s="4"/>
      <c r="G29" s="4"/>
      <c r="H29" s="4"/>
      <c r="I29" s="4"/>
      <c r="J29" s="4"/>
      <c r="K29" s="14" t="s">
        <v>397</v>
      </c>
      <c r="L29" s="23">
        <v>0.35809999999999997</v>
      </c>
      <c r="M29" s="23">
        <v>0.28810000000000002</v>
      </c>
      <c r="N29" s="23">
        <v>0.2581</v>
      </c>
      <c r="O29" s="4"/>
      <c r="P29" s="4"/>
      <c r="Q29" s="4"/>
      <c r="R29" s="4"/>
      <c r="S29" s="4"/>
    </row>
    <row r="30" spans="2:19" ht="17.25" x14ac:dyDescent="0.15">
      <c r="B30" s="14" t="s">
        <v>398</v>
      </c>
      <c r="C30" s="23">
        <v>20982.222600000001</v>
      </c>
      <c r="D30" s="23">
        <v>15982.222599999999</v>
      </c>
      <c r="E30" s="23">
        <v>10982.222599999999</v>
      </c>
      <c r="F30" s="4"/>
      <c r="G30" s="4"/>
      <c r="H30" s="4"/>
      <c r="I30" s="4"/>
      <c r="J30" s="4"/>
      <c r="K30" s="14" t="s">
        <v>398</v>
      </c>
      <c r="L30" s="23">
        <v>0.45140000000000002</v>
      </c>
      <c r="M30" s="23">
        <v>0.4914</v>
      </c>
      <c r="N30" s="23">
        <v>0.35139999999999999</v>
      </c>
      <c r="O30" s="4"/>
      <c r="P30" s="4"/>
      <c r="Q30" s="4"/>
      <c r="R30" s="4"/>
      <c r="S30" s="4"/>
    </row>
    <row r="32" spans="2:19" ht="17.25" x14ac:dyDescent="0.15"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</sheetData>
  <mergeCells count="5">
    <mergeCell ref="F8:H8"/>
    <mergeCell ref="E8:E9"/>
    <mergeCell ref="D8:D9"/>
    <mergeCell ref="C8:C9"/>
    <mergeCell ref="B8:B9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8"/>
  <sheetViews>
    <sheetView zoomScaleNormal="100" workbookViewId="0"/>
  </sheetViews>
  <sheetFormatPr defaultRowHeight="13.5" x14ac:dyDescent="0.15"/>
  <cols>
    <col min="1" max="1" width="0.625" customWidth="1"/>
    <col min="2" max="2" width="6.75" bestFit="1" customWidth="1"/>
    <col min="3" max="3" width="10.25" bestFit="1" customWidth="1"/>
    <col min="4" max="4" width="12.5" bestFit="1" customWidth="1"/>
    <col min="5" max="5" width="12.5" customWidth="1"/>
    <col min="6" max="6" width="13.125" bestFit="1" customWidth="1"/>
    <col min="7" max="9" width="13.125" customWidth="1"/>
    <col min="12" max="12" width="13.2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J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195</v>
      </c>
      <c r="C2" s="4"/>
      <c r="D2" s="4"/>
      <c r="E2" s="4"/>
      <c r="F2" s="4"/>
      <c r="G2" s="4"/>
      <c r="H2" s="4"/>
      <c r="I2" s="4"/>
      <c r="J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205</v>
      </c>
      <c r="C3" s="4"/>
      <c r="D3" s="4"/>
      <c r="E3" s="4"/>
      <c r="F3" s="4"/>
      <c r="G3" s="4"/>
      <c r="H3" s="4"/>
      <c r="I3" s="4"/>
      <c r="J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224</v>
      </c>
      <c r="C4" s="4"/>
      <c r="D4" s="4"/>
      <c r="E4" s="4"/>
      <c r="F4" s="4"/>
      <c r="G4" s="4"/>
      <c r="H4" s="4"/>
      <c r="I4" s="4"/>
      <c r="J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2:16384" ht="17.25" x14ac:dyDescent="0.15">
      <c r="B5" s="4" t="s">
        <v>433</v>
      </c>
      <c r="C5" s="4"/>
      <c r="D5" s="4"/>
      <c r="E5" s="4"/>
      <c r="F5" s="4"/>
      <c r="G5" s="4"/>
      <c r="H5" s="4"/>
      <c r="I5" s="4"/>
      <c r="J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2:16384" ht="17.25" x14ac:dyDescent="0.15">
      <c r="B6" s="4" t="s">
        <v>445</v>
      </c>
      <c r="C6" s="4"/>
      <c r="D6" s="4"/>
      <c r="E6" s="4"/>
      <c r="F6" s="4"/>
      <c r="G6" s="4"/>
      <c r="H6" s="4"/>
      <c r="I6" s="4"/>
      <c r="J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2:16384" ht="17.25" x14ac:dyDescent="0.15">
      <c r="B7" s="4"/>
      <c r="C7" s="4"/>
      <c r="D7" s="4"/>
      <c r="E7" s="4"/>
      <c r="F7" s="4"/>
      <c r="G7" s="4"/>
      <c r="H7" s="4"/>
      <c r="I7" s="4"/>
    </row>
    <row r="8" spans="2:16384" ht="17.25" x14ac:dyDescent="0.15">
      <c r="B8" s="4" t="s">
        <v>180</v>
      </c>
      <c r="J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spans="2:16384" ht="17.25" customHeight="1" x14ac:dyDescent="0.15">
      <c r="B9" s="30" t="s">
        <v>183</v>
      </c>
      <c r="C9" s="31" t="s">
        <v>223</v>
      </c>
      <c r="D9" s="31" t="s">
        <v>225</v>
      </c>
      <c r="E9" s="30" t="s">
        <v>222</v>
      </c>
      <c r="F9" s="30" t="s">
        <v>186</v>
      </c>
      <c r="G9" s="30" t="s">
        <v>201</v>
      </c>
      <c r="H9" s="30"/>
      <c r="I9" s="30"/>
    </row>
    <row r="10" spans="2:16384" x14ac:dyDescent="0.15">
      <c r="B10" s="30"/>
      <c r="C10" s="32"/>
      <c r="D10" s="32"/>
      <c r="E10" s="30"/>
      <c r="F10" s="30"/>
      <c r="G10" s="17" t="s">
        <v>202</v>
      </c>
      <c r="H10" s="17" t="s">
        <v>203</v>
      </c>
      <c r="I10" s="17" t="s">
        <v>204</v>
      </c>
    </row>
    <row r="11" spans="2:16384" ht="16.5" x14ac:dyDescent="0.15">
      <c r="B11" s="14">
        <v>4</v>
      </c>
      <c r="C11" s="14">
        <v>5000</v>
      </c>
      <c r="D11" s="14">
        <v>5000</v>
      </c>
      <c r="E11" s="14">
        <v>8</v>
      </c>
      <c r="F11" s="18">
        <v>2.8431000000000002</v>
      </c>
      <c r="G11" s="18">
        <v>1.1999999999999999E-3</v>
      </c>
      <c r="H11" s="18">
        <v>5.4000000000000003E-3</v>
      </c>
      <c r="I11" s="18">
        <v>2.3E-3</v>
      </c>
    </row>
    <row r="12" spans="2:16384" ht="16.5" x14ac:dyDescent="0.15">
      <c r="B12" s="14">
        <v>8</v>
      </c>
      <c r="C12" s="14">
        <v>5000</v>
      </c>
      <c r="D12" s="14">
        <v>5000</v>
      </c>
      <c r="E12" s="14">
        <v>8</v>
      </c>
      <c r="F12" s="18">
        <v>4.0831</v>
      </c>
      <c r="G12" s="18">
        <v>1.1999999999999999E-3</v>
      </c>
      <c r="H12" s="18">
        <v>6.3600000000000004E-2</v>
      </c>
      <c r="I12" s="18">
        <v>6.4999999999999997E-3</v>
      </c>
    </row>
    <row r="13" spans="2:16384" ht="16.5" x14ac:dyDescent="0.15">
      <c r="B13" s="14">
        <v>16</v>
      </c>
      <c r="C13" s="14">
        <v>5000</v>
      </c>
      <c r="D13" s="14">
        <v>5000</v>
      </c>
      <c r="E13" s="14">
        <v>8</v>
      </c>
      <c r="F13" s="18">
        <v>5.0993000000000004</v>
      </c>
      <c r="G13" s="18">
        <v>1.4E-3</v>
      </c>
      <c r="H13" s="18">
        <v>1.6299999999999999E-2</v>
      </c>
      <c r="I13" s="18">
        <v>1.43E-2</v>
      </c>
    </row>
    <row r="14" spans="2:16384" ht="16.5" x14ac:dyDescent="0.15">
      <c r="B14" s="14">
        <v>32</v>
      </c>
      <c r="C14" s="14">
        <v>5000</v>
      </c>
      <c r="D14" s="14">
        <v>5000</v>
      </c>
      <c r="E14" s="14">
        <v>8</v>
      </c>
      <c r="F14" s="18">
        <v>6.8667999999999996</v>
      </c>
      <c r="G14" s="18">
        <v>2.3E-3</v>
      </c>
      <c r="H14" s="18">
        <v>0.35060000000000002</v>
      </c>
      <c r="I14" s="18">
        <v>4.36E-2</v>
      </c>
    </row>
    <row r="15" spans="2:16384" ht="16.5" x14ac:dyDescent="0.15">
      <c r="B15" s="14"/>
      <c r="C15" s="14"/>
      <c r="D15" s="14"/>
      <c r="E15" s="14"/>
      <c r="F15" s="18"/>
      <c r="G15" s="18"/>
      <c r="H15" s="18"/>
      <c r="I15" s="18"/>
    </row>
    <row r="16" spans="2:16384" ht="16.5" x14ac:dyDescent="0.15">
      <c r="B16" s="14"/>
      <c r="C16" s="14"/>
      <c r="D16" s="14"/>
      <c r="E16" s="14"/>
      <c r="F16" s="18"/>
      <c r="G16" s="18"/>
      <c r="H16" s="18"/>
      <c r="I16" s="18"/>
    </row>
    <row r="17" spans="2:14" ht="16.5" x14ac:dyDescent="0.15">
      <c r="B17" s="14"/>
      <c r="C17" s="14"/>
      <c r="D17" s="14"/>
      <c r="E17" s="14"/>
      <c r="F17" s="18"/>
      <c r="G17" s="18"/>
      <c r="H17" s="18"/>
      <c r="I17" s="18"/>
    </row>
    <row r="18" spans="2:14" ht="16.5" x14ac:dyDescent="0.15">
      <c r="B18" s="14"/>
      <c r="C18" s="14"/>
      <c r="D18" s="14"/>
      <c r="E18" s="14"/>
      <c r="F18" s="18"/>
      <c r="G18" s="18"/>
      <c r="H18" s="18"/>
      <c r="I18" s="18"/>
    </row>
    <row r="19" spans="2:14" ht="16.5" x14ac:dyDescent="0.15">
      <c r="B19" s="14"/>
      <c r="C19" s="14"/>
      <c r="D19" s="14"/>
      <c r="E19" s="14"/>
      <c r="F19" s="18"/>
      <c r="G19" s="18"/>
      <c r="H19" s="18"/>
      <c r="I19" s="18"/>
    </row>
    <row r="20" spans="2:14" ht="16.5" x14ac:dyDescent="0.15">
      <c r="B20" s="14"/>
      <c r="C20" s="14"/>
      <c r="D20" s="14"/>
      <c r="E20" s="14"/>
      <c r="F20" s="18"/>
      <c r="G20" s="18"/>
      <c r="H20" s="18"/>
      <c r="I20" s="18"/>
    </row>
    <row r="22" spans="2:14" ht="17.25" x14ac:dyDescent="0.15">
      <c r="B22" s="4"/>
    </row>
    <row r="23" spans="2:14" ht="17.25" x14ac:dyDescent="0.15">
      <c r="B23" s="4" t="s">
        <v>360</v>
      </c>
    </row>
    <row r="24" spans="2:14" ht="17.25" x14ac:dyDescent="0.15">
      <c r="B24" s="4" t="s">
        <v>361</v>
      </c>
    </row>
    <row r="25" spans="2:14" ht="17.25" x14ac:dyDescent="0.15">
      <c r="B25" s="4"/>
    </row>
    <row r="27" spans="2:14" ht="17.25" x14ac:dyDescent="0.15">
      <c r="B27" s="4" t="s">
        <v>357</v>
      </c>
    </row>
    <row r="28" spans="2:14" ht="17.25" x14ac:dyDescent="0.15">
      <c r="B28" s="4" t="s">
        <v>403</v>
      </c>
      <c r="C28" s="4"/>
      <c r="D28" s="4"/>
      <c r="E28" s="4"/>
      <c r="F28" s="4"/>
      <c r="G28" s="4"/>
      <c r="H28" s="4"/>
      <c r="I28" s="4"/>
      <c r="J28" s="4"/>
      <c r="K28" s="4" t="s">
        <v>417</v>
      </c>
      <c r="L28" s="4"/>
    </row>
    <row r="29" spans="2:14" ht="36" x14ac:dyDescent="0.15">
      <c r="B29" s="22" t="s">
        <v>270</v>
      </c>
      <c r="C29" s="22" t="s">
        <v>408</v>
      </c>
      <c r="D29" s="22" t="s">
        <v>409</v>
      </c>
      <c r="E29" s="22" t="s">
        <v>410</v>
      </c>
      <c r="F29" s="4"/>
      <c r="G29" s="4"/>
      <c r="H29" s="4"/>
      <c r="I29" s="4"/>
      <c r="J29" s="4"/>
      <c r="K29" s="22" t="s">
        <v>270</v>
      </c>
      <c r="L29" s="22" t="s">
        <v>408</v>
      </c>
      <c r="M29" s="22" t="s">
        <v>409</v>
      </c>
      <c r="N29" s="22" t="s">
        <v>410</v>
      </c>
    </row>
    <row r="30" spans="2:14" ht="17.25" x14ac:dyDescent="0.15">
      <c r="B30" s="14" t="s">
        <v>404</v>
      </c>
      <c r="C30" s="18">
        <v>3.5430999999999999</v>
      </c>
      <c r="D30" s="18">
        <v>3.0430999999999999</v>
      </c>
      <c r="E30" s="18">
        <v>2.8431000000000002</v>
      </c>
      <c r="F30" s="4"/>
      <c r="G30" s="4"/>
      <c r="H30" s="4"/>
      <c r="I30" s="4"/>
      <c r="J30" s="4"/>
      <c r="K30" s="14" t="s">
        <v>404</v>
      </c>
      <c r="L30" s="18">
        <v>3.3E-3</v>
      </c>
      <c r="M30" s="18">
        <v>2.8E-3</v>
      </c>
      <c r="N30" s="18">
        <v>2.3E-3</v>
      </c>
    </row>
    <row r="31" spans="2:14" ht="17.25" x14ac:dyDescent="0.15">
      <c r="B31" s="14" t="s">
        <v>405</v>
      </c>
      <c r="C31" s="18">
        <v>4.9831000000000003</v>
      </c>
      <c r="D31" s="18">
        <v>4.4831000000000003</v>
      </c>
      <c r="E31" s="18">
        <v>4.0831</v>
      </c>
      <c r="F31" s="4"/>
      <c r="G31" s="4"/>
      <c r="H31" s="4"/>
      <c r="I31" s="4"/>
      <c r="J31" s="4"/>
      <c r="K31" s="14" t="s">
        <v>405</v>
      </c>
      <c r="L31" s="18">
        <v>7.4999999999999997E-3</v>
      </c>
      <c r="M31" s="18">
        <v>7.0000000000000001E-3</v>
      </c>
      <c r="N31" s="18">
        <v>6.4999999999999997E-3</v>
      </c>
    </row>
    <row r="32" spans="2:14" ht="17.25" x14ac:dyDescent="0.15">
      <c r="B32" s="14" t="s">
        <v>406</v>
      </c>
      <c r="C32" s="18">
        <v>5.9992999999999999</v>
      </c>
      <c r="D32" s="18">
        <v>5.5993000000000004</v>
      </c>
      <c r="E32" s="18">
        <v>5.0993000000000004</v>
      </c>
      <c r="F32" s="4"/>
      <c r="G32" s="4"/>
      <c r="H32" s="4"/>
      <c r="I32" s="4"/>
      <c r="J32" s="4"/>
      <c r="K32" s="14" t="s">
        <v>406</v>
      </c>
      <c r="L32" s="18">
        <v>2.4299999999999999E-2</v>
      </c>
      <c r="M32" s="18">
        <v>2.0299999999999999E-2</v>
      </c>
      <c r="N32" s="18">
        <v>1.43E-2</v>
      </c>
    </row>
    <row r="33" spans="2:14" ht="16.5" x14ac:dyDescent="0.15">
      <c r="B33" s="14" t="s">
        <v>407</v>
      </c>
      <c r="C33" s="18">
        <v>7.5667999999999997</v>
      </c>
      <c r="D33" s="18">
        <v>7.1668000000000003</v>
      </c>
      <c r="E33" s="18">
        <v>6.8667999999999996</v>
      </c>
      <c r="K33" s="14" t="s">
        <v>407</v>
      </c>
      <c r="L33" s="18">
        <v>5.3600000000000002E-2</v>
      </c>
      <c r="M33" s="18">
        <v>4.8599999999999997E-2</v>
      </c>
      <c r="N33" s="18">
        <v>4.36E-2</v>
      </c>
    </row>
    <row r="34" spans="2:14" ht="17.25" x14ac:dyDescent="0.15">
      <c r="D34" s="4"/>
      <c r="E34" s="4"/>
      <c r="F34" s="4"/>
      <c r="G34" s="4"/>
      <c r="H34" s="4"/>
      <c r="I34" s="4"/>
      <c r="J34" s="4"/>
    </row>
    <row r="37" spans="2:14" ht="17.25" x14ac:dyDescent="0.15">
      <c r="B37" s="4"/>
    </row>
    <row r="38" spans="2:14" ht="17.25" x14ac:dyDescent="0.15">
      <c r="B38" s="4"/>
    </row>
  </sheetData>
  <mergeCells count="6">
    <mergeCell ref="G9:I9"/>
    <mergeCell ref="B9:B10"/>
    <mergeCell ref="E9:E10"/>
    <mergeCell ref="F9:F10"/>
    <mergeCell ref="C9:C10"/>
    <mergeCell ref="D9:D10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9"/>
  <sheetViews>
    <sheetView zoomScaleNormal="100" workbookViewId="0"/>
  </sheetViews>
  <sheetFormatPr defaultRowHeight="13.5" x14ac:dyDescent="0.15"/>
  <cols>
    <col min="1" max="1" width="0.625" customWidth="1"/>
    <col min="2" max="2" width="6.75" bestFit="1" customWidth="1"/>
    <col min="3" max="3" width="10.25" bestFit="1" customWidth="1"/>
    <col min="4" max="4" width="12.5" bestFit="1" customWidth="1"/>
    <col min="5" max="6" width="12.5" customWidth="1"/>
    <col min="7" max="7" width="13.125" bestFit="1" customWidth="1"/>
    <col min="8" max="10" width="13.125" customWidth="1"/>
    <col min="12" max="13" width="9.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J1" s="4"/>
      <c r="K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195</v>
      </c>
      <c r="C2" s="4"/>
      <c r="D2" s="4"/>
      <c r="E2" s="4"/>
      <c r="F2" s="4"/>
      <c r="G2" s="4"/>
      <c r="H2" s="4"/>
      <c r="I2" s="4"/>
      <c r="J2" s="4"/>
      <c r="K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205</v>
      </c>
      <c r="C3" s="4"/>
      <c r="D3" s="4"/>
      <c r="E3" s="4"/>
      <c r="F3" s="4"/>
      <c r="G3" s="4"/>
      <c r="H3" s="4"/>
      <c r="I3" s="4"/>
      <c r="J3" s="4"/>
      <c r="K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434</v>
      </c>
      <c r="C4" s="4"/>
      <c r="D4" s="4"/>
      <c r="E4" s="4"/>
      <c r="F4" s="4"/>
      <c r="G4" s="4"/>
      <c r="H4" s="4"/>
      <c r="I4" s="4"/>
      <c r="J4" s="4"/>
      <c r="K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2:16384" ht="17.25" x14ac:dyDescent="0.15">
      <c r="B5" s="4" t="s">
        <v>435</v>
      </c>
      <c r="C5" s="4"/>
      <c r="D5" s="4"/>
      <c r="E5" s="4"/>
      <c r="F5" s="4"/>
      <c r="G5" s="4"/>
      <c r="H5" s="4"/>
      <c r="I5" s="4"/>
      <c r="J5" s="4"/>
      <c r="K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2:16384" ht="17.25" x14ac:dyDescent="0.15">
      <c r="B6" s="4" t="s">
        <v>435</v>
      </c>
      <c r="C6" s="4"/>
      <c r="D6" s="4"/>
      <c r="E6" s="4"/>
      <c r="F6" s="4"/>
      <c r="G6" s="4"/>
      <c r="H6" s="4"/>
      <c r="I6" s="4"/>
      <c r="J6" s="4"/>
      <c r="K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2:16384" ht="17.25" x14ac:dyDescent="0.15">
      <c r="B7" s="4" t="s">
        <v>445</v>
      </c>
      <c r="C7" s="4"/>
      <c r="D7" s="4"/>
      <c r="E7" s="4"/>
      <c r="F7" s="4"/>
      <c r="G7" s="4"/>
      <c r="H7" s="4"/>
      <c r="I7" s="4"/>
      <c r="J7" s="4"/>
      <c r="K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2:16384" ht="17.25" x14ac:dyDescent="0.15">
      <c r="B8" s="4"/>
      <c r="C8" s="4"/>
      <c r="D8" s="4"/>
      <c r="E8" s="4"/>
      <c r="F8" s="4"/>
      <c r="G8" s="4"/>
      <c r="H8" s="4"/>
      <c r="I8" s="4"/>
      <c r="J8" s="4"/>
    </row>
    <row r="9" spans="2:16384" ht="17.25" x14ac:dyDescent="0.15">
      <c r="B9" s="4" t="s">
        <v>180</v>
      </c>
      <c r="K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2:16384" x14ac:dyDescent="0.15">
      <c r="B10" s="30" t="s">
        <v>183</v>
      </c>
      <c r="C10" s="31" t="s">
        <v>223</v>
      </c>
      <c r="D10" s="31" t="s">
        <v>226</v>
      </c>
      <c r="E10" s="30" t="s">
        <v>227</v>
      </c>
      <c r="F10" s="30" t="s">
        <v>228</v>
      </c>
      <c r="G10" s="30" t="s">
        <v>186</v>
      </c>
      <c r="H10" s="33" t="s">
        <v>201</v>
      </c>
      <c r="I10" s="34"/>
      <c r="J10" s="35"/>
    </row>
    <row r="11" spans="2:16384" x14ac:dyDescent="0.15">
      <c r="B11" s="30"/>
      <c r="C11" s="32"/>
      <c r="D11" s="32"/>
      <c r="E11" s="30"/>
      <c r="F11" s="30"/>
      <c r="G11" s="30"/>
      <c r="H11" s="17" t="s">
        <v>202</v>
      </c>
      <c r="I11" s="17" t="s">
        <v>203</v>
      </c>
      <c r="J11" s="17" t="s">
        <v>204</v>
      </c>
    </row>
    <row r="12" spans="2:16384" ht="16.5" x14ac:dyDescent="0.15">
      <c r="B12" s="14">
        <v>4</v>
      </c>
      <c r="C12" s="14">
        <v>50000</v>
      </c>
      <c r="D12" s="14">
        <v>5000</v>
      </c>
      <c r="E12" s="14">
        <v>100000</v>
      </c>
      <c r="F12" s="14">
        <v>100000</v>
      </c>
      <c r="G12" s="18">
        <v>8.0030000000000001</v>
      </c>
      <c r="H12" s="18">
        <v>7.9844999999999997</v>
      </c>
      <c r="I12" s="18">
        <v>8.0021000000000004</v>
      </c>
      <c r="J12" s="18">
        <v>7.9974999999999996</v>
      </c>
    </row>
    <row r="13" spans="2:16384" ht="16.5" x14ac:dyDescent="0.15">
      <c r="B13" s="14">
        <v>8</v>
      </c>
      <c r="C13" s="14">
        <v>50000</v>
      </c>
      <c r="D13" s="14">
        <v>5000</v>
      </c>
      <c r="E13" s="14">
        <v>100000</v>
      </c>
      <c r="F13" s="14">
        <v>100000</v>
      </c>
      <c r="G13" s="18">
        <v>8.3221000000000007</v>
      </c>
      <c r="H13" s="18">
        <v>8.3066999999999993</v>
      </c>
      <c r="I13" s="18">
        <v>8.3217999999999996</v>
      </c>
      <c r="J13" s="18">
        <v>8.3137000000000008</v>
      </c>
    </row>
    <row r="14" spans="2:16384" ht="16.5" x14ac:dyDescent="0.15">
      <c r="B14" s="14">
        <v>16</v>
      </c>
      <c r="C14" s="14">
        <v>50000</v>
      </c>
      <c r="D14" s="14">
        <v>5000</v>
      </c>
      <c r="E14" s="14">
        <v>100000</v>
      </c>
      <c r="F14" s="14">
        <v>100000</v>
      </c>
      <c r="G14" s="3">
        <v>16.057500000000001</v>
      </c>
      <c r="H14" s="3">
        <v>16.025099999999998</v>
      </c>
      <c r="I14" s="3">
        <v>16.0519</v>
      </c>
      <c r="J14" s="3">
        <v>16.044899999999998</v>
      </c>
    </row>
    <row r="15" spans="2:16384" ht="16.5" x14ac:dyDescent="0.15">
      <c r="B15" s="14">
        <v>32</v>
      </c>
      <c r="C15" s="14">
        <v>50000</v>
      </c>
      <c r="D15" s="14">
        <v>5000</v>
      </c>
      <c r="E15" s="14">
        <v>100000</v>
      </c>
      <c r="F15" s="14">
        <v>100000</v>
      </c>
      <c r="G15" s="3">
        <v>32.362200000000001</v>
      </c>
      <c r="H15" s="3">
        <v>16.269100000000002</v>
      </c>
      <c r="I15" s="3">
        <v>32.156199999999998</v>
      </c>
      <c r="J15" s="3">
        <v>30.0184</v>
      </c>
    </row>
    <row r="16" spans="2:16384" ht="16.5" x14ac:dyDescent="0.15">
      <c r="B16" s="14"/>
      <c r="C16" s="14"/>
      <c r="D16" s="14"/>
      <c r="E16" s="14"/>
      <c r="F16" s="14"/>
      <c r="G16" s="3"/>
      <c r="H16" s="3"/>
      <c r="I16" s="3"/>
      <c r="J16" s="3"/>
    </row>
    <row r="17" spans="2:14" ht="16.5" x14ac:dyDescent="0.15">
      <c r="B17" s="14"/>
      <c r="C17" s="14"/>
      <c r="D17" s="14"/>
      <c r="E17" s="14"/>
      <c r="F17" s="14"/>
      <c r="G17" s="3"/>
      <c r="H17" s="3"/>
      <c r="I17" s="3"/>
      <c r="J17" s="3"/>
    </row>
    <row r="18" spans="2:14" ht="16.5" x14ac:dyDescent="0.15">
      <c r="B18" s="14"/>
      <c r="C18" s="14"/>
      <c r="D18" s="14"/>
      <c r="E18" s="14"/>
      <c r="F18" s="14"/>
      <c r="G18" s="3"/>
      <c r="H18" s="3"/>
      <c r="I18" s="3"/>
      <c r="J18" s="3"/>
    </row>
    <row r="19" spans="2:14" ht="16.5" x14ac:dyDescent="0.15">
      <c r="B19" s="14"/>
      <c r="C19" s="14"/>
      <c r="D19" s="14"/>
      <c r="E19" s="14"/>
      <c r="F19" s="14"/>
      <c r="G19" s="3"/>
      <c r="H19" s="3"/>
      <c r="I19" s="3"/>
      <c r="J19" s="3"/>
    </row>
    <row r="20" spans="2:14" ht="16.5" x14ac:dyDescent="0.15">
      <c r="B20" s="14"/>
      <c r="C20" s="14"/>
      <c r="D20" s="14"/>
      <c r="E20" s="14"/>
      <c r="F20" s="14"/>
      <c r="G20" s="3"/>
      <c r="H20" s="3"/>
      <c r="I20" s="3"/>
      <c r="J20" s="3"/>
    </row>
    <row r="21" spans="2:14" ht="16.5" x14ac:dyDescent="0.15">
      <c r="B21" s="14"/>
      <c r="C21" s="14"/>
      <c r="D21" s="14"/>
      <c r="E21" s="14"/>
      <c r="F21" s="14"/>
      <c r="G21" s="3"/>
      <c r="H21" s="3"/>
      <c r="I21" s="3"/>
      <c r="J21" s="3"/>
    </row>
    <row r="23" spans="2:14" ht="17.25" x14ac:dyDescent="0.15">
      <c r="B23" s="4"/>
    </row>
    <row r="24" spans="2:14" ht="17.25" x14ac:dyDescent="0.15">
      <c r="B24" s="4" t="s">
        <v>362</v>
      </c>
    </row>
    <row r="25" spans="2:14" ht="17.25" x14ac:dyDescent="0.15">
      <c r="B25" s="4" t="s">
        <v>363</v>
      </c>
    </row>
    <row r="28" spans="2:14" ht="17.25" x14ac:dyDescent="0.15">
      <c r="B28" s="4" t="s">
        <v>357</v>
      </c>
    </row>
    <row r="29" spans="2:14" ht="17.25" x14ac:dyDescent="0.15">
      <c r="B29" s="4" t="s">
        <v>422</v>
      </c>
      <c r="C29" s="4"/>
      <c r="D29" s="4"/>
      <c r="E29" s="4"/>
      <c r="F29" s="4"/>
      <c r="G29" s="4"/>
      <c r="H29" s="4"/>
      <c r="I29" s="4"/>
      <c r="J29" s="4"/>
      <c r="K29" s="4" t="s">
        <v>423</v>
      </c>
      <c r="L29" s="4"/>
    </row>
    <row r="30" spans="2:14" ht="36" x14ac:dyDescent="0.15">
      <c r="B30" s="22" t="s">
        <v>270</v>
      </c>
      <c r="C30" s="22" t="s">
        <v>408</v>
      </c>
      <c r="D30" s="22" t="s">
        <v>409</v>
      </c>
      <c r="E30" s="22" t="s">
        <v>410</v>
      </c>
      <c r="F30" s="4"/>
      <c r="G30" s="4"/>
      <c r="H30" s="4"/>
      <c r="I30" s="4"/>
      <c r="J30" s="4"/>
      <c r="K30" s="22" t="s">
        <v>270</v>
      </c>
      <c r="L30" s="22" t="s">
        <v>408</v>
      </c>
      <c r="M30" s="22" t="s">
        <v>409</v>
      </c>
      <c r="N30" s="22" t="s">
        <v>410</v>
      </c>
    </row>
    <row r="31" spans="2:14" ht="17.25" x14ac:dyDescent="0.15">
      <c r="B31" s="14" t="s">
        <v>418</v>
      </c>
      <c r="C31" s="18">
        <v>10.003</v>
      </c>
      <c r="D31" s="18">
        <v>9.0030000000000001</v>
      </c>
      <c r="E31" s="18">
        <v>8.0030000000000001</v>
      </c>
      <c r="F31" s="4"/>
      <c r="G31" s="4"/>
      <c r="H31" s="4"/>
      <c r="I31" s="4"/>
      <c r="J31" s="4"/>
      <c r="K31" s="14" t="s">
        <v>418</v>
      </c>
      <c r="L31" s="18">
        <v>10.9975</v>
      </c>
      <c r="M31" s="18">
        <v>8.9975000000000005</v>
      </c>
      <c r="N31" s="18">
        <v>7.9974999999999996</v>
      </c>
    </row>
    <row r="32" spans="2:14" ht="17.25" x14ac:dyDescent="0.15">
      <c r="B32" s="14" t="s">
        <v>421</v>
      </c>
      <c r="C32" s="18">
        <v>10.322100000000001</v>
      </c>
      <c r="D32" s="18">
        <v>9.3221000000000007</v>
      </c>
      <c r="E32" s="18">
        <v>8.3221000000000007</v>
      </c>
      <c r="F32" s="4"/>
      <c r="G32" s="4"/>
      <c r="H32" s="4"/>
      <c r="I32" s="4"/>
      <c r="J32" s="4"/>
      <c r="K32" s="14" t="s">
        <v>421</v>
      </c>
      <c r="L32" s="18">
        <v>15.313700000000001</v>
      </c>
      <c r="M32" s="18">
        <v>10.313700000000001</v>
      </c>
      <c r="N32" s="18">
        <v>8.3137000000000008</v>
      </c>
    </row>
    <row r="33" spans="2:14" ht="16.5" x14ac:dyDescent="0.15">
      <c r="B33" s="14" t="s">
        <v>420</v>
      </c>
      <c r="C33" s="3">
        <v>20.057500000000001</v>
      </c>
      <c r="D33" s="3">
        <v>18.057500000000001</v>
      </c>
      <c r="E33" s="3">
        <v>16.057500000000001</v>
      </c>
      <c r="K33" s="14" t="s">
        <v>420</v>
      </c>
      <c r="L33" s="3">
        <v>25.044899999999998</v>
      </c>
      <c r="M33" s="3">
        <v>20.044899999999998</v>
      </c>
      <c r="N33" s="3">
        <v>16.044899999999998</v>
      </c>
    </row>
    <row r="34" spans="2:14" ht="17.25" x14ac:dyDescent="0.15">
      <c r="B34" s="14" t="s">
        <v>419</v>
      </c>
      <c r="C34" s="3">
        <v>38.362200000000001</v>
      </c>
      <c r="D34" s="3">
        <v>35.362200000000001</v>
      </c>
      <c r="E34" s="3">
        <v>32.362200000000001</v>
      </c>
      <c r="F34" s="4"/>
      <c r="G34" s="4"/>
      <c r="H34" s="4"/>
      <c r="I34" s="4"/>
      <c r="J34" s="4"/>
      <c r="K34" s="14" t="s">
        <v>419</v>
      </c>
      <c r="L34" s="3">
        <v>40.0184</v>
      </c>
      <c r="M34" s="3">
        <v>35.0184</v>
      </c>
      <c r="N34" s="3">
        <v>30.0184</v>
      </c>
    </row>
    <row r="38" spans="2:14" ht="17.25" x14ac:dyDescent="0.15">
      <c r="B38" s="4"/>
    </row>
    <row r="39" spans="2:14" ht="17.25" x14ac:dyDescent="0.15">
      <c r="B39" s="4"/>
    </row>
  </sheetData>
  <mergeCells count="7">
    <mergeCell ref="H10:J10"/>
    <mergeCell ref="B10:B11"/>
    <mergeCell ref="C10:C11"/>
    <mergeCell ref="D10:D11"/>
    <mergeCell ref="E10:E11"/>
    <mergeCell ref="G10:G11"/>
    <mergeCell ref="F10:F11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45"/>
  <sheetViews>
    <sheetView zoomScaleNormal="100" workbookViewId="0"/>
  </sheetViews>
  <sheetFormatPr defaultRowHeight="13.5" x14ac:dyDescent="0.15"/>
  <cols>
    <col min="1" max="1" width="0.625" customWidth="1"/>
    <col min="3" max="3" width="14.375" bestFit="1" customWidth="1"/>
    <col min="4" max="4" width="14.75" bestFit="1" customWidth="1"/>
    <col min="5" max="5" width="14.375" bestFit="1" customWidth="1"/>
    <col min="6" max="6" width="14.5" bestFit="1" customWidth="1"/>
    <col min="7" max="7" width="12" bestFit="1" customWidth="1"/>
    <col min="8" max="9" width="9.5" bestFit="1" customWidth="1"/>
    <col min="10" max="10" width="11.125" customWidth="1"/>
    <col min="11" max="11" width="10.625" bestFit="1" customWidth="1"/>
    <col min="12" max="12" width="11.875" bestFit="1" customWidth="1"/>
    <col min="13" max="13" width="10.625" bestFit="1" customWidth="1"/>
    <col min="23" max="23" width="9.5" bestFit="1" customWidth="1"/>
    <col min="31" max="31" width="14.375" bestFit="1" customWidth="1"/>
    <col min="39" max="39" width="11.87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J1" s="4"/>
      <c r="K1" s="4"/>
      <c r="L1" s="4"/>
      <c r="AD1" s="4" t="s">
        <v>273</v>
      </c>
      <c r="AE1" s="4"/>
      <c r="AL1" s="4" t="s">
        <v>274</v>
      </c>
      <c r="AM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195</v>
      </c>
      <c r="C2" s="4"/>
      <c r="D2" s="4"/>
      <c r="E2" s="4"/>
      <c r="F2" s="4"/>
      <c r="G2" s="4"/>
      <c r="H2" s="4"/>
      <c r="I2" s="4"/>
      <c r="J2" s="4"/>
      <c r="K2" s="4"/>
      <c r="L2" s="4"/>
      <c r="AD2" s="22" t="s">
        <v>270</v>
      </c>
      <c r="AE2" s="22" t="s">
        <v>271</v>
      </c>
      <c r="AL2" s="22" t="s">
        <v>270</v>
      </c>
      <c r="AM2" s="22" t="s">
        <v>271</v>
      </c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436</v>
      </c>
      <c r="C3" s="4"/>
      <c r="D3" s="4"/>
      <c r="E3" s="4"/>
      <c r="F3" s="4"/>
      <c r="G3" s="4"/>
      <c r="H3" s="4"/>
      <c r="I3" s="4"/>
      <c r="J3" s="4"/>
      <c r="K3" s="4"/>
      <c r="L3" s="4"/>
      <c r="AD3" s="14">
        <v>4</v>
      </c>
      <c r="AE3" s="18">
        <v>531823.94999999995</v>
      </c>
      <c r="AL3" s="14">
        <v>4</v>
      </c>
      <c r="AM3" s="18">
        <v>2077.44</v>
      </c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233</v>
      </c>
      <c r="C4" s="4"/>
      <c r="D4" s="4"/>
      <c r="E4" s="4"/>
      <c r="F4" s="4"/>
      <c r="G4" s="4"/>
      <c r="H4" s="4"/>
      <c r="I4" s="4"/>
      <c r="J4" s="4"/>
      <c r="K4" s="4"/>
      <c r="L4" s="4"/>
      <c r="AD4" s="14">
        <v>8</v>
      </c>
      <c r="AE4" s="18">
        <v>328783.89</v>
      </c>
      <c r="AL4" s="14">
        <v>8</v>
      </c>
      <c r="AM4" s="18">
        <v>2568.62</v>
      </c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2:16384" ht="17.25" x14ac:dyDescent="0.15">
      <c r="B5" s="4" t="s">
        <v>445</v>
      </c>
      <c r="AD5" s="14">
        <v>16</v>
      </c>
      <c r="AE5" s="18">
        <v>543861.01</v>
      </c>
      <c r="AL5" s="14">
        <v>16</v>
      </c>
      <c r="AM5" s="18">
        <v>2124.46</v>
      </c>
    </row>
    <row r="6" spans="2:16384" ht="17.25" x14ac:dyDescent="0.15">
      <c r="B6" s="4"/>
      <c r="AD6" s="14"/>
      <c r="AE6" s="18"/>
      <c r="AL6" s="14"/>
      <c r="AM6" s="18"/>
    </row>
    <row r="7" spans="2:16384" ht="17.25" x14ac:dyDescent="0.15">
      <c r="B7" s="4" t="s">
        <v>180</v>
      </c>
      <c r="C7" s="4"/>
      <c r="D7" s="4"/>
      <c r="E7" s="4"/>
      <c r="F7" s="4"/>
      <c r="G7" s="4"/>
      <c r="H7" s="4"/>
      <c r="I7" s="4"/>
      <c r="J7" s="4"/>
      <c r="K7" s="4"/>
      <c r="L7" s="4"/>
      <c r="AD7" s="14">
        <v>32</v>
      </c>
      <c r="AE7" s="18">
        <v>350874.56</v>
      </c>
      <c r="AL7" s="14">
        <v>32</v>
      </c>
      <c r="AM7" s="18">
        <v>2741.21</v>
      </c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2:16384" ht="17.25" x14ac:dyDescent="0.15">
      <c r="B8" s="4" t="s">
        <v>229</v>
      </c>
      <c r="C8" s="4"/>
      <c r="D8" s="4"/>
      <c r="E8" s="4"/>
      <c r="F8" s="4"/>
      <c r="G8" s="4"/>
      <c r="H8" s="4"/>
      <c r="I8" s="4"/>
      <c r="J8" s="4"/>
      <c r="K8" s="4"/>
      <c r="L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spans="2:16384" ht="24" customHeight="1" x14ac:dyDescent="0.15">
      <c r="B9" s="30" t="s">
        <v>187</v>
      </c>
      <c r="C9" s="30" t="s">
        <v>188</v>
      </c>
      <c r="D9" s="30" t="s">
        <v>232</v>
      </c>
      <c r="E9" s="30" t="s">
        <v>193</v>
      </c>
      <c r="F9" s="30" t="s">
        <v>189</v>
      </c>
      <c r="G9" s="30" t="s">
        <v>191</v>
      </c>
      <c r="H9" s="30" t="s">
        <v>194</v>
      </c>
      <c r="I9" s="30" t="s">
        <v>201</v>
      </c>
      <c r="J9" s="30"/>
      <c r="K9" s="30"/>
      <c r="L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2:16384" x14ac:dyDescent="0.15">
      <c r="B10" s="30"/>
      <c r="C10" s="30"/>
      <c r="D10" s="30"/>
      <c r="E10" s="30"/>
      <c r="F10" s="30"/>
      <c r="G10" s="30"/>
      <c r="H10" s="30"/>
      <c r="I10" s="17" t="s">
        <v>202</v>
      </c>
      <c r="J10" s="17" t="s">
        <v>203</v>
      </c>
      <c r="K10" s="17" t="s">
        <v>204</v>
      </c>
    </row>
    <row r="11" spans="2:16384" ht="16.5" x14ac:dyDescent="0.15">
      <c r="B11" s="11">
        <v>4</v>
      </c>
      <c r="C11" s="11">
        <v>50000</v>
      </c>
      <c r="D11" s="11">
        <v>4</v>
      </c>
      <c r="E11" s="11">
        <v>4</v>
      </c>
      <c r="F11" s="18">
        <v>531823.94999999995</v>
      </c>
      <c r="G11" s="18">
        <v>2077.44</v>
      </c>
      <c r="H11" s="18">
        <v>1.9717</v>
      </c>
      <c r="I11" s="18">
        <v>0</v>
      </c>
      <c r="J11" s="18">
        <v>6.9999999999999999E-4</v>
      </c>
      <c r="K11" s="18">
        <v>0</v>
      </c>
    </row>
    <row r="12" spans="2:16384" ht="16.5" x14ac:dyDescent="0.15">
      <c r="B12" s="11">
        <v>4</v>
      </c>
      <c r="C12" s="11">
        <v>50000</v>
      </c>
      <c r="D12" s="11">
        <v>4</v>
      </c>
      <c r="E12" s="11">
        <v>8</v>
      </c>
      <c r="F12" s="18">
        <v>328783.89</v>
      </c>
      <c r="G12" s="18">
        <v>2568.62</v>
      </c>
      <c r="H12" s="18">
        <v>1.5946</v>
      </c>
      <c r="I12" s="18">
        <v>0</v>
      </c>
      <c r="J12" s="18">
        <v>5.0000000000000001E-4</v>
      </c>
      <c r="K12" s="18">
        <v>0</v>
      </c>
    </row>
    <row r="13" spans="2:16384" ht="16.5" x14ac:dyDescent="0.15">
      <c r="B13" s="11">
        <v>4</v>
      </c>
      <c r="C13" s="11">
        <v>50000</v>
      </c>
      <c r="D13" s="11">
        <v>8</v>
      </c>
      <c r="E13" s="11">
        <v>4</v>
      </c>
      <c r="F13" s="18">
        <v>543861.01</v>
      </c>
      <c r="G13" s="18">
        <v>2124.46</v>
      </c>
      <c r="H13" s="18">
        <v>3.8559999999999999</v>
      </c>
      <c r="I13" s="18">
        <v>0</v>
      </c>
      <c r="J13" s="18">
        <v>8.9999999999999998E-4</v>
      </c>
      <c r="K13" s="18">
        <v>0</v>
      </c>
    </row>
    <row r="14" spans="2:16384" ht="16.5" x14ac:dyDescent="0.15">
      <c r="B14" s="11">
        <v>4</v>
      </c>
      <c r="C14" s="11">
        <v>50000</v>
      </c>
      <c r="D14" s="11">
        <v>8</v>
      </c>
      <c r="E14" s="11">
        <v>8</v>
      </c>
      <c r="F14" s="18">
        <v>350874.56</v>
      </c>
      <c r="G14" s="18">
        <v>2741.21</v>
      </c>
      <c r="H14" s="18">
        <v>2.9885000000000002</v>
      </c>
      <c r="I14" s="18">
        <v>0</v>
      </c>
      <c r="J14" s="18">
        <v>8.9999999999999998E-4</v>
      </c>
      <c r="K14" s="18">
        <v>0</v>
      </c>
    </row>
    <row r="15" spans="2:16384" ht="16.5" x14ac:dyDescent="0.15">
      <c r="B15" s="11"/>
      <c r="C15" s="11"/>
      <c r="D15" s="11"/>
      <c r="E15" s="11"/>
      <c r="F15" s="18"/>
      <c r="G15" s="18"/>
      <c r="H15" s="18"/>
      <c r="I15" s="18"/>
      <c r="J15" s="18"/>
      <c r="K15" s="18"/>
    </row>
    <row r="16" spans="2:16384" ht="16.5" x14ac:dyDescent="0.15">
      <c r="B16" s="11"/>
      <c r="C16" s="11"/>
      <c r="D16" s="11"/>
      <c r="E16" s="11"/>
      <c r="F16" s="18"/>
      <c r="G16" s="18"/>
      <c r="H16" s="18"/>
      <c r="I16" s="18"/>
      <c r="J16" s="18"/>
      <c r="K16" s="18"/>
    </row>
    <row r="17" spans="2:16384" ht="16.5" x14ac:dyDescent="0.15">
      <c r="B17" s="11"/>
      <c r="C17" s="11"/>
      <c r="D17" s="11"/>
      <c r="E17" s="11"/>
      <c r="F17" s="18"/>
      <c r="G17" s="18"/>
      <c r="H17" s="18"/>
      <c r="I17" s="18"/>
      <c r="J17" s="18"/>
      <c r="K17" s="18"/>
    </row>
    <row r="18" spans="2:16384" ht="16.5" x14ac:dyDescent="0.15">
      <c r="B18" s="11"/>
      <c r="C18" s="11"/>
      <c r="D18" s="11"/>
      <c r="E18" s="11"/>
      <c r="F18" s="18"/>
      <c r="G18" s="18"/>
      <c r="H18" s="18"/>
      <c r="I18" s="18"/>
      <c r="J18" s="18"/>
      <c r="K18" s="18"/>
    </row>
    <row r="20" spans="2:16384" ht="17.25" x14ac:dyDescent="0.15">
      <c r="B20" s="4" t="s">
        <v>230</v>
      </c>
    </row>
    <row r="21" spans="2:16384" ht="17.25" x14ac:dyDescent="0.15">
      <c r="B21" s="30" t="s">
        <v>187</v>
      </c>
      <c r="C21" s="30" t="s">
        <v>188</v>
      </c>
      <c r="D21" s="30" t="s">
        <v>232</v>
      </c>
      <c r="E21" s="30" t="s">
        <v>193</v>
      </c>
      <c r="F21" s="30" t="s">
        <v>190</v>
      </c>
      <c r="G21" s="30" t="s">
        <v>192</v>
      </c>
      <c r="H21" s="30" t="s">
        <v>231</v>
      </c>
      <c r="I21" s="30" t="s">
        <v>201</v>
      </c>
      <c r="J21" s="30"/>
      <c r="K21" s="30"/>
      <c r="L21" s="4"/>
      <c r="AD21" s="4" t="s">
        <v>276</v>
      </c>
      <c r="AE21" s="4"/>
      <c r="AL21" s="4" t="s">
        <v>275</v>
      </c>
      <c r="AM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spans="2:16384" ht="24" customHeight="1" x14ac:dyDescent="0.15">
      <c r="B22" s="30"/>
      <c r="C22" s="30"/>
      <c r="D22" s="30"/>
      <c r="E22" s="30"/>
      <c r="F22" s="30"/>
      <c r="G22" s="30"/>
      <c r="H22" s="30"/>
      <c r="I22" s="17" t="s">
        <v>202</v>
      </c>
      <c r="J22" s="17" t="s">
        <v>203</v>
      </c>
      <c r="K22" s="17" t="s">
        <v>204</v>
      </c>
      <c r="AD22" s="22" t="s">
        <v>270</v>
      </c>
      <c r="AE22" s="22" t="s">
        <v>271</v>
      </c>
      <c r="AL22" s="22" t="s">
        <v>270</v>
      </c>
      <c r="AM22" s="22" t="s">
        <v>271</v>
      </c>
    </row>
    <row r="23" spans="2:16384" ht="16.5" x14ac:dyDescent="0.15">
      <c r="B23" s="11">
        <v>4</v>
      </c>
      <c r="C23" s="11">
        <v>50000</v>
      </c>
      <c r="D23" s="11">
        <v>4</v>
      </c>
      <c r="E23" s="11">
        <v>4</v>
      </c>
      <c r="F23" s="18">
        <v>58778.21</v>
      </c>
      <c r="G23" s="18">
        <v>229.6</v>
      </c>
      <c r="H23" s="18">
        <v>17.839500000000001</v>
      </c>
      <c r="I23" s="18">
        <v>1E-4</v>
      </c>
      <c r="J23" s="18">
        <v>1.1999999999999999E-3</v>
      </c>
      <c r="K23" s="18">
        <v>1E-4</v>
      </c>
      <c r="AD23" s="14">
        <v>4</v>
      </c>
      <c r="AE23" s="18">
        <v>58778.21</v>
      </c>
      <c r="AL23" s="14">
        <v>4</v>
      </c>
      <c r="AM23" s="18">
        <v>229.6</v>
      </c>
    </row>
    <row r="24" spans="2:16384" ht="16.5" x14ac:dyDescent="0.15">
      <c r="B24" s="11">
        <v>4</v>
      </c>
      <c r="C24" s="11">
        <v>50000</v>
      </c>
      <c r="D24" s="11">
        <v>4</v>
      </c>
      <c r="E24" s="11">
        <v>8</v>
      </c>
      <c r="F24" s="18">
        <v>30567.63</v>
      </c>
      <c r="G24" s="18">
        <v>238.81</v>
      </c>
      <c r="H24" s="18">
        <v>17.151700000000002</v>
      </c>
      <c r="I24" s="18">
        <v>1E-4</v>
      </c>
      <c r="J24" s="18">
        <v>1.1999999999999999E-3</v>
      </c>
      <c r="K24" s="18">
        <v>1E-4</v>
      </c>
      <c r="AD24" s="14">
        <v>8</v>
      </c>
      <c r="AE24" s="18">
        <v>30567.63</v>
      </c>
      <c r="AL24" s="14">
        <v>8</v>
      </c>
      <c r="AM24" s="18">
        <v>238.81</v>
      </c>
    </row>
    <row r="25" spans="2:16384" ht="16.5" x14ac:dyDescent="0.15">
      <c r="B25" s="11">
        <v>4</v>
      </c>
      <c r="C25" s="11">
        <v>50000</v>
      </c>
      <c r="D25" s="11">
        <v>8</v>
      </c>
      <c r="E25" s="11">
        <v>4</v>
      </c>
      <c r="F25" s="18">
        <v>59182.720000000001</v>
      </c>
      <c r="G25" s="18">
        <v>231.18</v>
      </c>
      <c r="H25" s="18">
        <v>35.435200000000002</v>
      </c>
      <c r="I25" s="18">
        <v>1E-4</v>
      </c>
      <c r="J25" s="18">
        <v>1.0699999999999999E-2</v>
      </c>
      <c r="K25" s="18">
        <v>1E-4</v>
      </c>
      <c r="AD25" s="14">
        <v>16</v>
      </c>
      <c r="AE25" s="18">
        <v>59182.720000000001</v>
      </c>
      <c r="AL25" s="14">
        <v>16</v>
      </c>
      <c r="AM25" s="18">
        <v>231.18</v>
      </c>
    </row>
    <row r="26" spans="2:16384" ht="16.5" x14ac:dyDescent="0.15">
      <c r="B26" s="11">
        <v>4</v>
      </c>
      <c r="C26" s="11">
        <v>50000</v>
      </c>
      <c r="D26" s="11">
        <v>8</v>
      </c>
      <c r="E26" s="11">
        <v>8</v>
      </c>
      <c r="F26" s="18">
        <v>29886.26</v>
      </c>
      <c r="G26" s="18">
        <v>233.49</v>
      </c>
      <c r="H26" s="18">
        <v>35.085599999999999</v>
      </c>
      <c r="I26" s="18">
        <v>1E-4</v>
      </c>
      <c r="J26" s="18">
        <v>5.5999999999999999E-3</v>
      </c>
      <c r="K26" s="18">
        <v>1E-4</v>
      </c>
      <c r="AD26" s="14">
        <v>32</v>
      </c>
      <c r="AE26" s="18">
        <v>29886.26</v>
      </c>
      <c r="AL26" s="14">
        <v>32</v>
      </c>
      <c r="AM26" s="18">
        <v>233.49</v>
      </c>
    </row>
    <row r="27" spans="2:16384" ht="16.5" x14ac:dyDescent="0.15">
      <c r="B27" s="11"/>
      <c r="C27" s="11"/>
      <c r="D27" s="11"/>
      <c r="E27" s="11"/>
      <c r="F27" s="18"/>
      <c r="G27" s="18"/>
      <c r="H27" s="18"/>
      <c r="I27" s="18"/>
      <c r="J27" s="18"/>
      <c r="K27" s="18"/>
    </row>
    <row r="28" spans="2:16384" ht="16.5" x14ac:dyDescent="0.15">
      <c r="B28" s="11"/>
      <c r="C28" s="11"/>
      <c r="D28" s="11"/>
      <c r="E28" s="11"/>
      <c r="F28" s="18"/>
      <c r="G28" s="18"/>
      <c r="H28" s="18"/>
      <c r="I28" s="18"/>
      <c r="J28" s="18"/>
      <c r="K28" s="18"/>
    </row>
    <row r="29" spans="2:16384" ht="17.25" x14ac:dyDescent="0.15">
      <c r="B29" s="4"/>
    </row>
    <row r="30" spans="2:16384" ht="17.25" x14ac:dyDescent="0.15">
      <c r="B30" s="4"/>
    </row>
    <row r="31" spans="2:16384" ht="17.25" x14ac:dyDescent="0.15">
      <c r="B31" s="4" t="s">
        <v>364</v>
      </c>
      <c r="C31" s="19"/>
      <c r="D31" s="19"/>
    </row>
    <row r="32" spans="2:16384" ht="17.25" x14ac:dyDescent="0.15">
      <c r="B32" s="4" t="s">
        <v>365</v>
      </c>
      <c r="C32" s="19"/>
      <c r="D32" s="19"/>
    </row>
    <row r="33" spans="2:13" ht="17.25" x14ac:dyDescent="0.15">
      <c r="B33" s="4"/>
      <c r="C33" s="19"/>
      <c r="D33" s="19"/>
    </row>
    <row r="34" spans="2:13" ht="17.25" x14ac:dyDescent="0.15">
      <c r="B34" s="4"/>
      <c r="C34" s="19"/>
      <c r="D34" s="19"/>
    </row>
    <row r="35" spans="2:13" ht="17.25" x14ac:dyDescent="0.15">
      <c r="B35" s="4" t="s">
        <v>366</v>
      </c>
      <c r="C35" s="19"/>
      <c r="D35" s="19"/>
    </row>
    <row r="36" spans="2:13" ht="17.25" x14ac:dyDescent="0.15">
      <c r="B36" s="4" t="s">
        <v>367</v>
      </c>
      <c r="C36" s="19"/>
      <c r="D36" s="19"/>
    </row>
    <row r="37" spans="2:13" ht="17.25" x14ac:dyDescent="0.15">
      <c r="B37" s="4"/>
      <c r="C37" s="19"/>
      <c r="D37" s="19"/>
    </row>
    <row r="38" spans="2:13" ht="15.75" x14ac:dyDescent="0.15">
      <c r="B38" s="19"/>
      <c r="C38" s="19"/>
      <c r="D38" s="19"/>
    </row>
    <row r="39" spans="2:13" ht="17.25" x14ac:dyDescent="0.15">
      <c r="B39" s="4" t="s">
        <v>357</v>
      </c>
      <c r="C39" s="19"/>
      <c r="D39" s="19"/>
    </row>
    <row r="40" spans="2:13" ht="15.75" x14ac:dyDescent="0.15">
      <c r="B40" s="19" t="s">
        <v>286</v>
      </c>
      <c r="C40" s="19"/>
      <c r="D40" s="19"/>
      <c r="I40" s="19" t="s">
        <v>287</v>
      </c>
      <c r="J40" s="19"/>
      <c r="K40" s="19"/>
      <c r="L40" s="19"/>
    </row>
    <row r="41" spans="2:13" ht="36" x14ac:dyDescent="0.15">
      <c r="B41" s="22" t="s">
        <v>272</v>
      </c>
      <c r="C41" s="21" t="s">
        <v>411</v>
      </c>
      <c r="D41" s="21" t="s">
        <v>412</v>
      </c>
      <c r="E41" s="26" t="s">
        <v>411</v>
      </c>
      <c r="F41" s="26" t="s">
        <v>412</v>
      </c>
      <c r="I41" s="22" t="s">
        <v>272</v>
      </c>
      <c r="J41" s="21" t="s">
        <v>413</v>
      </c>
      <c r="K41" s="21" t="s">
        <v>414</v>
      </c>
      <c r="L41" s="26" t="s">
        <v>415</v>
      </c>
      <c r="M41" s="26" t="s">
        <v>416</v>
      </c>
    </row>
    <row r="42" spans="2:13" ht="16.5" x14ac:dyDescent="0.15">
      <c r="B42" s="24" t="s">
        <v>282</v>
      </c>
      <c r="C42" s="18">
        <v>531823.94999999995</v>
      </c>
      <c r="D42" s="18">
        <v>58778.21</v>
      </c>
      <c r="E42" s="18">
        <v>531823.94999999995</v>
      </c>
      <c r="F42" s="18">
        <v>58778.21</v>
      </c>
      <c r="I42" s="24" t="s">
        <v>282</v>
      </c>
      <c r="J42" s="18">
        <v>2077.44</v>
      </c>
      <c r="K42" s="18">
        <v>229.6</v>
      </c>
      <c r="L42" s="18">
        <v>2077.44</v>
      </c>
      <c r="M42" s="18">
        <v>229.6</v>
      </c>
    </row>
    <row r="43" spans="2:13" ht="16.5" x14ac:dyDescent="0.15">
      <c r="B43" s="24" t="s">
        <v>283</v>
      </c>
      <c r="C43" s="18">
        <v>328783.89</v>
      </c>
      <c r="D43" s="18">
        <v>30567.63</v>
      </c>
      <c r="E43" s="18">
        <v>328783.89</v>
      </c>
      <c r="F43" s="18">
        <v>30567.63</v>
      </c>
      <c r="I43" s="24" t="s">
        <v>283</v>
      </c>
      <c r="J43" s="18">
        <v>2568.62</v>
      </c>
      <c r="K43" s="18">
        <v>238.81</v>
      </c>
      <c r="L43" s="18">
        <v>2568.62</v>
      </c>
      <c r="M43" s="18">
        <v>238.81</v>
      </c>
    </row>
    <row r="44" spans="2:13" ht="16.5" x14ac:dyDescent="0.15">
      <c r="B44" s="24" t="s">
        <v>284</v>
      </c>
      <c r="C44" s="18">
        <v>543861.01</v>
      </c>
      <c r="D44" s="18">
        <v>59182.720000000001</v>
      </c>
      <c r="E44" s="18">
        <v>543861.01</v>
      </c>
      <c r="F44" s="18">
        <v>59182.720000000001</v>
      </c>
      <c r="I44" s="24" t="s">
        <v>284</v>
      </c>
      <c r="J44" s="18">
        <v>2124.46</v>
      </c>
      <c r="K44" s="18">
        <v>231.18</v>
      </c>
      <c r="L44" s="18">
        <v>2124.46</v>
      </c>
      <c r="M44" s="18">
        <v>231.18</v>
      </c>
    </row>
    <row r="45" spans="2:13" ht="16.5" x14ac:dyDescent="0.15">
      <c r="B45" s="24" t="s">
        <v>285</v>
      </c>
      <c r="C45" s="18">
        <v>350874.56</v>
      </c>
      <c r="D45" s="18">
        <v>29886.26</v>
      </c>
      <c r="E45" s="18">
        <v>350874.56</v>
      </c>
      <c r="F45" s="18">
        <v>29886.26</v>
      </c>
      <c r="I45" s="24" t="s">
        <v>285</v>
      </c>
      <c r="J45" s="18">
        <v>2741.21</v>
      </c>
      <c r="K45" s="18">
        <v>233.49</v>
      </c>
      <c r="L45" s="18">
        <v>2741.21</v>
      </c>
      <c r="M45" s="18">
        <v>233.49</v>
      </c>
    </row>
  </sheetData>
  <mergeCells count="16">
    <mergeCell ref="I9:K9"/>
    <mergeCell ref="I21:K21"/>
    <mergeCell ref="B9:B10"/>
    <mergeCell ref="C9:C10"/>
    <mergeCell ref="E9:E10"/>
    <mergeCell ref="F9:F10"/>
    <mergeCell ref="G9:G10"/>
    <mergeCell ref="H9:H10"/>
    <mergeCell ref="B21:B22"/>
    <mergeCell ref="C21:C22"/>
    <mergeCell ref="E21:E22"/>
    <mergeCell ref="F21:F22"/>
    <mergeCell ref="G21:G22"/>
    <mergeCell ref="H21:H22"/>
    <mergeCell ref="D9:D10"/>
    <mergeCell ref="D21:D22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9"/>
  <sheetViews>
    <sheetView zoomScaleNormal="100" workbookViewId="0"/>
  </sheetViews>
  <sheetFormatPr defaultRowHeight="13.5" x14ac:dyDescent="0.15"/>
  <cols>
    <col min="1" max="1" width="0.625" customWidth="1"/>
    <col min="3" max="3" width="14.375" customWidth="1"/>
    <col min="4" max="4" width="10.25" customWidth="1"/>
    <col min="5" max="5" width="12.375" customWidth="1"/>
    <col min="6" max="6" width="12.875" customWidth="1"/>
    <col min="7" max="7" width="12.75" customWidth="1"/>
    <col min="8" max="12" width="12.5" bestFit="1" customWidth="1"/>
    <col min="13" max="13" width="11.25" bestFit="1" customWidth="1"/>
    <col min="15" max="15" width="11.25" bestFit="1" customWidth="1"/>
    <col min="17" max="17" width="11.25" bestFit="1" customWidth="1"/>
    <col min="18" max="18" width="12.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206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438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437</v>
      </c>
    </row>
    <row r="5" spans="2:16384" ht="17.25" x14ac:dyDescent="0.15">
      <c r="B5" s="4" t="s">
        <v>439</v>
      </c>
    </row>
    <row r="6" spans="2:16384" ht="17.25" x14ac:dyDescent="0.15">
      <c r="B6" s="4" t="s">
        <v>207</v>
      </c>
    </row>
    <row r="7" spans="2:16384" ht="17.25" x14ac:dyDescent="0.15">
      <c r="B7" s="4" t="s">
        <v>444</v>
      </c>
    </row>
    <row r="8" spans="2:16384" ht="17.25" x14ac:dyDescent="0.15">
      <c r="B8" s="4"/>
    </row>
    <row r="9" spans="2:16384" ht="17.25" x14ac:dyDescent="0.15">
      <c r="B9" s="4" t="s">
        <v>180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2:16384" ht="24" x14ac:dyDescent="0.15">
      <c r="B10" s="16" t="s">
        <v>187</v>
      </c>
      <c r="C10" s="16" t="s">
        <v>197</v>
      </c>
      <c r="D10" s="16" t="s">
        <v>200</v>
      </c>
      <c r="E10" s="16" t="s">
        <v>208</v>
      </c>
      <c r="F10" s="16" t="s">
        <v>209</v>
      </c>
      <c r="G10" s="16" t="s">
        <v>210</v>
      </c>
      <c r="H10" s="16" t="s">
        <v>211</v>
      </c>
      <c r="I10" s="16" t="s">
        <v>212</v>
      </c>
      <c r="J10" s="16" t="s">
        <v>213</v>
      </c>
      <c r="K10" s="16" t="s">
        <v>214</v>
      </c>
      <c r="L10" s="16" t="s">
        <v>215</v>
      </c>
      <c r="M10" s="16" t="s">
        <v>216</v>
      </c>
      <c r="N10" s="16" t="s">
        <v>217</v>
      </c>
      <c r="O10" s="16" t="s">
        <v>218</v>
      </c>
      <c r="P10" s="16" t="s">
        <v>219</v>
      </c>
      <c r="Q10" s="16" t="s">
        <v>220</v>
      </c>
      <c r="R10" s="16" t="s">
        <v>221</v>
      </c>
    </row>
    <row r="11" spans="2:16384" ht="16.5" x14ac:dyDescent="0.15">
      <c r="B11" s="14">
        <v>10</v>
      </c>
      <c r="C11" s="14">
        <v>32</v>
      </c>
      <c r="D11" s="14">
        <v>4</v>
      </c>
      <c r="E11" s="15">
        <f>717517.98/1024</f>
        <v>700.70115234374998</v>
      </c>
      <c r="F11" s="15">
        <f>770770.12/1024</f>
        <v>752.7051953125</v>
      </c>
      <c r="G11" s="15">
        <f>12820014.12/1024</f>
        <v>12519.545039062499</v>
      </c>
      <c r="H11" s="15">
        <f>13528235.06/1024</f>
        <v>13211.167050781251</v>
      </c>
      <c r="I11" s="15">
        <f>11913987.3/1024</f>
        <v>11634.753222656251</v>
      </c>
      <c r="J11" s="15">
        <f>10992198.27/1024</f>
        <v>10734.568623046875</v>
      </c>
      <c r="K11" s="15">
        <f>9792948.98/1024</f>
        <v>9563.4267382812504</v>
      </c>
      <c r="L11" s="15">
        <f>7222923.86/1024</f>
        <v>7053.6365820312503</v>
      </c>
      <c r="M11" s="15">
        <f>57184.58/1024</f>
        <v>55.844316406250002</v>
      </c>
      <c r="N11" s="15">
        <f>681754.92/1024</f>
        <v>665.77628906250004</v>
      </c>
      <c r="O11" s="15">
        <f>1129228.37/1024</f>
        <v>1102.7620800781251</v>
      </c>
      <c r="P11" s="15">
        <f>755191.64/1024</f>
        <v>737.49183593750001</v>
      </c>
      <c r="Q11" s="15">
        <f>5586861.53/1024</f>
        <v>5455.9194628906253</v>
      </c>
      <c r="R11" s="15">
        <f>26*60+0.249</f>
        <v>1560.249</v>
      </c>
    </row>
    <row r="12" spans="2:16384" ht="16.5" x14ac:dyDescent="0.15">
      <c r="B12" s="14">
        <v>10</v>
      </c>
      <c r="C12" s="14">
        <v>32</v>
      </c>
      <c r="D12" s="14">
        <v>8</v>
      </c>
      <c r="E12" s="15">
        <f>729744.89/1024</f>
        <v>712.64149414062501</v>
      </c>
      <c r="F12" s="15">
        <f>733644.72/1024</f>
        <v>716.44992187499997</v>
      </c>
      <c r="G12" s="15">
        <f>13768741.06/1024</f>
        <v>13446.036191406251</v>
      </c>
      <c r="H12" s="15">
        <f>13451927.75/1024</f>
        <v>13136.648193359375</v>
      </c>
      <c r="I12" s="15">
        <f>10584402.02/1024</f>
        <v>10336.33009765625</v>
      </c>
      <c r="J12" s="15">
        <f>10762693.25/1024</f>
        <v>10510.442626953125</v>
      </c>
      <c r="K12" s="15">
        <f>9632201.13/1024</f>
        <v>9406.4464160156258</v>
      </c>
      <c r="L12" s="15">
        <f>7337394.97/1024</f>
        <v>7165.4247753906247</v>
      </c>
      <c r="M12" s="15">
        <f>98008.98/1024</f>
        <v>95.711894531249996</v>
      </c>
      <c r="N12" s="15">
        <f>686534.06/1024</f>
        <v>670.44341796875005</v>
      </c>
      <c r="O12" s="15">
        <f>1143321.46/1024</f>
        <v>1116.52486328125</v>
      </c>
      <c r="P12" s="15">
        <f>764220.55/1024</f>
        <v>746.30913085937505</v>
      </c>
      <c r="Q12" s="15">
        <f>7008748.48/1024</f>
        <v>6844.4809375000004</v>
      </c>
      <c r="R12" s="15">
        <f>18*60+16.531</f>
        <v>1096.5309999999999</v>
      </c>
    </row>
    <row r="13" spans="2:16384" ht="16.5" x14ac:dyDescent="0.15">
      <c r="B13" s="14">
        <v>10</v>
      </c>
      <c r="C13" s="14">
        <v>32</v>
      </c>
      <c r="D13" s="14">
        <v>16</v>
      </c>
      <c r="E13" s="15">
        <f>736431.07/1024</f>
        <v>719.17096679687495</v>
      </c>
      <c r="F13" s="15">
        <f>774654.82/1024</f>
        <v>756.49884765624995</v>
      </c>
      <c r="G13" s="15">
        <f>12913288.25/1024</f>
        <v>12610.633056640625</v>
      </c>
      <c r="H13" s="15">
        <f>13404913/1024</f>
        <v>13090.7353515625</v>
      </c>
      <c r="I13" s="15">
        <f>9731841.5/1024</f>
        <v>9503.75146484375</v>
      </c>
      <c r="J13" s="15">
        <f>9962435.41/1024</f>
        <v>9728.9408300781251</v>
      </c>
      <c r="K13" s="15">
        <f>8999919/1024</f>
        <v>8788.9833984375</v>
      </c>
      <c r="L13" s="15">
        <f>1648169.24/1024</f>
        <v>1609.5402734375</v>
      </c>
      <c r="M13" s="15">
        <f>158213.2/1024</f>
        <v>154.50507812500001</v>
      </c>
      <c r="N13" s="15">
        <f>723746.57/1024</f>
        <v>706.78375976562495</v>
      </c>
      <c r="O13" s="15">
        <f>1595101.55/1024</f>
        <v>1557.716357421875</v>
      </c>
      <c r="P13" s="15">
        <f>742138.34/1024</f>
        <v>724.74447265624997</v>
      </c>
      <c r="Q13" s="15">
        <f>5880790.89/1024</f>
        <v>5742.9598535156247</v>
      </c>
      <c r="R13" s="15">
        <f>13*60+59.051</f>
        <v>839.05100000000004</v>
      </c>
    </row>
    <row r="14" spans="2:16384" ht="16.5" x14ac:dyDescent="0.15">
      <c r="B14" s="14">
        <v>10</v>
      </c>
      <c r="C14" s="14">
        <v>32</v>
      </c>
      <c r="D14" s="14">
        <v>32</v>
      </c>
      <c r="E14" s="15">
        <f>731349.26/1024</f>
        <v>714.20826171875001</v>
      </c>
      <c r="F14" s="15">
        <f>747618.65/1024</f>
        <v>730.09633789062502</v>
      </c>
      <c r="G14" s="15">
        <f>13241986.19/1024</f>
        <v>12931.627138671874</v>
      </c>
      <c r="H14" s="15">
        <f>12542399.88/1024</f>
        <v>12248.437382812501</v>
      </c>
      <c r="I14" s="15">
        <f>10807816.29/1024</f>
        <v>10554.508095703124</v>
      </c>
      <c r="J14" s="15">
        <f>11253544.9/1024</f>
        <v>10989.78994140625</v>
      </c>
      <c r="K14" s="15">
        <f>10972820.45/1024</f>
        <v>10715.644970703124</v>
      </c>
      <c r="L14" s="15">
        <f>6880143.42/1024</f>
        <v>6718.8900585937499</v>
      </c>
      <c r="M14" s="15">
        <f>234398.64/1024</f>
        <v>228.90492187500001</v>
      </c>
      <c r="N14" s="15">
        <f>719568.82/1024</f>
        <v>702.70392578124995</v>
      </c>
      <c r="O14" s="15">
        <f>905673.74/1024</f>
        <v>884.44701171874999</v>
      </c>
      <c r="P14" s="15">
        <f>811774.36/1024</f>
        <v>792.74839843749999</v>
      </c>
      <c r="Q14" s="15">
        <f>3906109.78/1024</f>
        <v>3814.5603320312498</v>
      </c>
      <c r="R14" s="15">
        <f>11*60+50.959</f>
        <v>710.95900000000006</v>
      </c>
    </row>
    <row r="15" spans="2:16384" ht="16.5" x14ac:dyDescent="0.15">
      <c r="B15" s="14">
        <v>10</v>
      </c>
      <c r="C15" s="14">
        <v>64</v>
      </c>
      <c r="D15" s="14">
        <v>4</v>
      </c>
      <c r="E15" s="15">
        <f>508497.83/1024</f>
        <v>496.57991210937502</v>
      </c>
      <c r="F15" s="15">
        <f>502605.22/1024</f>
        <v>490.82541015624997</v>
      </c>
      <c r="G15" s="15">
        <f>700785.42/1024</f>
        <v>684.36076171875004</v>
      </c>
      <c r="H15" s="15">
        <f>5187494.66/1024</f>
        <v>5065.9127539062501</v>
      </c>
      <c r="I15" s="15">
        <f>4113058.6/1024</f>
        <v>4016.6587890625001</v>
      </c>
      <c r="J15" s="15">
        <f>3212127.49/1024</f>
        <v>3136.8432519531252</v>
      </c>
      <c r="K15" s="15">
        <f>2547133.89/1024</f>
        <v>2487.4354394531251</v>
      </c>
      <c r="L15" s="15">
        <f>59481.11/1024</f>
        <v>58.087021484375001</v>
      </c>
      <c r="M15" s="15">
        <f>23256.03/1024</f>
        <v>22.710966796874999</v>
      </c>
      <c r="N15" s="15">
        <f>507440.29/1024</f>
        <v>495.54715820312498</v>
      </c>
      <c r="O15" s="15">
        <f>609917.22/1024</f>
        <v>595.62228515624997</v>
      </c>
      <c r="P15" s="15">
        <f>513197.67/1024</f>
        <v>501.16959960937498</v>
      </c>
      <c r="Q15" s="15">
        <f>286188.02/1024</f>
        <v>279.48048828125002</v>
      </c>
      <c r="R15" s="15">
        <f>96*60+56.913</f>
        <v>5816.9129999999996</v>
      </c>
    </row>
    <row r="16" spans="2:16384" ht="16.5" x14ac:dyDescent="0.15">
      <c r="B16" s="14">
        <v>10</v>
      </c>
      <c r="C16" s="14">
        <v>64</v>
      </c>
      <c r="D16" s="14">
        <v>8</v>
      </c>
      <c r="E16" s="15">
        <f>507578/1024</f>
        <v>495.681640625</v>
      </c>
      <c r="F16" s="15">
        <f>506786.1/1024</f>
        <v>494.90830078124998</v>
      </c>
      <c r="G16" s="15">
        <f>252303.97/1024</f>
        <v>246.390595703125</v>
      </c>
      <c r="H16" s="15">
        <f>251533.24/1024</f>
        <v>245.63792968749999</v>
      </c>
      <c r="I16" s="15">
        <f>81857.97/1024</f>
        <v>79.939423828125001</v>
      </c>
      <c r="J16" s="15">
        <f>19726.4/1024</f>
        <v>19.264062500000001</v>
      </c>
      <c r="K16" s="15">
        <f>11421.91/1024</f>
        <v>11.154208984375</v>
      </c>
      <c r="L16" s="15">
        <f>99879.2/1024</f>
        <v>97.538281249999997</v>
      </c>
      <c r="M16" s="15">
        <f>41156.14/1024</f>
        <v>40.191542968749999</v>
      </c>
      <c r="N16" s="15">
        <f>507084.92/1024</f>
        <v>495.20011718749998</v>
      </c>
      <c r="O16" s="15">
        <f>254880.74/1024</f>
        <v>248.90697265624999</v>
      </c>
      <c r="P16" s="15">
        <f>508316.33/1024</f>
        <v>496.40266601562502</v>
      </c>
      <c r="Q16" s="15">
        <f>275134.97/1024</f>
        <v>268.68649414062497</v>
      </c>
      <c r="R16" s="15">
        <f>167*60+45.453</f>
        <v>10065.453</v>
      </c>
    </row>
    <row r="17" spans="2:18" ht="16.5" x14ac:dyDescent="0.15">
      <c r="B17" s="14">
        <v>10</v>
      </c>
      <c r="C17" s="14">
        <v>64</v>
      </c>
      <c r="D17" s="14">
        <v>16</v>
      </c>
      <c r="E17" s="15">
        <f>505232.49/1024</f>
        <v>493.39110351562499</v>
      </c>
      <c r="F17" s="15">
        <f>503948.72/1024</f>
        <v>492.13742187499997</v>
      </c>
      <c r="G17" s="15">
        <f>255670.76/1024</f>
        <v>249.67847656250001</v>
      </c>
      <c r="H17" s="15">
        <f>264181.02/1024</f>
        <v>257.98927734375002</v>
      </c>
      <c r="I17" s="15">
        <f>118191.1/1024</f>
        <v>115.42099609375001</v>
      </c>
      <c r="J17" s="15">
        <f>30668.7/1024</f>
        <v>29.949902343750001</v>
      </c>
      <c r="K17" s="15">
        <f>22261.98/1024</f>
        <v>21.74021484375</v>
      </c>
      <c r="L17" s="15">
        <f>156777.16/1024</f>
        <v>153.1026953125</v>
      </c>
      <c r="M17" s="15">
        <f>69098.84/1024</f>
        <v>67.479335937499997</v>
      </c>
      <c r="N17" s="15">
        <f>506353.69/1024</f>
        <v>494.486025390625</v>
      </c>
      <c r="O17" s="15">
        <f>258099.16/1024</f>
        <v>252.0499609375</v>
      </c>
      <c r="P17" s="15">
        <f>512604.05/1024</f>
        <v>500.58989257812499</v>
      </c>
      <c r="Q17" s="15">
        <f>269330.7/1024</f>
        <v>263.01826171875001</v>
      </c>
      <c r="R17" s="15">
        <f>109*60+1.998</f>
        <v>6541.9979999999996</v>
      </c>
    </row>
    <row r="18" spans="2:18" ht="16.5" x14ac:dyDescent="0.15">
      <c r="B18" s="14">
        <v>8</v>
      </c>
      <c r="C18" s="14">
        <v>8</v>
      </c>
      <c r="D18" s="14">
        <v>4</v>
      </c>
      <c r="E18" s="15">
        <f>5665439.12/1024</f>
        <v>5532.6553906250001</v>
      </c>
      <c r="F18" s="15">
        <f>5910071.56/1024</f>
        <v>5771.5542578124996</v>
      </c>
      <c r="G18" s="15">
        <f>14041028/1024</f>
        <v>13711.94140625</v>
      </c>
      <c r="H18" s="15">
        <f>13400264.38/1024</f>
        <v>13086.195683593751</v>
      </c>
      <c r="I18" s="15">
        <f>13505134.25/1024</f>
        <v>13188.607666015625</v>
      </c>
      <c r="J18" s="15">
        <f>12275046.88/1024</f>
        <v>11987.350468750001</v>
      </c>
      <c r="K18" s="15">
        <f>12410824.88/1024</f>
        <v>12119.946171875001</v>
      </c>
      <c r="L18" s="15">
        <f>8052438.44/1024</f>
        <v>7863.7094140625004</v>
      </c>
      <c r="M18" s="15">
        <f>5772204.5/1024</f>
        <v>5636.91845703125</v>
      </c>
      <c r="N18" s="15"/>
      <c r="O18" s="15"/>
      <c r="P18" s="15"/>
      <c r="Q18" s="15"/>
      <c r="R18" s="15"/>
    </row>
    <row r="19" spans="2:18" ht="16.5" x14ac:dyDescent="0.15">
      <c r="B19" s="14">
        <v>8</v>
      </c>
      <c r="C19" s="14">
        <v>8</v>
      </c>
      <c r="D19" s="14">
        <v>8</v>
      </c>
      <c r="E19" s="15">
        <f>5631311.56/1024</f>
        <v>5499.3276953124996</v>
      </c>
      <c r="F19" s="15">
        <f>5784351.81/1024</f>
        <v>5648.7810644531246</v>
      </c>
      <c r="G19" s="15">
        <f>13876142.62/1024</f>
        <v>13550.920527343749</v>
      </c>
      <c r="H19" s="15">
        <f>14400874.5/1024</f>
        <v>14063.35400390625</v>
      </c>
      <c r="I19" s="15">
        <f>14430515.5/1024</f>
        <v>14092.30029296875</v>
      </c>
      <c r="J19" s="15">
        <f>13630507/1024</f>
        <v>13311.0419921875</v>
      </c>
      <c r="K19" s="15">
        <f>13567150.88/1024</f>
        <v>13249.170781250001</v>
      </c>
      <c r="L19" s="15">
        <f>8221867.5/1024</f>
        <v>8029.16748046875</v>
      </c>
      <c r="M19" s="15">
        <f>5908528.81/1024</f>
        <v>5770.0476660156246</v>
      </c>
      <c r="N19" s="15"/>
      <c r="O19" s="15"/>
      <c r="P19" s="15"/>
      <c r="Q19" s="15"/>
      <c r="R19" s="15"/>
    </row>
    <row r="20" spans="2:18" ht="16.5" x14ac:dyDescent="0.15">
      <c r="B20" s="14">
        <v>8</v>
      </c>
      <c r="C20" s="14">
        <v>8</v>
      </c>
      <c r="D20" s="14">
        <v>16</v>
      </c>
      <c r="E20" s="15">
        <f>5623500.56/1024</f>
        <v>5491.6997656249996</v>
      </c>
      <c r="F20" s="15">
        <f>5541531.56/1024</f>
        <v>5411.6519140624996</v>
      </c>
      <c r="G20" s="15">
        <f>14351754.88/1024</f>
        <v>14015.385625000001</v>
      </c>
      <c r="H20" s="15">
        <f>14412775.75/1024</f>
        <v>14074.976318359375</v>
      </c>
      <c r="I20" s="15">
        <f>14261149/1024</f>
        <v>13926.9033203125</v>
      </c>
      <c r="J20" s="15">
        <f>13857106.88/1024</f>
        <v>13532.330937500001</v>
      </c>
      <c r="K20" s="15">
        <f>13685791.38/1024</f>
        <v>13365.030644531251</v>
      </c>
      <c r="L20" s="15">
        <f>8060696.38/1024</f>
        <v>7871.7738085937499</v>
      </c>
      <c r="M20" s="15">
        <f>5530110.44/1024</f>
        <v>5400.4984765625004</v>
      </c>
      <c r="N20" s="15"/>
      <c r="O20" s="15"/>
      <c r="P20" s="15"/>
      <c r="Q20" s="15"/>
      <c r="R20" s="15"/>
    </row>
    <row r="21" spans="2:18" ht="16.5" x14ac:dyDescent="0.15">
      <c r="B21" s="14">
        <v>8</v>
      </c>
      <c r="C21" s="14">
        <v>8</v>
      </c>
      <c r="D21" s="14">
        <v>32</v>
      </c>
      <c r="E21" s="15">
        <f>5686307.81/1024</f>
        <v>5553.0349707031246</v>
      </c>
      <c r="F21" s="15">
        <f>5596978.94/1024</f>
        <v>5465.7997460937504</v>
      </c>
      <c r="G21" s="15">
        <f>14434193.25/1024</f>
        <v>14095.891845703125</v>
      </c>
      <c r="H21" s="15">
        <f>14464867.62/1024</f>
        <v>14125.847285156249</v>
      </c>
      <c r="I21" s="15">
        <f>14785881.88/1024</f>
        <v>14439.337773437501</v>
      </c>
      <c r="J21" s="15">
        <f>14220613.5/1024</f>
        <v>13887.31787109375</v>
      </c>
      <c r="K21" s="15">
        <f>14095790/1024</f>
        <v>13765.419921875</v>
      </c>
      <c r="L21" s="15">
        <f>8022553.88/1024</f>
        <v>7834.5252734374999</v>
      </c>
      <c r="M21" s="15">
        <f>5606249.88/1024</f>
        <v>5474.8533984374999</v>
      </c>
      <c r="N21" s="15"/>
      <c r="O21" s="15"/>
      <c r="P21" s="15"/>
      <c r="Q21" s="15"/>
      <c r="R21" s="15"/>
    </row>
    <row r="22" spans="2:18" ht="16.5" x14ac:dyDescent="0.15">
      <c r="B22" s="14">
        <v>8</v>
      </c>
      <c r="C22" s="14">
        <v>8</v>
      </c>
      <c r="D22" s="14">
        <v>64</v>
      </c>
      <c r="E22" s="15">
        <f>5782355.38/1024</f>
        <v>5646.8314257812499</v>
      </c>
      <c r="F22" s="15">
        <f>5857143.25/1024</f>
        <v>5719.866455078125</v>
      </c>
      <c r="G22" s="15">
        <f>14489577.88/1024</f>
        <v>14149.978398437501</v>
      </c>
      <c r="H22" s="15">
        <f>14291389.5/1024</f>
        <v>13956.43505859375</v>
      </c>
      <c r="I22" s="15">
        <f>14389272.12/1024</f>
        <v>14052.023554687499</v>
      </c>
      <c r="J22" s="15">
        <f>14342933.25/1024</f>
        <v>14006.770751953125</v>
      </c>
      <c r="K22" s="15">
        <f>14233544.62/1024</f>
        <v>13899.945917968749</v>
      </c>
      <c r="L22" s="15">
        <f>11327572.81/1024</f>
        <v>11062.082822265626</v>
      </c>
      <c r="M22" s="15">
        <f>5929866.88/1024</f>
        <v>5790.8856249999999</v>
      </c>
      <c r="N22" s="15"/>
      <c r="O22" s="15"/>
      <c r="P22" s="15"/>
      <c r="Q22" s="15"/>
      <c r="R22" s="15"/>
    </row>
    <row r="23" spans="2:18" ht="16.5" x14ac:dyDescent="0.15">
      <c r="B23" s="14"/>
      <c r="C23" s="14"/>
      <c r="D23" s="14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</row>
    <row r="24" spans="2:18" ht="16.5" x14ac:dyDescent="0.15">
      <c r="B24" s="14"/>
      <c r="C24" s="14"/>
      <c r="D24" s="14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</row>
    <row r="25" spans="2:18" s="13" customFormat="1" ht="17.25" x14ac:dyDescent="0.15">
      <c r="B25" s="4"/>
    </row>
    <row r="26" spans="2:18" s="13" customFormat="1" ht="17.25" x14ac:dyDescent="0.15">
      <c r="B26" s="4"/>
    </row>
    <row r="27" spans="2:18" s="13" customFormat="1" ht="17.25" x14ac:dyDescent="0.15">
      <c r="B27" s="4"/>
    </row>
    <row r="28" spans="2:18" s="13" customFormat="1" ht="17.25" x14ac:dyDescent="0.15">
      <c r="B28" s="4" t="s">
        <v>368</v>
      </c>
    </row>
    <row r="29" spans="2:18" s="13" customFormat="1" ht="17.25" x14ac:dyDescent="0.15">
      <c r="B29" s="4" t="s">
        <v>369</v>
      </c>
    </row>
    <row r="30" spans="2:18" s="13" customFormat="1" ht="17.25" x14ac:dyDescent="0.15">
      <c r="B30" s="4"/>
    </row>
    <row r="31" spans="2:18" s="13" customFormat="1" ht="17.25" x14ac:dyDescent="0.15">
      <c r="B31" s="4"/>
    </row>
    <row r="32" spans="2:18" s="13" customFormat="1" ht="17.25" x14ac:dyDescent="0.15">
      <c r="B32" s="4" t="s">
        <v>357</v>
      </c>
    </row>
    <row r="33" spans="2:15" ht="15.75" x14ac:dyDescent="0.15">
      <c r="B33" s="19" t="s">
        <v>428</v>
      </c>
    </row>
    <row r="34" spans="2:15" ht="24" x14ac:dyDescent="0.15">
      <c r="B34" s="22" t="s">
        <v>272</v>
      </c>
      <c r="C34" s="21" t="s">
        <v>208</v>
      </c>
      <c r="D34" s="21" t="s">
        <v>209</v>
      </c>
      <c r="E34" s="21" t="s">
        <v>210</v>
      </c>
      <c r="F34" s="21" t="s">
        <v>211</v>
      </c>
      <c r="G34" s="21" t="s">
        <v>212</v>
      </c>
      <c r="H34" s="21" t="s">
        <v>213</v>
      </c>
      <c r="I34" s="21" t="s">
        <v>214</v>
      </c>
      <c r="J34" s="21" t="s">
        <v>215</v>
      </c>
      <c r="K34" s="21" t="s">
        <v>216</v>
      </c>
      <c r="L34" s="21" t="s">
        <v>217</v>
      </c>
      <c r="M34" s="21" t="s">
        <v>218</v>
      </c>
      <c r="N34" s="21" t="s">
        <v>219</v>
      </c>
      <c r="O34" s="21" t="s">
        <v>220</v>
      </c>
    </row>
    <row r="35" spans="2:15" ht="16.5" x14ac:dyDescent="0.15">
      <c r="B35" s="24" t="s">
        <v>277</v>
      </c>
      <c r="C35" s="15">
        <f>5665439.12/1024</f>
        <v>5532.6553906250001</v>
      </c>
      <c r="D35" s="15">
        <f>5910071.56/1024</f>
        <v>5771.5542578124996</v>
      </c>
      <c r="E35" s="15">
        <f>14041028/1024</f>
        <v>13711.94140625</v>
      </c>
      <c r="F35" s="15">
        <f>13400264.38/1024</f>
        <v>13086.195683593751</v>
      </c>
      <c r="G35" s="15">
        <f>13505134.25/1024</f>
        <v>13188.607666015625</v>
      </c>
      <c r="H35" s="15">
        <f>12275046.88/1024</f>
        <v>11987.350468750001</v>
      </c>
      <c r="I35" s="15">
        <f>12410824.88/1024</f>
        <v>12119.946171875001</v>
      </c>
      <c r="J35" s="15">
        <f>8052438.44/1024</f>
        <v>7863.7094140625004</v>
      </c>
      <c r="K35" s="15">
        <f>5772204.5/1024</f>
        <v>5636.91845703125</v>
      </c>
      <c r="L35" s="15">
        <f>681754.92/1024</f>
        <v>665.77628906250004</v>
      </c>
      <c r="M35" s="15">
        <f>1129228.37/1024</f>
        <v>1102.7620800781251</v>
      </c>
      <c r="N35" s="15">
        <f>755191.64/1024</f>
        <v>737.49183593750001</v>
      </c>
      <c r="O35" s="15">
        <f>5586861.53/1024</f>
        <v>5455.9194628906253</v>
      </c>
    </row>
    <row r="36" spans="2:15" ht="16.5" x14ac:dyDescent="0.15">
      <c r="B36" s="24" t="s">
        <v>278</v>
      </c>
      <c r="C36" s="15">
        <f>5631311.56/1024</f>
        <v>5499.3276953124996</v>
      </c>
      <c r="D36" s="15">
        <f>5784351.81/1024</f>
        <v>5648.7810644531246</v>
      </c>
      <c r="E36" s="15">
        <f>13876142.62/1024</f>
        <v>13550.920527343749</v>
      </c>
      <c r="F36" s="15">
        <f>14400874.5/1024</f>
        <v>14063.35400390625</v>
      </c>
      <c r="G36" s="15">
        <f>14430515.5/1024</f>
        <v>14092.30029296875</v>
      </c>
      <c r="H36" s="15">
        <f>13630507/1024</f>
        <v>13311.0419921875</v>
      </c>
      <c r="I36" s="15">
        <f>13567150.88/1024</f>
        <v>13249.170781250001</v>
      </c>
      <c r="J36" s="15">
        <f>8221867.5/1024</f>
        <v>8029.16748046875</v>
      </c>
      <c r="K36" s="15">
        <f>5908528.81/1024</f>
        <v>5770.0476660156246</v>
      </c>
      <c r="L36" s="15">
        <f>686534.06/1024</f>
        <v>670.44341796875005</v>
      </c>
      <c r="M36" s="15">
        <f>1143321.46/1024</f>
        <v>1116.52486328125</v>
      </c>
      <c r="N36" s="15">
        <f>764220.55/1024</f>
        <v>746.30913085937505</v>
      </c>
      <c r="O36" s="15">
        <f>7008748.48/1024</f>
        <v>6844.4809375000004</v>
      </c>
    </row>
    <row r="37" spans="2:15" ht="16.5" x14ac:dyDescent="0.15">
      <c r="B37" s="24" t="s">
        <v>279</v>
      </c>
      <c r="C37" s="15">
        <f>5623500.56/1024</f>
        <v>5491.6997656249996</v>
      </c>
      <c r="D37" s="15">
        <f>5541531.56/1024</f>
        <v>5411.6519140624996</v>
      </c>
      <c r="E37" s="15">
        <f>14351754.88/1024</f>
        <v>14015.385625000001</v>
      </c>
      <c r="F37" s="15">
        <f>14412775.75/1024</f>
        <v>14074.976318359375</v>
      </c>
      <c r="G37" s="15">
        <f>14261149/1024</f>
        <v>13926.9033203125</v>
      </c>
      <c r="H37" s="15">
        <f>13857106.88/1024</f>
        <v>13532.330937500001</v>
      </c>
      <c r="I37" s="15">
        <f>13685791.38/1024</f>
        <v>13365.030644531251</v>
      </c>
      <c r="J37" s="15">
        <f>8060696.38/1024</f>
        <v>7871.7738085937499</v>
      </c>
      <c r="K37" s="15">
        <f>5530110.44/1024</f>
        <v>5400.4984765625004</v>
      </c>
      <c r="L37" s="15">
        <f>723746.57/1024</f>
        <v>706.78375976562495</v>
      </c>
      <c r="M37" s="15">
        <f>1595101.55/1024</f>
        <v>1557.716357421875</v>
      </c>
      <c r="N37" s="15">
        <f>742138.34/1024</f>
        <v>724.74447265624997</v>
      </c>
      <c r="O37" s="15">
        <f>5880790.89/1024</f>
        <v>5742.9598535156247</v>
      </c>
    </row>
    <row r="38" spans="2:15" ht="16.5" x14ac:dyDescent="0.15">
      <c r="B38" s="24" t="s">
        <v>280</v>
      </c>
      <c r="C38" s="15">
        <f>5686307.81/1024</f>
        <v>5553.0349707031246</v>
      </c>
      <c r="D38" s="15">
        <f>5596978.94/1024</f>
        <v>5465.7997460937504</v>
      </c>
      <c r="E38" s="15">
        <f>14434193.25/1024</f>
        <v>14095.891845703125</v>
      </c>
      <c r="F38" s="15">
        <f>14464867.62/1024</f>
        <v>14125.847285156249</v>
      </c>
      <c r="G38" s="15">
        <f>14785881.88/1024</f>
        <v>14439.337773437501</v>
      </c>
      <c r="H38" s="15">
        <f>14220613.5/1024</f>
        <v>13887.31787109375</v>
      </c>
      <c r="I38" s="15">
        <f>14095790/1024</f>
        <v>13765.419921875</v>
      </c>
      <c r="J38" s="15">
        <f>8022553.88/1024</f>
        <v>7834.5252734374999</v>
      </c>
      <c r="K38" s="15">
        <f>5606249.88/1024</f>
        <v>5474.8533984374999</v>
      </c>
      <c r="L38" s="15">
        <f>719568.82/1024</f>
        <v>702.70392578124995</v>
      </c>
      <c r="M38" s="15">
        <f>905673.74/1024</f>
        <v>884.44701171874999</v>
      </c>
      <c r="N38" s="15">
        <f>811774.36/1024</f>
        <v>792.74839843749999</v>
      </c>
      <c r="O38" s="15">
        <f>3906109.78/1024</f>
        <v>3814.5603320312498</v>
      </c>
    </row>
    <row r="39" spans="2:15" ht="16.5" x14ac:dyDescent="0.15">
      <c r="B39" s="24" t="s">
        <v>281</v>
      </c>
      <c r="C39" s="15">
        <f>5782355.38/1024</f>
        <v>5646.8314257812499</v>
      </c>
      <c r="D39" s="15">
        <f>5857143.25/1024</f>
        <v>5719.866455078125</v>
      </c>
      <c r="E39" s="15">
        <f>14489577.88/1024</f>
        <v>14149.978398437501</v>
      </c>
      <c r="F39" s="15">
        <f>14291389.5/1024</f>
        <v>13956.43505859375</v>
      </c>
      <c r="G39" s="15">
        <f>14389272.12/1024</f>
        <v>14052.023554687499</v>
      </c>
      <c r="H39" s="15">
        <f>14342933.25/1024</f>
        <v>14006.770751953125</v>
      </c>
      <c r="I39" s="15">
        <f>14233544.62/1024</f>
        <v>13899.945917968749</v>
      </c>
      <c r="J39" s="15">
        <f>11327572.81/1024</f>
        <v>11062.082822265626</v>
      </c>
      <c r="K39" s="15">
        <f>5929866.88/1024</f>
        <v>5790.8856249999999</v>
      </c>
      <c r="L39" s="15">
        <f>507440.29/1024</f>
        <v>495.54715820312498</v>
      </c>
      <c r="M39" s="15">
        <f>609917.22/1024</f>
        <v>595.62228515624997</v>
      </c>
      <c r="N39" s="15">
        <f>513197.67/1024</f>
        <v>501.16959960937498</v>
      </c>
      <c r="O39" s="15">
        <f>286188.02/1024</f>
        <v>279.48048828125002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D35"/>
  <sheetViews>
    <sheetView workbookViewId="0"/>
  </sheetViews>
  <sheetFormatPr defaultRowHeight="13.5" x14ac:dyDescent="0.15"/>
  <cols>
    <col min="1" max="1" width="0.625" customWidth="1"/>
    <col min="3" max="4" width="10.625" bestFit="1" customWidth="1"/>
    <col min="5" max="5" width="11.875" bestFit="1" customWidth="1"/>
    <col min="6" max="7" width="14.75" bestFit="1" customWidth="1"/>
    <col min="8" max="8" width="17.25" bestFit="1" customWidth="1"/>
    <col min="9" max="9" width="8.5" bestFit="1" customWidth="1"/>
  </cols>
  <sheetData>
    <row r="1" spans="2:16384" ht="17.25" x14ac:dyDescent="0.15">
      <c r="B1" s="4" t="s">
        <v>352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2:16384" ht="17.25" x14ac:dyDescent="0.15">
      <c r="B2" s="4" t="s">
        <v>195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2:16384" ht="17.25" x14ac:dyDescent="0.15">
      <c r="B3" s="4" t="s">
        <v>440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2:16384" ht="17.25" x14ac:dyDescent="0.15">
      <c r="B4" s="4" t="s">
        <v>441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2:16384" ht="17.25" x14ac:dyDescent="0.15">
      <c r="B5" s="4" t="s">
        <v>439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2:16384" ht="17.25" x14ac:dyDescent="0.15">
      <c r="B6" s="4" t="s">
        <v>205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2:16384" ht="17.25" x14ac:dyDescent="0.15">
      <c r="B7" s="4" t="s">
        <v>444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2:16384" ht="17.25" x14ac:dyDescent="0.15">
      <c r="B8" s="4"/>
    </row>
    <row r="9" spans="2:16384" ht="17.25" x14ac:dyDescent="0.15">
      <c r="B9" s="4" t="s">
        <v>180</v>
      </c>
    </row>
    <row r="10" spans="2:16384" ht="17.25" x14ac:dyDescent="0.15">
      <c r="B10" s="30" t="s">
        <v>196</v>
      </c>
      <c r="C10" s="30" t="s">
        <v>236</v>
      </c>
      <c r="D10" s="30" t="s">
        <v>234</v>
      </c>
      <c r="E10" s="30" t="s">
        <v>235</v>
      </c>
      <c r="F10" s="30" t="s">
        <v>197</v>
      </c>
      <c r="G10" s="30" t="s">
        <v>200</v>
      </c>
      <c r="H10" s="30" t="s">
        <v>198</v>
      </c>
      <c r="I10" s="30" t="s">
        <v>199</v>
      </c>
      <c r="J10" s="30" t="s">
        <v>201</v>
      </c>
      <c r="K10" s="30"/>
      <c r="L10" s="3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spans="2:16384" ht="24" customHeight="1" x14ac:dyDescent="0.15">
      <c r="B11" s="30"/>
      <c r="C11" s="30"/>
      <c r="D11" s="30"/>
      <c r="E11" s="30"/>
      <c r="F11" s="30"/>
      <c r="G11" s="30"/>
      <c r="H11" s="30"/>
      <c r="I11" s="30"/>
      <c r="J11" s="17" t="s">
        <v>202</v>
      </c>
      <c r="K11" s="17" t="s">
        <v>203</v>
      </c>
      <c r="L11" s="17" t="s">
        <v>204</v>
      </c>
    </row>
    <row r="12" spans="2:16384" ht="16.5" x14ac:dyDescent="0.15">
      <c r="B12" s="14">
        <v>4</v>
      </c>
      <c r="C12" s="14" t="s">
        <v>288</v>
      </c>
      <c r="D12" s="14">
        <v>1000</v>
      </c>
      <c r="E12" s="14">
        <v>10</v>
      </c>
      <c r="F12" s="14">
        <v>4</v>
      </c>
      <c r="G12" s="14">
        <v>4</v>
      </c>
      <c r="H12" s="18">
        <v>5.2507000000000001</v>
      </c>
      <c r="I12" s="18">
        <v>0.74399999999999999</v>
      </c>
      <c r="J12" s="18">
        <v>0</v>
      </c>
      <c r="K12" s="18">
        <v>7.7600000000000002E-2</v>
      </c>
      <c r="L12" s="18">
        <v>2.0000000000000001E-4</v>
      </c>
      <c r="M12" s="12"/>
    </row>
    <row r="13" spans="2:16384" ht="16.5" x14ac:dyDescent="0.15">
      <c r="B13" s="14">
        <v>4</v>
      </c>
      <c r="C13" s="14" t="s">
        <v>237</v>
      </c>
      <c r="D13" s="14">
        <v>1000</v>
      </c>
      <c r="E13" s="14">
        <v>10</v>
      </c>
      <c r="F13" s="14">
        <v>4</v>
      </c>
      <c r="G13" s="14">
        <v>8</v>
      </c>
      <c r="H13" s="18">
        <v>8.8666999999999998</v>
      </c>
      <c r="I13" s="18">
        <v>0.88109999999999999</v>
      </c>
      <c r="J13" s="18">
        <v>0</v>
      </c>
      <c r="K13" s="18">
        <v>4.3E-3</v>
      </c>
      <c r="L13" s="18">
        <v>1E-4</v>
      </c>
      <c r="M13" s="12"/>
    </row>
    <row r="14" spans="2:16384" ht="16.5" x14ac:dyDescent="0.15">
      <c r="B14" s="14">
        <v>4</v>
      </c>
      <c r="C14" s="14" t="s">
        <v>237</v>
      </c>
      <c r="D14" s="14">
        <v>10000</v>
      </c>
      <c r="E14" s="14">
        <v>10</v>
      </c>
      <c r="F14" s="14">
        <v>4</v>
      </c>
      <c r="G14" s="14">
        <v>8</v>
      </c>
      <c r="H14" s="18">
        <v>8.4941999999999993</v>
      </c>
      <c r="I14" s="18">
        <v>9.1974999999999998</v>
      </c>
      <c r="J14" s="18">
        <v>0</v>
      </c>
      <c r="K14" s="18">
        <v>0.2442</v>
      </c>
      <c r="L14" s="18">
        <v>5.0000000000000001E-4</v>
      </c>
      <c r="M14" s="12"/>
    </row>
    <row r="15" spans="2:16384" ht="16.5" x14ac:dyDescent="0.15">
      <c r="B15" s="14"/>
      <c r="C15" s="14"/>
      <c r="D15" s="14"/>
      <c r="E15" s="14"/>
      <c r="F15" s="14"/>
      <c r="G15" s="14"/>
      <c r="H15" s="18"/>
      <c r="I15" s="18"/>
      <c r="J15" s="18"/>
      <c r="K15" s="18"/>
      <c r="L15" s="18"/>
      <c r="M15" s="12"/>
    </row>
    <row r="16" spans="2:16384" ht="16.5" x14ac:dyDescent="0.15">
      <c r="B16" s="14"/>
      <c r="C16" s="14"/>
      <c r="D16" s="14"/>
      <c r="E16" s="14"/>
      <c r="F16" s="14"/>
      <c r="G16" s="14"/>
      <c r="H16" s="18"/>
      <c r="I16" s="18"/>
      <c r="J16" s="18"/>
      <c r="K16" s="18"/>
      <c r="L16" s="18"/>
      <c r="M16" s="12"/>
    </row>
    <row r="17" spans="2:13" ht="16.5" x14ac:dyDescent="0.15">
      <c r="B17" s="14"/>
      <c r="C17" s="14"/>
      <c r="D17" s="14"/>
      <c r="E17" s="14"/>
      <c r="F17" s="14"/>
      <c r="G17" s="14"/>
      <c r="H17" s="18"/>
      <c r="I17" s="18"/>
      <c r="J17" s="18"/>
      <c r="K17" s="18"/>
      <c r="L17" s="18"/>
      <c r="M17" s="12"/>
    </row>
    <row r="18" spans="2:13" ht="16.5" x14ac:dyDescent="0.15">
      <c r="B18" s="14"/>
      <c r="C18" s="14"/>
      <c r="D18" s="14"/>
      <c r="E18" s="14"/>
      <c r="F18" s="14"/>
      <c r="G18" s="14"/>
      <c r="H18" s="18"/>
      <c r="I18" s="18"/>
      <c r="J18" s="18"/>
      <c r="K18" s="18"/>
      <c r="L18" s="18"/>
      <c r="M18" s="12"/>
    </row>
    <row r="19" spans="2:13" ht="16.5" x14ac:dyDescent="0.15">
      <c r="B19" s="14"/>
      <c r="C19" s="14"/>
      <c r="D19" s="14"/>
      <c r="E19" s="14"/>
      <c r="F19" s="14"/>
      <c r="G19" s="14"/>
      <c r="H19" s="18"/>
      <c r="I19" s="18"/>
      <c r="J19" s="18"/>
      <c r="K19" s="18"/>
      <c r="L19" s="18"/>
      <c r="M19" s="12"/>
    </row>
    <row r="20" spans="2:13" ht="16.5" x14ac:dyDescent="0.15">
      <c r="B20" s="14"/>
      <c r="C20" s="14"/>
      <c r="D20" s="14"/>
      <c r="E20" s="14"/>
      <c r="F20" s="14"/>
      <c r="G20" s="14"/>
      <c r="H20" s="18"/>
      <c r="I20" s="18"/>
      <c r="J20" s="18"/>
      <c r="K20" s="18"/>
      <c r="L20" s="18"/>
      <c r="M20" s="12"/>
    </row>
    <row r="21" spans="2:13" ht="16.5" x14ac:dyDescent="0.15">
      <c r="B21" s="14"/>
      <c r="C21" s="14"/>
      <c r="D21" s="14"/>
      <c r="E21" s="14"/>
      <c r="F21" s="14"/>
      <c r="G21" s="14"/>
      <c r="H21" s="18"/>
      <c r="I21" s="18"/>
      <c r="J21" s="18"/>
      <c r="K21" s="18"/>
      <c r="L21" s="18"/>
      <c r="M21" s="12"/>
    </row>
    <row r="22" spans="2:13" ht="16.5" x14ac:dyDescent="0.15">
      <c r="B22" s="14"/>
      <c r="C22" s="14"/>
      <c r="D22" s="14"/>
      <c r="E22" s="14"/>
      <c r="F22" s="14"/>
      <c r="G22" s="14"/>
      <c r="H22" s="18"/>
      <c r="I22" s="18"/>
      <c r="J22" s="18"/>
      <c r="K22" s="18"/>
      <c r="L22" s="18"/>
      <c r="M22" s="12"/>
    </row>
    <row r="23" spans="2:13" x14ac:dyDescent="0.15">
      <c r="H23" s="12"/>
      <c r="I23" s="12"/>
      <c r="L23" s="13"/>
      <c r="M23" s="13"/>
    </row>
    <row r="24" spans="2:13" ht="17.25" x14ac:dyDescent="0.15">
      <c r="B24" s="4"/>
      <c r="H24" s="12"/>
      <c r="I24" s="12"/>
      <c r="L24" s="13"/>
      <c r="M24" s="13"/>
    </row>
    <row r="25" spans="2:13" ht="17.25" x14ac:dyDescent="0.15">
      <c r="B25" s="4" t="s">
        <v>370</v>
      </c>
      <c r="H25" s="12"/>
      <c r="I25" s="12"/>
    </row>
    <row r="26" spans="2:13" ht="17.25" x14ac:dyDescent="0.15">
      <c r="B26" s="4" t="s">
        <v>371</v>
      </c>
      <c r="H26" s="12"/>
      <c r="I26" s="12"/>
    </row>
    <row r="27" spans="2:13" ht="17.25" x14ac:dyDescent="0.15">
      <c r="B27" s="4"/>
      <c r="H27" s="12"/>
      <c r="I27" s="12"/>
    </row>
    <row r="28" spans="2:13" ht="15.75" x14ac:dyDescent="0.15">
      <c r="B28" s="19"/>
    </row>
    <row r="29" spans="2:13" ht="17.25" x14ac:dyDescent="0.15">
      <c r="B29" s="4" t="s">
        <v>357</v>
      </c>
    </row>
    <row r="30" spans="2:13" ht="15.75" x14ac:dyDescent="0.15">
      <c r="B30" s="19" t="s">
        <v>427</v>
      </c>
    </row>
    <row r="31" spans="2:13" ht="24" x14ac:dyDescent="0.15">
      <c r="B31" s="22" t="s">
        <v>272</v>
      </c>
      <c r="C31" s="21" t="s">
        <v>293</v>
      </c>
      <c r="D31" s="21" t="s">
        <v>289</v>
      </c>
      <c r="E31" s="21" t="s">
        <v>290</v>
      </c>
      <c r="F31" s="21" t="s">
        <v>291</v>
      </c>
      <c r="G31" s="21" t="s">
        <v>292</v>
      </c>
      <c r="H31" s="21" t="s">
        <v>294</v>
      </c>
    </row>
    <row r="32" spans="2:13" ht="16.5" x14ac:dyDescent="0.15">
      <c r="B32" s="24" t="s">
        <v>318</v>
      </c>
      <c r="C32" s="18">
        <v>290.43</v>
      </c>
      <c r="D32" s="18">
        <v>788.79</v>
      </c>
      <c r="E32" s="18">
        <v>2104.2944000000002</v>
      </c>
      <c r="F32" s="18">
        <v>2448.4863999999998</v>
      </c>
      <c r="G32" s="18">
        <v>114.43</v>
      </c>
      <c r="H32" s="18">
        <v>228.97</v>
      </c>
    </row>
    <row r="33" spans="2:8" ht="16.5" x14ac:dyDescent="0.15">
      <c r="B33" s="24" t="s">
        <v>321</v>
      </c>
      <c r="C33" s="18">
        <v>230.43</v>
      </c>
      <c r="D33" s="18">
        <v>688.79</v>
      </c>
      <c r="E33" s="18">
        <v>2704.2944000000002</v>
      </c>
      <c r="F33" s="18">
        <v>2748.4863999999998</v>
      </c>
      <c r="G33" s="18">
        <v>214.43</v>
      </c>
      <c r="H33" s="18">
        <v>208.97</v>
      </c>
    </row>
    <row r="34" spans="2:8" ht="16.5" x14ac:dyDescent="0.15">
      <c r="B34" s="24" t="s">
        <v>319</v>
      </c>
      <c r="C34" s="18">
        <v>250.43</v>
      </c>
      <c r="D34" s="18">
        <v>888.79</v>
      </c>
      <c r="E34" s="18">
        <v>3504.2944000000002</v>
      </c>
      <c r="F34" s="18">
        <v>2748.4863999999998</v>
      </c>
      <c r="G34" s="18">
        <v>154.43</v>
      </c>
      <c r="H34" s="18">
        <v>288.97000000000003</v>
      </c>
    </row>
    <row r="35" spans="2:8" ht="16.5" x14ac:dyDescent="0.15">
      <c r="B35" s="24" t="s">
        <v>320</v>
      </c>
      <c r="C35" s="18">
        <v>210.43</v>
      </c>
      <c r="D35" s="18">
        <v>588.79</v>
      </c>
      <c r="E35" s="18">
        <v>2004.2944</v>
      </c>
      <c r="F35" s="18">
        <v>3448.4863999999998</v>
      </c>
      <c r="G35" s="18">
        <v>194.43</v>
      </c>
      <c r="H35" s="18">
        <v>328.97</v>
      </c>
    </row>
  </sheetData>
  <mergeCells count="9">
    <mergeCell ref="J10:L10"/>
    <mergeCell ref="B10:B11"/>
    <mergeCell ref="C10:C11"/>
    <mergeCell ref="D10:D11"/>
    <mergeCell ref="E10:E11"/>
    <mergeCell ref="F10:F11"/>
    <mergeCell ref="G10:G11"/>
    <mergeCell ref="H10:H11"/>
    <mergeCell ref="I10:I11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2"/>
  <sheetViews>
    <sheetView zoomScaleNormal="100" workbookViewId="0"/>
  </sheetViews>
  <sheetFormatPr defaultRowHeight="13.5" x14ac:dyDescent="0.15"/>
  <cols>
    <col min="1" max="1" width="0.625" customWidth="1"/>
    <col min="2" max="2" width="7.5" customWidth="1"/>
    <col min="3" max="10" width="12.625" customWidth="1"/>
  </cols>
  <sheetData>
    <row r="1" spans="2:10" ht="17.25" x14ac:dyDescent="0.15">
      <c r="B1" s="4" t="s">
        <v>352</v>
      </c>
    </row>
    <row r="2" spans="2:10" ht="17.25" x14ac:dyDescent="0.15">
      <c r="B2" s="4" t="s">
        <v>182</v>
      </c>
    </row>
    <row r="3" spans="2:10" ht="17.25" x14ac:dyDescent="0.15">
      <c r="B3" s="4" t="s">
        <v>447</v>
      </c>
    </row>
    <row r="4" spans="2:10" ht="17.25" x14ac:dyDescent="0.15">
      <c r="B4" s="4" t="s">
        <v>442</v>
      </c>
    </row>
    <row r="5" spans="2:10" ht="17.25" x14ac:dyDescent="0.15">
      <c r="B5" s="4" t="s">
        <v>443</v>
      </c>
    </row>
    <row r="6" spans="2:10" ht="17.25" x14ac:dyDescent="0.15">
      <c r="B6" s="4" t="s">
        <v>446</v>
      </c>
    </row>
    <row r="8" spans="2:10" ht="17.25" x14ac:dyDescent="0.15">
      <c r="B8" s="4" t="s">
        <v>180</v>
      </c>
    </row>
    <row r="9" spans="2:10" ht="24" customHeight="1" x14ac:dyDescent="0.15">
      <c r="B9" s="30" t="s">
        <v>430</v>
      </c>
      <c r="C9" s="30"/>
      <c r="D9" s="30"/>
      <c r="E9" s="30"/>
      <c r="F9" s="30"/>
      <c r="G9" s="30"/>
      <c r="H9" s="30"/>
      <c r="I9" s="30"/>
      <c r="J9" s="30"/>
    </row>
    <row r="10" spans="2:10" ht="24" customHeight="1" x14ac:dyDescent="0.15">
      <c r="B10" s="30" t="s">
        <v>0</v>
      </c>
      <c r="C10" s="30"/>
      <c r="D10" s="30"/>
      <c r="E10" s="30"/>
      <c r="F10" s="30"/>
      <c r="G10" s="30"/>
      <c r="H10" s="30"/>
      <c r="I10" s="30"/>
      <c r="J10" s="30"/>
    </row>
    <row r="11" spans="2:10" ht="27" customHeight="1" x14ac:dyDescent="0.15">
      <c r="B11" s="1" t="s">
        <v>1</v>
      </c>
      <c r="C11" s="25" t="s">
        <v>322</v>
      </c>
      <c r="D11" s="25" t="s">
        <v>323</v>
      </c>
      <c r="E11" s="1" t="s">
        <v>3</v>
      </c>
      <c r="F11" s="1" t="s">
        <v>4</v>
      </c>
      <c r="G11" s="1" t="s">
        <v>5</v>
      </c>
      <c r="H11" s="1" t="s">
        <v>6</v>
      </c>
      <c r="I11" s="1" t="s">
        <v>13</v>
      </c>
      <c r="J11" s="1" t="s">
        <v>14</v>
      </c>
    </row>
    <row r="12" spans="2:10" ht="16.5" x14ac:dyDescent="0.15">
      <c r="B12" s="2">
        <v>16</v>
      </c>
      <c r="C12" s="3">
        <v>1267.2750000000001</v>
      </c>
      <c r="D12" s="3">
        <v>1583.1579999999999</v>
      </c>
      <c r="E12" s="3">
        <v>1266.867</v>
      </c>
      <c r="F12" s="3">
        <v>1267.683</v>
      </c>
      <c r="G12" s="3">
        <v>1898.633</v>
      </c>
      <c r="H12" s="3">
        <v>1881.8330000000001</v>
      </c>
      <c r="I12" s="3">
        <f>AVERAGE(E12,F12)</f>
        <v>1267.2750000000001</v>
      </c>
      <c r="J12" s="3">
        <f>AVERAGE(F12,G12)</f>
        <v>1583.1579999999999</v>
      </c>
    </row>
    <row r="13" spans="2:10" ht="16.5" x14ac:dyDescent="0.15">
      <c r="B13" s="2">
        <v>32</v>
      </c>
      <c r="C13" s="3">
        <v>1744.5920000000001</v>
      </c>
      <c r="D13" s="3">
        <v>2088.942</v>
      </c>
      <c r="E13" s="3">
        <v>1744.8330000000001</v>
      </c>
      <c r="F13" s="3">
        <v>1744.35</v>
      </c>
      <c r="G13" s="3">
        <v>2433.5329999999999</v>
      </c>
      <c r="H13" s="3">
        <v>2424.5830000000001</v>
      </c>
      <c r="I13" s="3">
        <f t="shared" ref="I13:J16" si="0">AVERAGE(E13,F13)</f>
        <v>1744.5915</v>
      </c>
      <c r="J13" s="3">
        <f t="shared" si="0"/>
        <v>2088.9414999999999</v>
      </c>
    </row>
    <row r="14" spans="2:10" ht="16.5" x14ac:dyDescent="0.15">
      <c r="B14" s="2">
        <v>64</v>
      </c>
      <c r="C14" s="3">
        <v>1887.925</v>
      </c>
      <c r="D14" s="3">
        <v>2180.5</v>
      </c>
      <c r="E14" s="3">
        <v>1891.25</v>
      </c>
      <c r="F14" s="3">
        <v>1884.6</v>
      </c>
      <c r="G14" s="3">
        <v>2476.4</v>
      </c>
      <c r="H14" s="3">
        <v>2469.933</v>
      </c>
      <c r="I14" s="3">
        <f t="shared" si="0"/>
        <v>1887.925</v>
      </c>
      <c r="J14" s="3">
        <f t="shared" si="0"/>
        <v>2180.5</v>
      </c>
    </row>
    <row r="15" spans="2:10" ht="16.5" x14ac:dyDescent="0.15">
      <c r="B15" s="2">
        <v>128</v>
      </c>
      <c r="C15" s="3">
        <v>1931.2329999999999</v>
      </c>
      <c r="D15" s="3">
        <v>2204.3330000000001</v>
      </c>
      <c r="E15" s="3">
        <v>1938.4829999999999</v>
      </c>
      <c r="F15" s="3">
        <v>1923.9829999999999</v>
      </c>
      <c r="G15" s="3">
        <v>2484.683</v>
      </c>
      <c r="H15" s="3">
        <v>2452.7330000000002</v>
      </c>
      <c r="I15" s="3">
        <f t="shared" si="0"/>
        <v>1931.2329999999999</v>
      </c>
      <c r="J15" s="3">
        <f t="shared" si="0"/>
        <v>2204.3330000000001</v>
      </c>
    </row>
    <row r="16" spans="2:10" ht="16.5" x14ac:dyDescent="0.15">
      <c r="B16" s="2">
        <v>256</v>
      </c>
      <c r="C16" s="3">
        <v>1916.684</v>
      </c>
      <c r="D16" s="3">
        <v>2193.9</v>
      </c>
      <c r="E16" s="3">
        <v>1920.35</v>
      </c>
      <c r="F16" s="3">
        <v>1913.0170000000001</v>
      </c>
      <c r="G16" s="3">
        <v>2474.7829999999999</v>
      </c>
      <c r="H16" s="3">
        <v>2437.0169999999998</v>
      </c>
      <c r="I16" s="3">
        <f t="shared" si="0"/>
        <v>1916.6835000000001</v>
      </c>
      <c r="J16" s="3">
        <f t="shared" si="0"/>
        <v>2193.9</v>
      </c>
    </row>
    <row r="18" spans="2:9" ht="15.75" x14ac:dyDescent="0.15">
      <c r="B18" s="19"/>
    </row>
    <row r="19" spans="2:9" ht="17.25" x14ac:dyDescent="0.15">
      <c r="B19" s="4"/>
    </row>
    <row r="20" spans="2:9" ht="17.25" x14ac:dyDescent="0.15">
      <c r="B20" s="4" t="s">
        <v>372</v>
      </c>
      <c r="H20" s="12"/>
      <c r="I20" s="12"/>
    </row>
    <row r="21" spans="2:9" ht="17.25" x14ac:dyDescent="0.15">
      <c r="B21" s="4" t="s">
        <v>373</v>
      </c>
      <c r="H21" s="12"/>
      <c r="I21" s="12"/>
    </row>
    <row r="22" spans="2:9" ht="17.25" x14ac:dyDescent="0.15">
      <c r="B22" s="4"/>
      <c r="H22" s="12"/>
      <c r="I22" s="12"/>
    </row>
    <row r="23" spans="2:9" ht="17.25" x14ac:dyDescent="0.15">
      <c r="B23" s="4"/>
    </row>
    <row r="24" spans="2:9" ht="17.25" x14ac:dyDescent="0.15">
      <c r="B24" s="4" t="s">
        <v>357</v>
      </c>
    </row>
    <row r="25" spans="2:9" ht="15.75" x14ac:dyDescent="0.15">
      <c r="B25" s="19" t="s">
        <v>426</v>
      </c>
    </row>
    <row r="26" spans="2:9" ht="24" x14ac:dyDescent="0.15">
      <c r="B26" s="22" t="s">
        <v>272</v>
      </c>
      <c r="C26" s="25" t="s">
        <v>325</v>
      </c>
      <c r="D26" s="25" t="s">
        <v>324</v>
      </c>
      <c r="E26" s="26" t="s">
        <v>424</v>
      </c>
      <c r="F26" s="26" t="s">
        <v>425</v>
      </c>
    </row>
    <row r="27" spans="2:9" ht="16.5" x14ac:dyDescent="0.15">
      <c r="B27" s="24" t="s">
        <v>326</v>
      </c>
      <c r="C27" s="18">
        <v>1267.2750000000001</v>
      </c>
      <c r="D27" s="18">
        <v>1583.1579999999999</v>
      </c>
      <c r="E27" s="18">
        <v>12670.275</v>
      </c>
      <c r="F27" s="18">
        <v>15183.157999999999</v>
      </c>
    </row>
    <row r="28" spans="2:9" ht="16.5" x14ac:dyDescent="0.15">
      <c r="B28" s="24" t="s">
        <v>327</v>
      </c>
      <c r="C28" s="18">
        <v>1744.5920000000001</v>
      </c>
      <c r="D28" s="18">
        <v>2088.942</v>
      </c>
      <c r="E28" s="18">
        <v>17044.592000000001</v>
      </c>
      <c r="F28" s="18">
        <v>21088.941999999999</v>
      </c>
    </row>
    <row r="29" spans="2:9" ht="16.5" x14ac:dyDescent="0.15">
      <c r="B29" s="24" t="s">
        <v>328</v>
      </c>
      <c r="C29" s="18">
        <v>1887.925</v>
      </c>
      <c r="D29" s="18">
        <v>2180.5</v>
      </c>
      <c r="E29" s="18">
        <v>18087.924999999999</v>
      </c>
      <c r="F29" s="18">
        <v>21800.5</v>
      </c>
    </row>
    <row r="30" spans="2:9" ht="16.5" x14ac:dyDescent="0.15">
      <c r="B30" s="24" t="s">
        <v>329</v>
      </c>
      <c r="C30" s="18">
        <v>1931.2329999999999</v>
      </c>
      <c r="D30" s="18">
        <v>2204.3330000000001</v>
      </c>
      <c r="E30" s="18">
        <v>19031.233</v>
      </c>
      <c r="F30" s="18">
        <v>20204.332999999999</v>
      </c>
    </row>
    <row r="31" spans="2:9" ht="16.5" x14ac:dyDescent="0.15">
      <c r="B31" s="24" t="s">
        <v>330</v>
      </c>
      <c r="C31" s="18">
        <v>1916.684</v>
      </c>
      <c r="D31" s="18">
        <v>2193.9</v>
      </c>
      <c r="E31" s="18">
        <v>19106.684000000001</v>
      </c>
      <c r="F31" s="18">
        <v>21903.9</v>
      </c>
    </row>
    <row r="32" spans="2:9" ht="16.5" x14ac:dyDescent="0.15">
      <c r="B32" s="27"/>
    </row>
  </sheetData>
  <mergeCells count="2">
    <mergeCell ref="B9:J9"/>
    <mergeCell ref="B10:J10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4"/>
  <sheetViews>
    <sheetView workbookViewId="0"/>
  </sheetViews>
  <sheetFormatPr defaultRowHeight="13.5" x14ac:dyDescent="0.15"/>
  <cols>
    <col min="1" max="1" width="0.625" customWidth="1"/>
    <col min="2" max="2" width="16.25" customWidth="1"/>
    <col min="3" max="10" width="12.625" customWidth="1"/>
  </cols>
  <sheetData>
    <row r="1" spans="2:10" ht="17.25" x14ac:dyDescent="0.15">
      <c r="B1" s="4" t="s">
        <v>352</v>
      </c>
    </row>
    <row r="2" spans="2:10" ht="17.25" x14ac:dyDescent="0.15">
      <c r="B2" s="4" t="s">
        <v>448</v>
      </c>
    </row>
    <row r="3" spans="2:10" ht="17.25" x14ac:dyDescent="0.15">
      <c r="B3" s="4" t="s">
        <v>452</v>
      </c>
    </row>
    <row r="4" spans="2:10" ht="17.25" x14ac:dyDescent="0.15">
      <c r="B4" s="4" t="s">
        <v>449</v>
      </c>
    </row>
    <row r="5" spans="2:10" ht="17.25" x14ac:dyDescent="0.15">
      <c r="B5" s="4" t="s">
        <v>450</v>
      </c>
    </row>
    <row r="6" spans="2:10" ht="17.25" x14ac:dyDescent="0.15">
      <c r="B6" s="4" t="s">
        <v>451</v>
      </c>
    </row>
    <row r="7" spans="2:10" ht="17.25" x14ac:dyDescent="0.15">
      <c r="B7" s="4" t="s">
        <v>205</v>
      </c>
    </row>
    <row r="8" spans="2:10" ht="17.25" x14ac:dyDescent="0.15">
      <c r="B8" s="4" t="s">
        <v>446</v>
      </c>
    </row>
    <row r="10" spans="2:10" ht="17.25" x14ac:dyDescent="0.15">
      <c r="B10" s="4" t="s">
        <v>180</v>
      </c>
    </row>
    <row r="11" spans="2:10" ht="24" customHeight="1" x14ac:dyDescent="0.15">
      <c r="B11" s="30" t="s">
        <v>431</v>
      </c>
      <c r="C11" s="30"/>
      <c r="D11" s="30"/>
      <c r="E11" s="30"/>
      <c r="F11" s="30"/>
      <c r="G11" s="30"/>
      <c r="H11" s="30"/>
      <c r="I11" s="30"/>
      <c r="J11" s="30"/>
    </row>
    <row r="12" spans="2:10" ht="24" customHeight="1" x14ac:dyDescent="0.15">
      <c r="B12" s="30" t="s">
        <v>0</v>
      </c>
      <c r="C12" s="30"/>
      <c r="D12" s="30"/>
      <c r="E12" s="30"/>
      <c r="F12" s="30"/>
      <c r="G12" s="30"/>
      <c r="H12" s="30"/>
      <c r="I12" s="30"/>
      <c r="J12" s="30"/>
    </row>
    <row r="13" spans="2:10" ht="27" customHeight="1" x14ac:dyDescent="0.15">
      <c r="B13" s="17" t="s">
        <v>1</v>
      </c>
      <c r="C13" s="17" t="s">
        <v>2</v>
      </c>
      <c r="D13" s="17" t="s">
        <v>12</v>
      </c>
      <c r="E13" s="17" t="s">
        <v>3</v>
      </c>
      <c r="F13" s="17" t="s">
        <v>4</v>
      </c>
      <c r="G13" s="17" t="s">
        <v>5</v>
      </c>
      <c r="H13" s="17" t="s">
        <v>6</v>
      </c>
      <c r="I13" s="17" t="s">
        <v>13</v>
      </c>
      <c r="J13" s="17" t="s">
        <v>14</v>
      </c>
    </row>
    <row r="14" spans="2:10" ht="16.5" x14ac:dyDescent="0.15">
      <c r="B14" s="2">
        <v>16</v>
      </c>
      <c r="C14" s="3">
        <v>14440.55</v>
      </c>
      <c r="D14" s="3">
        <v>13618.95</v>
      </c>
      <c r="E14" s="3">
        <v>1266.867</v>
      </c>
      <c r="F14" s="3">
        <v>1267.683</v>
      </c>
      <c r="G14" s="3">
        <v>1898.633</v>
      </c>
      <c r="H14" s="3">
        <v>1881.8330000000001</v>
      </c>
      <c r="I14" s="3">
        <f>AVERAGE(E14,F14)</f>
        <v>1267.2750000000001</v>
      </c>
      <c r="J14" s="3">
        <f>AVERAGE(F14,G14)</f>
        <v>1583.1579999999999</v>
      </c>
    </row>
    <row r="15" spans="2:10" ht="16.5" x14ac:dyDescent="0.15">
      <c r="B15" s="2">
        <v>32</v>
      </c>
      <c r="C15" s="3">
        <v>16074.35</v>
      </c>
      <c r="D15" s="3">
        <v>15105.866</v>
      </c>
      <c r="E15" s="3">
        <v>1744.8330000000001</v>
      </c>
      <c r="F15" s="3">
        <v>1744.35</v>
      </c>
      <c r="G15" s="3">
        <v>2433.5329999999999</v>
      </c>
      <c r="H15" s="3">
        <v>2424.5830000000001</v>
      </c>
      <c r="I15" s="3">
        <f t="shared" ref="I15:J18" si="0">AVERAGE(E15,F15)</f>
        <v>1744.5915</v>
      </c>
      <c r="J15" s="3">
        <f t="shared" si="0"/>
        <v>2088.9414999999999</v>
      </c>
    </row>
    <row r="16" spans="2:10" ht="16.5" x14ac:dyDescent="0.15">
      <c r="B16" s="2">
        <v>64</v>
      </c>
      <c r="C16" s="3">
        <v>15177.683999999999</v>
      </c>
      <c r="D16" s="3">
        <v>14169.4</v>
      </c>
      <c r="E16" s="3">
        <v>1891.25</v>
      </c>
      <c r="F16" s="3">
        <v>1884.6</v>
      </c>
      <c r="G16" s="3">
        <v>2476.4</v>
      </c>
      <c r="H16" s="3">
        <v>2469.933</v>
      </c>
      <c r="I16" s="3">
        <f t="shared" si="0"/>
        <v>1887.925</v>
      </c>
      <c r="J16" s="3">
        <f t="shared" si="0"/>
        <v>2180.5</v>
      </c>
    </row>
    <row r="17" spans="2:10" ht="16.5" x14ac:dyDescent="0.15">
      <c r="B17" s="2">
        <v>128</v>
      </c>
      <c r="C17" s="3">
        <v>15116.75</v>
      </c>
      <c r="D17" s="3">
        <v>12704.884</v>
      </c>
      <c r="E17" s="3">
        <v>1938.4829999999999</v>
      </c>
      <c r="F17" s="3">
        <v>1923.9829999999999</v>
      </c>
      <c r="G17" s="3">
        <v>2484.683</v>
      </c>
      <c r="H17" s="3">
        <v>2452.7330000000002</v>
      </c>
      <c r="I17" s="3">
        <f t="shared" si="0"/>
        <v>1931.2329999999999</v>
      </c>
      <c r="J17" s="3">
        <f t="shared" si="0"/>
        <v>2204.3330000000001</v>
      </c>
    </row>
    <row r="18" spans="2:10" ht="16.5" x14ac:dyDescent="0.15">
      <c r="B18" s="2">
        <v>256</v>
      </c>
      <c r="C18" s="3">
        <v>15138.183999999999</v>
      </c>
      <c r="D18" s="3">
        <v>10831.384</v>
      </c>
      <c r="E18" s="3">
        <v>1920.35</v>
      </c>
      <c r="F18" s="3">
        <v>1913.0170000000001</v>
      </c>
      <c r="G18" s="3">
        <v>2474.7829999999999</v>
      </c>
      <c r="H18" s="3">
        <v>2437.0169999999998</v>
      </c>
      <c r="I18" s="3">
        <f t="shared" si="0"/>
        <v>1916.6835000000001</v>
      </c>
      <c r="J18" s="3">
        <f t="shared" si="0"/>
        <v>2193.9</v>
      </c>
    </row>
    <row r="20" spans="2:10" ht="17.25" x14ac:dyDescent="0.15">
      <c r="B20" s="4"/>
    </row>
    <row r="21" spans="2:10" ht="17.25" x14ac:dyDescent="0.15">
      <c r="B21" s="4" t="s">
        <v>374</v>
      </c>
      <c r="C21" s="4"/>
      <c r="D21" s="4"/>
      <c r="H21" s="12"/>
    </row>
    <row r="22" spans="2:10" ht="17.25" x14ac:dyDescent="0.15">
      <c r="B22" s="4" t="s">
        <v>375</v>
      </c>
      <c r="C22" s="4"/>
      <c r="D22" s="4"/>
      <c r="H22" s="12"/>
    </row>
    <row r="23" spans="2:10" ht="17.25" x14ac:dyDescent="0.15">
      <c r="B23" s="4" t="s">
        <v>377</v>
      </c>
      <c r="C23" s="4"/>
      <c r="D23" s="4"/>
      <c r="H23" s="12"/>
    </row>
    <row r="24" spans="2:10" ht="17.25" x14ac:dyDescent="0.15">
      <c r="B24" s="4" t="s">
        <v>376</v>
      </c>
    </row>
    <row r="25" spans="2:10" ht="17.25" x14ac:dyDescent="0.15">
      <c r="B25" s="4"/>
    </row>
    <row r="26" spans="2:10" ht="17.25" x14ac:dyDescent="0.15">
      <c r="B26" s="4"/>
    </row>
    <row r="27" spans="2:10" ht="17.25" x14ac:dyDescent="0.15">
      <c r="B27" s="4" t="s">
        <v>357</v>
      </c>
    </row>
    <row r="28" spans="2:10" ht="15.75" x14ac:dyDescent="0.15">
      <c r="B28" s="19" t="s">
        <v>429</v>
      </c>
    </row>
    <row r="29" spans="2:10" ht="24" x14ac:dyDescent="0.15">
      <c r="B29" s="22" t="s">
        <v>272</v>
      </c>
      <c r="C29" s="25" t="s">
        <v>325</v>
      </c>
      <c r="D29" s="25" t="s">
        <v>324</v>
      </c>
      <c r="E29" s="26" t="s">
        <v>424</v>
      </c>
      <c r="F29" s="26" t="s">
        <v>425</v>
      </c>
    </row>
    <row r="30" spans="2:10" ht="16.5" x14ac:dyDescent="0.15">
      <c r="B30" s="24" t="s">
        <v>331</v>
      </c>
      <c r="C30" s="18">
        <v>1267.2750000000001</v>
      </c>
      <c r="D30" s="18">
        <v>1583.1579999999999</v>
      </c>
      <c r="E30" s="18">
        <v>12067.275</v>
      </c>
      <c r="F30" s="18">
        <v>16583.157999999999</v>
      </c>
    </row>
    <row r="31" spans="2:10" ht="16.5" x14ac:dyDescent="0.15">
      <c r="B31" s="24" t="s">
        <v>332</v>
      </c>
      <c r="C31" s="18">
        <v>1744.5920000000001</v>
      </c>
      <c r="D31" s="18">
        <v>2088.942</v>
      </c>
      <c r="E31" s="18">
        <v>17144.592000000001</v>
      </c>
      <c r="F31" s="18">
        <v>20188.941999999999</v>
      </c>
    </row>
    <row r="32" spans="2:10" ht="16.5" x14ac:dyDescent="0.15">
      <c r="B32" s="24" t="s">
        <v>333</v>
      </c>
      <c r="C32" s="18">
        <v>1887.925</v>
      </c>
      <c r="D32" s="18">
        <v>2180.5</v>
      </c>
      <c r="E32" s="18">
        <v>18087.924999999999</v>
      </c>
      <c r="F32" s="18">
        <v>22180.5</v>
      </c>
    </row>
    <row r="33" spans="2:6" ht="16.5" x14ac:dyDescent="0.15">
      <c r="B33" s="24" t="s">
        <v>334</v>
      </c>
      <c r="C33" s="18">
        <v>1931.2329999999999</v>
      </c>
      <c r="D33" s="18">
        <v>2204.3330000000001</v>
      </c>
      <c r="E33" s="18">
        <v>19231.233</v>
      </c>
      <c r="F33" s="18">
        <v>23204.332999999999</v>
      </c>
    </row>
    <row r="34" spans="2:6" ht="16.5" x14ac:dyDescent="0.15">
      <c r="B34" s="24" t="s">
        <v>335</v>
      </c>
      <c r="C34" s="18">
        <v>1916.684</v>
      </c>
      <c r="D34" s="18">
        <v>2193.9</v>
      </c>
      <c r="E34" s="18">
        <v>19316.684000000001</v>
      </c>
      <c r="F34" s="18">
        <v>22193.9</v>
      </c>
    </row>
  </sheetData>
  <mergeCells count="2">
    <mergeCell ref="B11:J11"/>
    <mergeCell ref="B12:J1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38"/>
  <sheetViews>
    <sheetView workbookViewId="0"/>
  </sheetViews>
  <sheetFormatPr defaultRowHeight="13.5" x14ac:dyDescent="0.15"/>
  <cols>
    <col min="1" max="1" width="0.625" customWidth="1"/>
    <col min="2" max="2" width="6.375" customWidth="1"/>
    <col min="3" max="10" width="12.625" customWidth="1"/>
    <col min="11" max="12" width="10.625" bestFit="1" customWidth="1"/>
    <col min="13" max="13" width="9.5" bestFit="1" customWidth="1"/>
    <col min="16" max="17" width="10.625" bestFit="1" customWidth="1"/>
    <col min="18" max="18" width="9.5" bestFit="1" customWidth="1"/>
  </cols>
  <sheetData>
    <row r="1" spans="2:6" ht="17.25" x14ac:dyDescent="0.15">
      <c r="B1" s="4" t="s">
        <v>352</v>
      </c>
    </row>
    <row r="2" spans="2:6" ht="17.25" x14ac:dyDescent="0.15">
      <c r="B2" s="4" t="s">
        <v>262</v>
      </c>
    </row>
    <row r="3" spans="2:6" ht="17.25" x14ac:dyDescent="0.15">
      <c r="B3" s="4" t="s">
        <v>181</v>
      </c>
    </row>
    <row r="5" spans="2:6" ht="17.25" x14ac:dyDescent="0.15">
      <c r="B5" s="4" t="s">
        <v>180</v>
      </c>
    </row>
    <row r="6" spans="2:6" ht="27" customHeight="1" x14ac:dyDescent="0.15">
      <c r="B6" s="17" t="s">
        <v>238</v>
      </c>
      <c r="C6" s="17" t="s">
        <v>263</v>
      </c>
      <c r="D6" s="17" t="s">
        <v>264</v>
      </c>
      <c r="E6" s="17" t="s">
        <v>265</v>
      </c>
      <c r="F6" s="17" t="s">
        <v>240</v>
      </c>
    </row>
    <row r="7" spans="2:6" ht="16.5" x14ac:dyDescent="0.15">
      <c r="B7" s="2" t="s">
        <v>239</v>
      </c>
      <c r="C7" s="3">
        <v>2701.2150000000001</v>
      </c>
      <c r="D7" s="3">
        <v>2697.5230000000001</v>
      </c>
      <c r="E7" s="3">
        <v>2704.1869999999999</v>
      </c>
      <c r="F7" s="3">
        <v>2700.9749999999999</v>
      </c>
    </row>
    <row r="8" spans="2:6" ht="16.5" x14ac:dyDescent="0.15">
      <c r="B8" s="2" t="s">
        <v>241</v>
      </c>
      <c r="C8" s="3">
        <v>416.31400000000002</v>
      </c>
      <c r="D8" s="3">
        <v>418.774</v>
      </c>
      <c r="E8" s="3">
        <v>417.47399999999999</v>
      </c>
      <c r="F8" s="3">
        <v>417.52100000000002</v>
      </c>
    </row>
    <row r="9" spans="2:6" ht="16.5" x14ac:dyDescent="0.15">
      <c r="B9" s="2" t="s">
        <v>242</v>
      </c>
      <c r="C9" s="3">
        <v>3667.7660000000001</v>
      </c>
      <c r="D9" s="3">
        <v>3755.5720000000001</v>
      </c>
      <c r="E9" s="3">
        <v>3692.9</v>
      </c>
      <c r="F9" s="3">
        <v>3705.413</v>
      </c>
    </row>
    <row r="10" spans="2:6" ht="16.5" x14ac:dyDescent="0.15">
      <c r="B10" s="2" t="s">
        <v>243</v>
      </c>
      <c r="C10" s="3">
        <v>105.804</v>
      </c>
      <c r="D10" s="3">
        <v>105.49299999999999</v>
      </c>
      <c r="E10" s="3">
        <v>102.411</v>
      </c>
      <c r="F10" s="3">
        <v>104.569</v>
      </c>
    </row>
    <row r="11" spans="2:6" ht="16.5" x14ac:dyDescent="0.15">
      <c r="B11" s="2" t="s">
        <v>244</v>
      </c>
      <c r="C11" s="3">
        <v>2525.357</v>
      </c>
      <c r="D11" s="3">
        <v>2536.1640000000002</v>
      </c>
      <c r="E11" s="3">
        <v>2530.9090000000001</v>
      </c>
      <c r="F11" s="3">
        <v>2530.81</v>
      </c>
    </row>
    <row r="12" spans="2:6" ht="16.5" x14ac:dyDescent="0.15">
      <c r="B12" s="2" t="s">
        <v>245</v>
      </c>
      <c r="C12" s="3">
        <v>2202.317</v>
      </c>
      <c r="D12" s="3">
        <v>2194.6280000000002</v>
      </c>
      <c r="E12" s="3">
        <v>2201.4899999999998</v>
      </c>
      <c r="F12" s="3">
        <v>2199.4780000000001</v>
      </c>
    </row>
    <row r="13" spans="2:6" ht="16.5" x14ac:dyDescent="0.15">
      <c r="B13" s="2" t="s">
        <v>246</v>
      </c>
      <c r="C13" s="3">
        <v>2829.2240000000002</v>
      </c>
      <c r="D13" s="3">
        <v>2860.4340000000002</v>
      </c>
      <c r="E13" s="3">
        <v>2890.4360000000001</v>
      </c>
      <c r="F13" s="3">
        <v>2860.0309999999999</v>
      </c>
    </row>
    <row r="14" spans="2:6" ht="16.5" x14ac:dyDescent="0.15">
      <c r="B14" s="2" t="s">
        <v>247</v>
      </c>
      <c r="C14" s="3">
        <v>3335.373</v>
      </c>
      <c r="D14" s="3">
        <v>3383.1179999999999</v>
      </c>
      <c r="E14" s="3">
        <v>3417.13</v>
      </c>
      <c r="F14" s="3">
        <v>3378.54</v>
      </c>
    </row>
    <row r="15" spans="2:6" ht="16.5" x14ac:dyDescent="0.15">
      <c r="B15" s="2" t="s">
        <v>248</v>
      </c>
      <c r="C15" s="3">
        <v>4765.4830000000002</v>
      </c>
      <c r="D15" s="3">
        <v>4773.723</v>
      </c>
      <c r="E15" s="3">
        <v>4793.1719999999996</v>
      </c>
      <c r="F15" s="3">
        <v>4777.4589999999998</v>
      </c>
    </row>
    <row r="16" spans="2:6" ht="16.5" x14ac:dyDescent="0.15">
      <c r="B16" s="2" t="s">
        <v>249</v>
      </c>
      <c r="C16" s="3">
        <v>2829.3029999999999</v>
      </c>
      <c r="D16" s="3">
        <v>2870.0729999999999</v>
      </c>
      <c r="E16" s="3">
        <v>2865.3690000000001</v>
      </c>
      <c r="F16" s="3">
        <v>2854.915</v>
      </c>
    </row>
    <row r="17" spans="2:6" ht="16.5" x14ac:dyDescent="0.15">
      <c r="B17" s="2" t="s">
        <v>250</v>
      </c>
      <c r="C17" s="3">
        <v>274.50400000000002</v>
      </c>
      <c r="D17" s="3">
        <v>283.43</v>
      </c>
      <c r="E17" s="3">
        <v>283.84300000000002</v>
      </c>
      <c r="F17" s="3">
        <v>280.59199999999998</v>
      </c>
    </row>
    <row r="18" spans="2:6" ht="16.5" x14ac:dyDescent="0.15">
      <c r="B18" s="2" t="s">
        <v>251</v>
      </c>
      <c r="C18" s="3">
        <v>189.93700000000001</v>
      </c>
      <c r="D18" s="3">
        <v>189.05500000000001</v>
      </c>
      <c r="E18" s="3">
        <v>178.11799999999999</v>
      </c>
      <c r="F18" s="3">
        <v>185.703</v>
      </c>
    </row>
    <row r="19" spans="2:6" ht="16.5" x14ac:dyDescent="0.15">
      <c r="B19" s="2" t="s">
        <v>252</v>
      </c>
      <c r="C19" s="3">
        <v>655.11099999999999</v>
      </c>
      <c r="D19" s="3">
        <v>688.76800000000003</v>
      </c>
      <c r="E19" s="3">
        <v>719.577</v>
      </c>
      <c r="F19" s="3">
        <v>687.81899999999996</v>
      </c>
    </row>
    <row r="20" spans="2:6" ht="16.5" x14ac:dyDescent="0.15">
      <c r="B20" s="2" t="s">
        <v>253</v>
      </c>
      <c r="C20" s="3">
        <v>1898.1569999999999</v>
      </c>
      <c r="D20" s="3">
        <v>1916.077</v>
      </c>
      <c r="E20" s="3">
        <v>1915.5139999999999</v>
      </c>
      <c r="F20" s="3">
        <v>1909.9159999999999</v>
      </c>
    </row>
    <row r="21" spans="2:6" ht="16.5" x14ac:dyDescent="0.15">
      <c r="B21" s="2" t="s">
        <v>254</v>
      </c>
      <c r="C21" s="3">
        <v>2596.7959999999998</v>
      </c>
      <c r="D21" s="3">
        <v>2545.3530000000001</v>
      </c>
      <c r="E21" s="3">
        <v>2539.4659999999999</v>
      </c>
      <c r="F21" s="3">
        <v>2560.538</v>
      </c>
    </row>
    <row r="22" spans="2:6" ht="16.5" x14ac:dyDescent="0.15">
      <c r="B22" s="2" t="s">
        <v>255</v>
      </c>
      <c r="C22" s="3">
        <v>410.625</v>
      </c>
      <c r="D22" s="3">
        <v>410.46899999999999</v>
      </c>
      <c r="E22" s="3">
        <v>411.85700000000003</v>
      </c>
      <c r="F22" s="3">
        <v>410.98399999999998</v>
      </c>
    </row>
    <row r="23" spans="2:6" ht="16.5" x14ac:dyDescent="0.15">
      <c r="B23" s="2" t="s">
        <v>256</v>
      </c>
      <c r="C23" s="3">
        <v>365.30700000000002</v>
      </c>
      <c r="D23" s="3">
        <v>351.71100000000001</v>
      </c>
      <c r="E23" s="3">
        <v>354.39299999999997</v>
      </c>
      <c r="F23" s="3">
        <v>357.137</v>
      </c>
    </row>
    <row r="24" spans="2:6" ht="16.5" x14ac:dyDescent="0.15">
      <c r="B24" s="2" t="s">
        <v>257</v>
      </c>
      <c r="C24" s="3">
        <v>809.02099999999996</v>
      </c>
      <c r="D24" s="3">
        <v>821.29600000000005</v>
      </c>
      <c r="E24" s="3">
        <v>828.351</v>
      </c>
      <c r="F24" s="3">
        <v>819.55600000000004</v>
      </c>
    </row>
    <row r="25" spans="2:6" ht="16.5" x14ac:dyDescent="0.15">
      <c r="B25" s="2" t="s">
        <v>258</v>
      </c>
      <c r="C25" s="3">
        <v>777.61</v>
      </c>
      <c r="D25" s="3">
        <v>771.81100000000004</v>
      </c>
      <c r="E25" s="3">
        <v>763.33199999999999</v>
      </c>
      <c r="F25" s="3">
        <v>770.91800000000001</v>
      </c>
    </row>
    <row r="26" spans="2:6" ht="16.5" x14ac:dyDescent="0.15">
      <c r="B26" s="2" t="s">
        <v>259</v>
      </c>
      <c r="C26" s="3">
        <v>750.71500000000003</v>
      </c>
      <c r="D26" s="3">
        <v>752.37</v>
      </c>
      <c r="E26" s="3">
        <v>746.73</v>
      </c>
      <c r="F26" s="3">
        <v>749.93799999999999</v>
      </c>
    </row>
    <row r="27" spans="2:6" ht="16.5" x14ac:dyDescent="0.15">
      <c r="B27" s="2" t="s">
        <v>260</v>
      </c>
      <c r="C27" s="3">
        <v>357.197</v>
      </c>
      <c r="D27" s="3">
        <v>336.05200000000002</v>
      </c>
      <c r="E27" s="3">
        <v>384.93599999999998</v>
      </c>
      <c r="F27" s="3">
        <v>359.39499999999998</v>
      </c>
    </row>
    <row r="28" spans="2:6" ht="16.5" x14ac:dyDescent="0.15">
      <c r="B28" s="2" t="s">
        <v>261</v>
      </c>
      <c r="C28" s="3">
        <v>82.649000000000001</v>
      </c>
      <c r="D28" s="3">
        <v>80.977000000000004</v>
      </c>
      <c r="E28" s="3">
        <v>80.451999999999998</v>
      </c>
      <c r="F28" s="3">
        <v>81.358999999999995</v>
      </c>
    </row>
    <row r="32" spans="2:6" ht="17.25" x14ac:dyDescent="0.15">
      <c r="B32" s="4" t="s">
        <v>357</v>
      </c>
    </row>
    <row r="33" spans="2:24" ht="15.75" x14ac:dyDescent="0.15">
      <c r="B33" s="19" t="s">
        <v>432</v>
      </c>
    </row>
    <row r="34" spans="2:24" x14ac:dyDescent="0.15">
      <c r="B34" s="21" t="s">
        <v>295</v>
      </c>
      <c r="C34" s="21" t="s">
        <v>296</v>
      </c>
      <c r="D34" s="21" t="s">
        <v>297</v>
      </c>
      <c r="E34" s="21" t="s">
        <v>298</v>
      </c>
      <c r="F34" s="21" t="s">
        <v>299</v>
      </c>
      <c r="G34" s="21" t="s">
        <v>300</v>
      </c>
      <c r="H34" s="21" t="s">
        <v>301</v>
      </c>
      <c r="I34" s="21" t="s">
        <v>302</v>
      </c>
      <c r="J34" s="21" t="s">
        <v>303</v>
      </c>
      <c r="K34" s="21" t="s">
        <v>304</v>
      </c>
      <c r="L34" s="21" t="s">
        <v>305</v>
      </c>
      <c r="M34" s="21" t="s">
        <v>306</v>
      </c>
      <c r="N34" s="21" t="s">
        <v>307</v>
      </c>
      <c r="O34" s="21" t="s">
        <v>308</v>
      </c>
      <c r="P34" s="21" t="s">
        <v>309</v>
      </c>
      <c r="Q34" s="21" t="s">
        <v>310</v>
      </c>
      <c r="R34" s="21" t="s">
        <v>311</v>
      </c>
      <c r="S34" s="21" t="s">
        <v>312</v>
      </c>
      <c r="T34" s="21" t="s">
        <v>313</v>
      </c>
      <c r="U34" s="21" t="s">
        <v>314</v>
      </c>
      <c r="V34" s="21" t="s">
        <v>315</v>
      </c>
      <c r="W34" s="21" t="s">
        <v>316</v>
      </c>
      <c r="X34" s="21" t="s">
        <v>317</v>
      </c>
    </row>
    <row r="35" spans="2:24" ht="16.5" x14ac:dyDescent="0.15">
      <c r="B35" s="2" t="s">
        <v>347</v>
      </c>
      <c r="C35" s="3">
        <f>2700.975/10</f>
        <v>270.09749999999997</v>
      </c>
      <c r="D35" s="3">
        <f>417.521/10+3</f>
        <v>44.752099999999999</v>
      </c>
      <c r="E35" s="3">
        <f>3705.413/10</f>
        <v>370.54129999999998</v>
      </c>
      <c r="F35" s="3">
        <f>104.569/10</f>
        <v>10.456900000000001</v>
      </c>
      <c r="G35" s="3">
        <f>2530.81/10+10</f>
        <v>263.08100000000002</v>
      </c>
      <c r="H35" s="3">
        <f>2199.478/10</f>
        <v>219.9478</v>
      </c>
      <c r="I35" s="3">
        <f>2860.031/10</f>
        <v>286.00310000000002</v>
      </c>
      <c r="J35" s="3">
        <f>3378.54/10</f>
        <v>337.85399999999998</v>
      </c>
      <c r="K35" s="3">
        <f>4777.459/10</f>
        <v>477.74590000000001</v>
      </c>
      <c r="L35" s="3">
        <f>2854.915/10+20</f>
        <v>305.49149999999997</v>
      </c>
      <c r="M35" s="3">
        <f>280.592/10</f>
        <v>28.059199999999997</v>
      </c>
      <c r="N35" s="3">
        <f>185.703/10</f>
        <v>18.5703</v>
      </c>
      <c r="O35" s="3">
        <f>687.819/10</f>
        <v>68.781899999999993</v>
      </c>
      <c r="P35" s="3">
        <f>1909.916/10</f>
        <v>190.99160000000001</v>
      </c>
      <c r="Q35" s="3">
        <f>2560.538/10</f>
        <v>256.05380000000002</v>
      </c>
      <c r="R35" s="3">
        <f>410.984/10+5</f>
        <v>46.098399999999998</v>
      </c>
      <c r="S35" s="3">
        <f>357.137/10</f>
        <v>35.713700000000003</v>
      </c>
      <c r="T35" s="3">
        <f>819.556/10</f>
        <v>81.955600000000004</v>
      </c>
      <c r="U35" s="3">
        <f>770.918/10</f>
        <v>77.091800000000006</v>
      </c>
      <c r="V35" s="3">
        <f>749.938/10</f>
        <v>74.993799999999993</v>
      </c>
      <c r="W35" s="3">
        <f>359.395/10+18</f>
        <v>53.939499999999995</v>
      </c>
      <c r="X35" s="3">
        <f>81.359/10</f>
        <v>8.1358999999999995</v>
      </c>
    </row>
    <row r="36" spans="2:24" ht="16.5" x14ac:dyDescent="0.15">
      <c r="B36" s="2" t="s">
        <v>348</v>
      </c>
      <c r="C36" s="3">
        <v>2700.9749999999999</v>
      </c>
      <c r="D36" s="3">
        <v>417.52100000000002</v>
      </c>
      <c r="E36" s="3">
        <v>3705.413</v>
      </c>
      <c r="F36" s="3">
        <v>104.569</v>
      </c>
      <c r="G36" s="3">
        <v>2530.81</v>
      </c>
      <c r="H36" s="3">
        <v>2199.4780000000001</v>
      </c>
      <c r="I36" s="3">
        <v>2860.0309999999999</v>
      </c>
      <c r="J36" s="3">
        <v>3378.54</v>
      </c>
      <c r="K36" s="3">
        <v>4777.4589999999998</v>
      </c>
      <c r="L36" s="3">
        <v>2854.915</v>
      </c>
      <c r="M36" s="3">
        <v>280.59199999999998</v>
      </c>
      <c r="N36" s="3">
        <v>185.703</v>
      </c>
      <c r="O36" s="3">
        <v>687.81899999999996</v>
      </c>
      <c r="P36" s="3">
        <v>1909.9159999999999</v>
      </c>
      <c r="Q36" s="3">
        <v>2560.538</v>
      </c>
      <c r="R36" s="3">
        <v>410.98399999999998</v>
      </c>
      <c r="S36" s="3">
        <v>357.137</v>
      </c>
      <c r="T36" s="3">
        <v>819.55600000000004</v>
      </c>
      <c r="U36" s="3">
        <v>770.91800000000001</v>
      </c>
      <c r="V36" s="3">
        <v>749.93799999999999</v>
      </c>
      <c r="W36" s="3">
        <v>359.39499999999998</v>
      </c>
      <c r="X36" s="3">
        <v>81.358999999999995</v>
      </c>
    </row>
    <row r="37" spans="2:24" ht="16.5" x14ac:dyDescent="0.15">
      <c r="B37" s="2" t="s">
        <v>349</v>
      </c>
      <c r="C37" s="3">
        <f>2500.975/10</f>
        <v>250.0975</v>
      </c>
      <c r="D37" s="3">
        <f>417.521/10-5</f>
        <v>36.752099999999999</v>
      </c>
      <c r="E37" s="3">
        <f>3705.413/10</f>
        <v>370.54129999999998</v>
      </c>
      <c r="F37" s="3">
        <f>104.569/10</f>
        <v>10.456900000000001</v>
      </c>
      <c r="G37" s="3">
        <f>2530.81/10-10</f>
        <v>243.08099999999999</v>
      </c>
      <c r="H37" s="3">
        <f>2199.478/10</f>
        <v>219.9478</v>
      </c>
      <c r="I37" s="3">
        <f>2860.031/10</f>
        <v>286.00310000000002</v>
      </c>
      <c r="J37" s="3">
        <f>3378.54/10</f>
        <v>337.85399999999998</v>
      </c>
      <c r="K37" s="3">
        <f>4777.459/10</f>
        <v>477.74590000000001</v>
      </c>
      <c r="L37" s="3">
        <f>2854.915/10-20</f>
        <v>265.49149999999997</v>
      </c>
      <c r="M37" s="3">
        <f>280.592/10</f>
        <v>28.059199999999997</v>
      </c>
      <c r="N37" s="3">
        <f>185.703/10</f>
        <v>18.5703</v>
      </c>
      <c r="O37" s="3">
        <f>687.819/10</f>
        <v>68.781899999999993</v>
      </c>
      <c r="P37" s="3">
        <f>1909.916/10</f>
        <v>190.99160000000001</v>
      </c>
      <c r="Q37" s="3">
        <f>2560.538/10</f>
        <v>256.05380000000002</v>
      </c>
      <c r="R37" s="3">
        <f>410.984/10-5</f>
        <v>36.098399999999998</v>
      </c>
      <c r="S37" s="3">
        <f>357.137/10</f>
        <v>35.713700000000003</v>
      </c>
      <c r="T37" s="3">
        <f>819.556/10</f>
        <v>81.955600000000004</v>
      </c>
      <c r="U37" s="3">
        <f>770.918/10</f>
        <v>77.091800000000006</v>
      </c>
      <c r="V37" s="3">
        <f>749.938/10</f>
        <v>74.993799999999993</v>
      </c>
      <c r="W37" s="3">
        <f>359.395/10-18</f>
        <v>17.939499999999995</v>
      </c>
      <c r="X37" s="3">
        <f>81.359/10</f>
        <v>8.1358999999999995</v>
      </c>
    </row>
    <row r="38" spans="2:24" ht="16.5" x14ac:dyDescent="0.15">
      <c r="B38" s="2" t="s">
        <v>350</v>
      </c>
      <c r="C38" s="3">
        <f>2500.975-20</f>
        <v>2480.9749999999999</v>
      </c>
      <c r="D38" s="3">
        <f>417.521-10</f>
        <v>407.52100000000002</v>
      </c>
      <c r="E38" s="3">
        <v>3705.413</v>
      </c>
      <c r="F38" s="3">
        <v>104.569</v>
      </c>
      <c r="G38" s="3" t="s">
        <v>346</v>
      </c>
      <c r="H38" s="3" t="s">
        <v>345</v>
      </c>
      <c r="I38" s="3" t="s">
        <v>344</v>
      </c>
      <c r="J38" s="3" t="s">
        <v>343</v>
      </c>
      <c r="K38" s="3" t="s">
        <v>342</v>
      </c>
      <c r="L38" s="3" t="s">
        <v>341</v>
      </c>
      <c r="M38" s="3" t="s">
        <v>340</v>
      </c>
      <c r="N38" s="3">
        <v>185.703</v>
      </c>
      <c r="O38" s="3">
        <v>687.81899999999996</v>
      </c>
      <c r="P38" s="3" t="s">
        <v>339</v>
      </c>
      <c r="Q38" s="3" t="s">
        <v>338</v>
      </c>
      <c r="R38" s="3">
        <v>410.98399999999998</v>
      </c>
      <c r="S38" s="3">
        <v>357.137</v>
      </c>
      <c r="T38" s="3">
        <v>819.55600000000004</v>
      </c>
      <c r="U38" s="3">
        <v>770.91800000000001</v>
      </c>
      <c r="V38" s="3" t="s">
        <v>337</v>
      </c>
      <c r="W38" s="3">
        <v>359.39499999999998</v>
      </c>
      <c r="X38" s="3" t="s">
        <v>336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/>
  </sheetViews>
  <sheetFormatPr defaultRowHeight="13.5" x14ac:dyDescent="0.15"/>
  <cols>
    <col min="1" max="8" width="12.625" customWidth="1"/>
    <col min="9" max="9" width="9" customWidth="1"/>
  </cols>
  <sheetData>
    <row r="1" spans="1:5" ht="17.25" x14ac:dyDescent="0.15">
      <c r="A1" s="4" t="s">
        <v>61</v>
      </c>
    </row>
    <row r="2" spans="1:5" ht="24" customHeight="1" x14ac:dyDescent="0.15">
      <c r="A2" s="30" t="s">
        <v>7</v>
      </c>
      <c r="B2" s="30"/>
      <c r="C2" s="30"/>
      <c r="D2" s="30"/>
      <c r="E2" s="30"/>
    </row>
    <row r="3" spans="1:5" ht="24" customHeight="1" x14ac:dyDescent="0.15">
      <c r="A3" s="30" t="s">
        <v>8</v>
      </c>
      <c r="B3" s="30"/>
      <c r="C3" s="30"/>
      <c r="D3" s="30"/>
      <c r="E3" s="30"/>
    </row>
    <row r="4" spans="1:5" ht="27" customHeight="1" x14ac:dyDescent="0.15">
      <c r="A4" s="1" t="s">
        <v>1</v>
      </c>
      <c r="B4" s="1" t="s">
        <v>11</v>
      </c>
      <c r="C4" s="1" t="s">
        <v>15</v>
      </c>
      <c r="D4" s="1" t="s">
        <v>9</v>
      </c>
      <c r="E4" s="1" t="s">
        <v>10</v>
      </c>
    </row>
    <row r="5" spans="1:5" ht="16.5" x14ac:dyDescent="0.15">
      <c r="A5" s="2">
        <v>16</v>
      </c>
      <c r="B5" s="3">
        <v>14440.55</v>
      </c>
      <c r="C5" s="3">
        <v>13618.95</v>
      </c>
      <c r="D5" s="3">
        <v>1267.2750000000001</v>
      </c>
      <c r="E5" s="3">
        <v>1583.1579999999999</v>
      </c>
    </row>
    <row r="6" spans="1:5" ht="16.5" x14ac:dyDescent="0.15">
      <c r="A6" s="2">
        <v>32</v>
      </c>
      <c r="B6" s="3">
        <v>16074.35</v>
      </c>
      <c r="C6" s="3">
        <v>15105.866</v>
      </c>
      <c r="D6" s="3">
        <v>1744.5920000000001</v>
      </c>
      <c r="E6" s="3">
        <v>2088.942</v>
      </c>
    </row>
    <row r="7" spans="1:5" ht="16.5" x14ac:dyDescent="0.15">
      <c r="A7" s="2">
        <v>64</v>
      </c>
      <c r="B7" s="3">
        <v>15177.683999999999</v>
      </c>
      <c r="C7" s="3">
        <v>14169.4</v>
      </c>
      <c r="D7" s="3">
        <v>1887.925</v>
      </c>
      <c r="E7" s="3">
        <v>2180.5</v>
      </c>
    </row>
    <row r="8" spans="1:5" ht="16.5" x14ac:dyDescent="0.15">
      <c r="A8" s="2">
        <v>128</v>
      </c>
      <c r="B8" s="3">
        <v>15116.75</v>
      </c>
      <c r="C8" s="3">
        <v>12704.884</v>
      </c>
      <c r="D8" s="3">
        <v>1931.2329999999999</v>
      </c>
      <c r="E8" s="3">
        <v>2204.3330000000001</v>
      </c>
    </row>
    <row r="9" spans="1:5" ht="16.5" x14ac:dyDescent="0.15">
      <c r="A9" s="2">
        <v>256</v>
      </c>
      <c r="B9" s="3">
        <v>15138.183999999999</v>
      </c>
      <c r="C9" s="3">
        <v>10831.384</v>
      </c>
      <c r="D9" s="3">
        <v>1916.684</v>
      </c>
      <c r="E9" s="3">
        <v>2193.9</v>
      </c>
    </row>
    <row r="16" spans="1:5" ht="24" customHeight="1" x14ac:dyDescent="0.15"/>
    <row r="17" ht="24" customHeight="1" x14ac:dyDescent="0.15"/>
    <row r="34" spans="1:1" ht="17.25" x14ac:dyDescent="0.15">
      <c r="A34" s="4" t="s">
        <v>60</v>
      </c>
    </row>
    <row r="35" spans="1:1" ht="17.25" x14ac:dyDescent="0.15">
      <c r="A35" s="4" t="s">
        <v>16</v>
      </c>
    </row>
    <row r="36" spans="1:1" ht="17.25" x14ac:dyDescent="0.15">
      <c r="A36" s="4" t="s">
        <v>17</v>
      </c>
    </row>
    <row r="37" spans="1:1" ht="17.25" x14ac:dyDescent="0.15">
      <c r="A37" s="4" t="s">
        <v>18</v>
      </c>
    </row>
    <row r="38" spans="1:1" ht="17.25" x14ac:dyDescent="0.15">
      <c r="A38" s="4" t="s">
        <v>19</v>
      </c>
    </row>
    <row r="39" spans="1:1" ht="17.25" x14ac:dyDescent="0.15">
      <c r="A39" s="4" t="s">
        <v>20</v>
      </c>
    </row>
    <row r="40" spans="1:1" ht="17.25" x14ac:dyDescent="0.15">
      <c r="A40" s="4"/>
    </row>
  </sheetData>
  <mergeCells count="2">
    <mergeCell ref="A2:E2"/>
    <mergeCell ref="A3:E3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topLeftCell="A83" workbookViewId="0">
      <selection activeCell="A126" sqref="A126"/>
    </sheetView>
  </sheetViews>
  <sheetFormatPr defaultRowHeight="13.5" x14ac:dyDescent="0.15"/>
  <cols>
    <col min="1" max="1" width="9.5" bestFit="1" customWidth="1"/>
  </cols>
  <sheetData>
    <row r="1" spans="1:1" ht="17.25" x14ac:dyDescent="0.15">
      <c r="A1" s="4" t="s">
        <v>179</v>
      </c>
    </row>
    <row r="3" spans="1:1" x14ac:dyDescent="0.15">
      <c r="A3" s="7" t="s">
        <v>63</v>
      </c>
    </row>
    <row r="4" spans="1:1" x14ac:dyDescent="0.15">
      <c r="A4" s="7"/>
    </row>
    <row r="5" spans="1:1" x14ac:dyDescent="0.15">
      <c r="A5" s="7" t="s">
        <v>64</v>
      </c>
    </row>
    <row r="6" spans="1:1" x14ac:dyDescent="0.15">
      <c r="A6" s="7" t="s">
        <v>65</v>
      </c>
    </row>
    <row r="7" spans="1:1" x14ac:dyDescent="0.15">
      <c r="A7" s="7" t="s">
        <v>66</v>
      </c>
    </row>
    <row r="8" spans="1:1" x14ac:dyDescent="0.15">
      <c r="A8" s="7" t="s">
        <v>67</v>
      </c>
    </row>
    <row r="9" spans="1:1" x14ac:dyDescent="0.15">
      <c r="A9" s="7" t="s">
        <v>68</v>
      </c>
    </row>
    <row r="10" spans="1:1" x14ac:dyDescent="0.15">
      <c r="A10" s="7" t="s">
        <v>69</v>
      </c>
    </row>
    <row r="11" spans="1:1" x14ac:dyDescent="0.15">
      <c r="A11" s="7" t="s">
        <v>70</v>
      </c>
    </row>
    <row r="12" spans="1:1" x14ac:dyDescent="0.15">
      <c r="A12" s="7" t="s">
        <v>71</v>
      </c>
    </row>
    <row r="13" spans="1:1" x14ac:dyDescent="0.15">
      <c r="A13" s="7" t="s">
        <v>72</v>
      </c>
    </row>
    <row r="14" spans="1:1" x14ac:dyDescent="0.15">
      <c r="A14" s="7" t="s">
        <v>73</v>
      </c>
    </row>
    <row r="15" spans="1:1" x14ac:dyDescent="0.15">
      <c r="A15" s="7" t="s">
        <v>74</v>
      </c>
    </row>
    <row r="16" spans="1:1" x14ac:dyDescent="0.15">
      <c r="A16" s="7" t="s">
        <v>75</v>
      </c>
    </row>
    <row r="17" spans="1:1" x14ac:dyDescent="0.15">
      <c r="A17" s="7" t="s">
        <v>76</v>
      </c>
    </row>
    <row r="18" spans="1:1" x14ac:dyDescent="0.15">
      <c r="A18" s="7" t="s">
        <v>77</v>
      </c>
    </row>
    <row r="19" spans="1:1" x14ac:dyDescent="0.15">
      <c r="A19" s="7" t="s">
        <v>78</v>
      </c>
    </row>
    <row r="20" spans="1:1" x14ac:dyDescent="0.15">
      <c r="A20" s="7" t="s">
        <v>79</v>
      </c>
    </row>
    <row r="21" spans="1:1" x14ac:dyDescent="0.15">
      <c r="A21" s="7" t="s">
        <v>80</v>
      </c>
    </row>
    <row r="22" spans="1:1" x14ac:dyDescent="0.15">
      <c r="A22" s="7" t="s">
        <v>81</v>
      </c>
    </row>
    <row r="23" spans="1:1" x14ac:dyDescent="0.15">
      <c r="A23" s="7" t="s">
        <v>82</v>
      </c>
    </row>
    <row r="24" spans="1:1" x14ac:dyDescent="0.15">
      <c r="A24" s="7" t="s">
        <v>83</v>
      </c>
    </row>
    <row r="25" spans="1:1" x14ac:dyDescent="0.15">
      <c r="A25" s="7" t="s">
        <v>84</v>
      </c>
    </row>
    <row r="26" spans="1:1" x14ac:dyDescent="0.15">
      <c r="A26" s="7" t="s">
        <v>85</v>
      </c>
    </row>
    <row r="30" spans="1:1" x14ac:dyDescent="0.15">
      <c r="A30" t="s">
        <v>177</v>
      </c>
    </row>
    <row r="32" spans="1:1" x14ac:dyDescent="0.15">
      <c r="A32" s="7" t="s">
        <v>86</v>
      </c>
    </row>
    <row r="33" spans="1:1" x14ac:dyDescent="0.15">
      <c r="A33" s="7" t="s">
        <v>87</v>
      </c>
    </row>
    <row r="34" spans="1:1" x14ac:dyDescent="0.15">
      <c r="A34" s="7" t="s">
        <v>88</v>
      </c>
    </row>
    <row r="35" spans="1:1" x14ac:dyDescent="0.15">
      <c r="A35" s="7" t="s">
        <v>89</v>
      </c>
    </row>
    <row r="36" spans="1:1" x14ac:dyDescent="0.15">
      <c r="A36" s="7" t="s">
        <v>90</v>
      </c>
    </row>
    <row r="37" spans="1:1" x14ac:dyDescent="0.15">
      <c r="A37" s="7" t="s">
        <v>91</v>
      </c>
    </row>
    <row r="38" spans="1:1" x14ac:dyDescent="0.15">
      <c r="A38" s="7" t="s">
        <v>92</v>
      </c>
    </row>
    <row r="39" spans="1:1" x14ac:dyDescent="0.15">
      <c r="A39" s="7" t="s">
        <v>93</v>
      </c>
    </row>
    <row r="40" spans="1:1" x14ac:dyDescent="0.15">
      <c r="A40" s="7" t="s">
        <v>94</v>
      </c>
    </row>
    <row r="41" spans="1:1" x14ac:dyDescent="0.15">
      <c r="A41" s="7" t="s">
        <v>95</v>
      </c>
    </row>
    <row r="42" spans="1:1" x14ac:dyDescent="0.15">
      <c r="A42" s="7" t="s">
        <v>96</v>
      </c>
    </row>
    <row r="43" spans="1:1" x14ac:dyDescent="0.15">
      <c r="A43" s="7" t="s">
        <v>97</v>
      </c>
    </row>
    <row r="44" spans="1:1" x14ac:dyDescent="0.15">
      <c r="A44" s="7" t="s">
        <v>98</v>
      </c>
    </row>
    <row r="45" spans="1:1" x14ac:dyDescent="0.15">
      <c r="A45" s="7" t="s">
        <v>99</v>
      </c>
    </row>
    <row r="46" spans="1:1" x14ac:dyDescent="0.15">
      <c r="A46" s="7" t="s">
        <v>100</v>
      </c>
    </row>
    <row r="47" spans="1:1" x14ac:dyDescent="0.15">
      <c r="A47" s="7" t="s">
        <v>101</v>
      </c>
    </row>
    <row r="48" spans="1:1" x14ac:dyDescent="0.15">
      <c r="A48" s="7" t="s">
        <v>102</v>
      </c>
    </row>
    <row r="49" spans="1:1" x14ac:dyDescent="0.15">
      <c r="A49" s="7" t="s">
        <v>103</v>
      </c>
    </row>
    <row r="50" spans="1:1" x14ac:dyDescent="0.15">
      <c r="A50" s="7" t="s">
        <v>104</v>
      </c>
    </row>
    <row r="51" spans="1:1" x14ac:dyDescent="0.15">
      <c r="A51" s="7" t="s">
        <v>105</v>
      </c>
    </row>
    <row r="52" spans="1:1" x14ac:dyDescent="0.15">
      <c r="A52" s="7" t="s">
        <v>106</v>
      </c>
    </row>
    <row r="53" spans="1:1" x14ac:dyDescent="0.15">
      <c r="A53" s="7" t="s">
        <v>107</v>
      </c>
    </row>
    <row r="54" spans="1:1" x14ac:dyDescent="0.15">
      <c r="A54" s="7" t="s">
        <v>108</v>
      </c>
    </row>
    <row r="55" spans="1:1" x14ac:dyDescent="0.15">
      <c r="A55" s="7" t="s">
        <v>109</v>
      </c>
    </row>
    <row r="56" spans="1:1" x14ac:dyDescent="0.15">
      <c r="A56" s="7" t="s">
        <v>110</v>
      </c>
    </row>
    <row r="57" spans="1:1" x14ac:dyDescent="0.15">
      <c r="A57" s="7" t="s">
        <v>111</v>
      </c>
    </row>
    <row r="58" spans="1:1" x14ac:dyDescent="0.15">
      <c r="A58" s="7" t="s">
        <v>112</v>
      </c>
    </row>
    <row r="59" spans="1:1" x14ac:dyDescent="0.15">
      <c r="A59" s="7" t="s">
        <v>113</v>
      </c>
    </row>
    <row r="60" spans="1:1" x14ac:dyDescent="0.15">
      <c r="A60" s="7" t="s">
        <v>114</v>
      </c>
    </row>
    <row r="61" spans="1:1" x14ac:dyDescent="0.15">
      <c r="A61" s="7" t="s">
        <v>115</v>
      </c>
    </row>
    <row r="62" spans="1:1" x14ac:dyDescent="0.15">
      <c r="A62" s="7" t="s">
        <v>116</v>
      </c>
    </row>
    <row r="63" spans="1:1" x14ac:dyDescent="0.15">
      <c r="A63" s="7" t="s">
        <v>117</v>
      </c>
    </row>
    <row r="64" spans="1:1" x14ac:dyDescent="0.15">
      <c r="A64" s="7" t="s">
        <v>118</v>
      </c>
    </row>
    <row r="65" spans="1:1" x14ac:dyDescent="0.15">
      <c r="A65" s="7" t="s">
        <v>119</v>
      </c>
    </row>
    <row r="66" spans="1:1" x14ac:dyDescent="0.15">
      <c r="A66" s="7" t="s">
        <v>120</v>
      </c>
    </row>
    <row r="67" spans="1:1" x14ac:dyDescent="0.15">
      <c r="A67" s="7" t="s">
        <v>121</v>
      </c>
    </row>
    <row r="68" spans="1:1" x14ac:dyDescent="0.15">
      <c r="A68" s="7" t="s">
        <v>122</v>
      </c>
    </row>
    <row r="69" spans="1:1" x14ac:dyDescent="0.15">
      <c r="A69" s="7" t="s">
        <v>123</v>
      </c>
    </row>
    <row r="70" spans="1:1" x14ac:dyDescent="0.15">
      <c r="A70" s="7" t="s">
        <v>124</v>
      </c>
    </row>
    <row r="71" spans="1:1" x14ac:dyDescent="0.15">
      <c r="A71" s="7" t="s">
        <v>125</v>
      </c>
    </row>
    <row r="72" spans="1:1" x14ac:dyDescent="0.15">
      <c r="A72" s="7" t="s">
        <v>126</v>
      </c>
    </row>
    <row r="73" spans="1:1" x14ac:dyDescent="0.15">
      <c r="A73" s="7" t="s">
        <v>127</v>
      </c>
    </row>
    <row r="74" spans="1:1" x14ac:dyDescent="0.15">
      <c r="A74" s="7" t="s">
        <v>128</v>
      </c>
    </row>
    <row r="75" spans="1:1" x14ac:dyDescent="0.15">
      <c r="A75" s="7" t="s">
        <v>129</v>
      </c>
    </row>
    <row r="76" spans="1:1" x14ac:dyDescent="0.15">
      <c r="A76" s="7" t="s">
        <v>130</v>
      </c>
    </row>
    <row r="77" spans="1:1" x14ac:dyDescent="0.15">
      <c r="A77" s="7" t="s">
        <v>131</v>
      </c>
    </row>
    <row r="78" spans="1:1" x14ac:dyDescent="0.15">
      <c r="A78" s="7">
        <v>11</v>
      </c>
    </row>
    <row r="79" spans="1:1" x14ac:dyDescent="0.15">
      <c r="A79" s="7" t="s">
        <v>132</v>
      </c>
    </row>
    <row r="80" spans="1:1" x14ac:dyDescent="0.15">
      <c r="A80" s="7" t="s">
        <v>133</v>
      </c>
    </row>
    <row r="81" spans="1:1" x14ac:dyDescent="0.15">
      <c r="A81" s="7" t="s">
        <v>134</v>
      </c>
    </row>
    <row r="82" spans="1:1" x14ac:dyDescent="0.15">
      <c r="A82" s="7" t="s">
        <v>135</v>
      </c>
    </row>
    <row r="83" spans="1:1" x14ac:dyDescent="0.15">
      <c r="A83" s="7" t="s">
        <v>136</v>
      </c>
    </row>
    <row r="84" spans="1:1" x14ac:dyDescent="0.15">
      <c r="A84" s="7" t="s">
        <v>137</v>
      </c>
    </row>
    <row r="85" spans="1:1" x14ac:dyDescent="0.15">
      <c r="A85" s="7" t="s">
        <v>138</v>
      </c>
    </row>
    <row r="86" spans="1:1" x14ac:dyDescent="0.15">
      <c r="A86" s="7" t="s">
        <v>139</v>
      </c>
    </row>
    <row r="87" spans="1:1" x14ac:dyDescent="0.15">
      <c r="A87" s="7" t="s">
        <v>140</v>
      </c>
    </row>
    <row r="88" spans="1:1" x14ac:dyDescent="0.15">
      <c r="A88" s="7" t="s">
        <v>141</v>
      </c>
    </row>
    <row r="89" spans="1:1" x14ac:dyDescent="0.15">
      <c r="A89" s="7" t="s">
        <v>142</v>
      </c>
    </row>
    <row r="90" spans="1:1" x14ac:dyDescent="0.15">
      <c r="A90" s="7" t="s">
        <v>143</v>
      </c>
    </row>
    <row r="91" spans="1:1" x14ac:dyDescent="0.15">
      <c r="A91" s="7" t="s">
        <v>144</v>
      </c>
    </row>
    <row r="92" spans="1:1" x14ac:dyDescent="0.15">
      <c r="A92" s="7" t="s">
        <v>145</v>
      </c>
    </row>
    <row r="93" spans="1:1" x14ac:dyDescent="0.15">
      <c r="A93" s="7" t="s">
        <v>146</v>
      </c>
    </row>
    <row r="94" spans="1:1" x14ac:dyDescent="0.15">
      <c r="A94" s="7" t="s">
        <v>147</v>
      </c>
    </row>
    <row r="95" spans="1:1" x14ac:dyDescent="0.15">
      <c r="A95" s="7" t="s">
        <v>148</v>
      </c>
    </row>
    <row r="96" spans="1:1" x14ac:dyDescent="0.15">
      <c r="A96" s="7" t="s">
        <v>149</v>
      </c>
    </row>
    <row r="97" spans="1:1" x14ac:dyDescent="0.15">
      <c r="A97" s="7" t="s">
        <v>150</v>
      </c>
    </row>
    <row r="98" spans="1:1" x14ac:dyDescent="0.15">
      <c r="A98" s="7" t="s">
        <v>151</v>
      </c>
    </row>
    <row r="99" spans="1:1" x14ac:dyDescent="0.15">
      <c r="A99" s="7" t="s">
        <v>152</v>
      </c>
    </row>
    <row r="100" spans="1:1" x14ac:dyDescent="0.15">
      <c r="A100" s="7" t="s">
        <v>153</v>
      </c>
    </row>
    <row r="101" spans="1:1" x14ac:dyDescent="0.15">
      <c r="A101" s="7" t="s">
        <v>154</v>
      </c>
    </row>
    <row r="102" spans="1:1" x14ac:dyDescent="0.15">
      <c r="A102" s="7" t="s">
        <v>155</v>
      </c>
    </row>
    <row r="103" spans="1:1" x14ac:dyDescent="0.15">
      <c r="A103" s="7" t="s">
        <v>156</v>
      </c>
    </row>
    <row r="104" spans="1:1" x14ac:dyDescent="0.15">
      <c r="A104" s="7" t="s">
        <v>157</v>
      </c>
    </row>
    <row r="105" spans="1:1" x14ac:dyDescent="0.15">
      <c r="A105" s="7" t="s">
        <v>158</v>
      </c>
    </row>
    <row r="106" spans="1:1" x14ac:dyDescent="0.15">
      <c r="A106" s="7" t="s">
        <v>159</v>
      </c>
    </row>
    <row r="107" spans="1:1" x14ac:dyDescent="0.15">
      <c r="A107" s="7" t="s">
        <v>160</v>
      </c>
    </row>
    <row r="108" spans="1:1" x14ac:dyDescent="0.15">
      <c r="A108" s="7" t="s">
        <v>161</v>
      </c>
    </row>
    <row r="109" spans="1:1" x14ac:dyDescent="0.15">
      <c r="A109" s="7" t="s">
        <v>162</v>
      </c>
    </row>
    <row r="110" spans="1:1" x14ac:dyDescent="0.15">
      <c r="A110" s="7" t="s">
        <v>163</v>
      </c>
    </row>
    <row r="111" spans="1:1" x14ac:dyDescent="0.15">
      <c r="A111" s="7" t="s">
        <v>164</v>
      </c>
    </row>
    <row r="112" spans="1:1" x14ac:dyDescent="0.15">
      <c r="A112" s="7" t="s">
        <v>165</v>
      </c>
    </row>
    <row r="113" spans="1:1" x14ac:dyDescent="0.15">
      <c r="A113" s="7" t="s">
        <v>166</v>
      </c>
    </row>
    <row r="114" spans="1:1" x14ac:dyDescent="0.15">
      <c r="A114" s="7" t="s">
        <v>167</v>
      </c>
    </row>
    <row r="115" spans="1:1" x14ac:dyDescent="0.15">
      <c r="A115" s="7" t="s">
        <v>168</v>
      </c>
    </row>
    <row r="116" spans="1:1" x14ac:dyDescent="0.15">
      <c r="A116" s="7" t="s">
        <v>169</v>
      </c>
    </row>
    <row r="117" spans="1:1" x14ac:dyDescent="0.15">
      <c r="A117" s="7" t="s">
        <v>170</v>
      </c>
    </row>
    <row r="118" spans="1:1" x14ac:dyDescent="0.15">
      <c r="A118" s="7" t="s">
        <v>171</v>
      </c>
    </row>
    <row r="119" spans="1:1" x14ac:dyDescent="0.15">
      <c r="A119" s="7" t="s">
        <v>172</v>
      </c>
    </row>
    <row r="120" spans="1:1" x14ac:dyDescent="0.15">
      <c r="A120" s="7" t="s">
        <v>173</v>
      </c>
    </row>
    <row r="121" spans="1:1" x14ac:dyDescent="0.15">
      <c r="A121" s="7" t="s">
        <v>174</v>
      </c>
    </row>
    <row r="122" spans="1:1" x14ac:dyDescent="0.15">
      <c r="A122" s="7" t="s">
        <v>175</v>
      </c>
    </row>
    <row r="126" spans="1:1" ht="17.25" x14ac:dyDescent="0.15">
      <c r="A126" s="9" t="s">
        <v>178</v>
      </c>
    </row>
    <row r="127" spans="1:1" x14ac:dyDescent="0.15">
      <c r="A127" s="10" t="s">
        <v>21</v>
      </c>
    </row>
    <row r="128" spans="1:1" x14ac:dyDescent="0.15">
      <c r="A128" s="10" t="s">
        <v>22</v>
      </c>
    </row>
    <row r="129" spans="1:1" x14ac:dyDescent="0.15">
      <c r="A129" s="10" t="s">
        <v>23</v>
      </c>
    </row>
    <row r="130" spans="1:1" x14ac:dyDescent="0.15">
      <c r="A130" s="10" t="s">
        <v>24</v>
      </c>
    </row>
    <row r="131" spans="1:1" x14ac:dyDescent="0.15">
      <c r="A131" s="10" t="s">
        <v>25</v>
      </c>
    </row>
    <row r="132" spans="1:1" x14ac:dyDescent="0.15">
      <c r="A132" s="10" t="s">
        <v>26</v>
      </c>
    </row>
    <row r="133" spans="1:1" x14ac:dyDescent="0.15">
      <c r="A133" s="10" t="s">
        <v>27</v>
      </c>
    </row>
    <row r="134" spans="1:1" x14ac:dyDescent="0.15">
      <c r="A134" s="10" t="s">
        <v>28</v>
      </c>
    </row>
    <row r="135" spans="1:1" x14ac:dyDescent="0.15">
      <c r="A135" s="10" t="s">
        <v>29</v>
      </c>
    </row>
    <row r="136" spans="1:1" x14ac:dyDescent="0.15">
      <c r="A136" s="10" t="s">
        <v>30</v>
      </c>
    </row>
    <row r="137" spans="1:1" x14ac:dyDescent="0.15">
      <c r="A137" s="10" t="s">
        <v>31</v>
      </c>
    </row>
    <row r="138" spans="1:1" x14ac:dyDescent="0.15">
      <c r="A138" s="10" t="s">
        <v>32</v>
      </c>
    </row>
    <row r="139" spans="1:1" x14ac:dyDescent="0.15">
      <c r="A139" s="10" t="s">
        <v>33</v>
      </c>
    </row>
    <row r="140" spans="1:1" x14ac:dyDescent="0.15">
      <c r="A140" s="10" t="s">
        <v>34</v>
      </c>
    </row>
    <row r="141" spans="1:1" x14ac:dyDescent="0.15">
      <c r="A141" s="10" t="s">
        <v>35</v>
      </c>
    </row>
    <row r="142" spans="1:1" x14ac:dyDescent="0.15">
      <c r="A142" s="10" t="s">
        <v>36</v>
      </c>
    </row>
    <row r="143" spans="1:1" x14ac:dyDescent="0.15">
      <c r="A143" s="10" t="s">
        <v>37</v>
      </c>
    </row>
    <row r="144" spans="1:1" x14ac:dyDescent="0.15">
      <c r="A144" s="10" t="s">
        <v>38</v>
      </c>
    </row>
    <row r="145" spans="1:1" x14ac:dyDescent="0.15">
      <c r="A145" s="10" t="s">
        <v>39</v>
      </c>
    </row>
    <row r="146" spans="1:1" x14ac:dyDescent="0.15">
      <c r="A146" s="10" t="s">
        <v>40</v>
      </c>
    </row>
    <row r="147" spans="1:1" x14ac:dyDescent="0.15">
      <c r="A147" s="10" t="s">
        <v>41</v>
      </c>
    </row>
    <row r="149" spans="1:1" x14ac:dyDescent="0.15">
      <c r="A149" s="8" t="s">
        <v>176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13</vt:i4>
      </vt:variant>
    </vt:vector>
  </HeadingPairs>
  <TitlesOfParts>
    <vt:vector size="26" baseType="lpstr">
      <vt:lpstr>0、索引</vt:lpstr>
      <vt:lpstr>1、测试环境</vt:lpstr>
      <vt:lpstr>2、CPU测试结果</vt:lpstr>
      <vt:lpstr>3、THREAD测试结果</vt:lpstr>
      <vt:lpstr>4、MUTEX测试结果</vt:lpstr>
      <vt:lpstr>5、内存测试结果</vt:lpstr>
      <vt:lpstr>6、IO测试结果(iozone)</vt:lpstr>
      <vt:lpstr>7、IO测试结果(sysbench)</vt:lpstr>
      <vt:lpstr>8、OLTP测试结果(tpcc-mysql)</vt:lpstr>
      <vt:lpstr>8、OLTP测试结果(sysbench)</vt:lpstr>
      <vt:lpstr>9、OLAP测试结果(tpch)</vt:lpstr>
      <vt:lpstr>10、测试报告</vt:lpstr>
      <vt:lpstr>11、附录</vt:lpstr>
      <vt:lpstr>_0、索引</vt:lpstr>
      <vt:lpstr>_1、测试环境</vt:lpstr>
      <vt:lpstr>'8、OLTP测试结果(sysbench)'!_1、历次测试结果</vt:lpstr>
      <vt:lpstr>'9、OLAP测试结果(tpch)'!_1、历次测试结果</vt:lpstr>
      <vt:lpstr>_1、历次测试结果</vt:lpstr>
      <vt:lpstr>_1.1测试环境</vt:lpstr>
      <vt:lpstr>_1.2、测试工具、脚本</vt:lpstr>
      <vt:lpstr>_2、测试模式</vt:lpstr>
      <vt:lpstr>_3、测试结果汇总</vt:lpstr>
      <vt:lpstr>_4、测试报告</vt:lpstr>
      <vt:lpstr>附录1_硬件信息</vt:lpstr>
      <vt:lpstr>附录2_Intel_520_SSD配置</vt:lpstr>
      <vt:lpstr>附录3_MySQL配置信息</vt:lpstr>
    </vt:vector>
  </TitlesOfParts>
  <Company>CYOU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叶金荣</dc:creator>
  <cp:lastModifiedBy>yejr</cp:lastModifiedBy>
  <dcterms:created xsi:type="dcterms:W3CDTF">2012-04-19T07:22:41Z</dcterms:created>
  <dcterms:modified xsi:type="dcterms:W3CDTF">2012-12-21T12:13:12Z</dcterms:modified>
</cp:coreProperties>
</file>