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OMETRICToE" sheetId="1" r:id="rId4"/>
  </sheets>
  <definedNames/>
  <calcPr/>
  <extLst>
    <ext uri="GoogleSheetsCustomDataVersion2">
      <go:sheetsCustomData xmlns:go="http://customooxmlschemas.google.com/" r:id="rId5" roundtripDataChecksum="ixEanPMnPHIYJiY3D1Uh74QQF2VhcN7308gEY621eqU="/>
    </ext>
  </extLst>
</workbook>
</file>

<file path=xl/sharedStrings.xml><?xml version="1.0" encoding="utf-8"?>
<sst xmlns="http://schemas.openxmlformats.org/spreadsheetml/2006/main" count="272" uniqueCount="228">
  <si>
    <t>Possible precedent: GOLDEN AGE --&gt; GEN APP / WEIRD STANDARD + CONCEPTS OF A9 --&gt; OUTER RING --&gt; CAT "(EDGE / 2) +0.5"</t>
  </si>
  <si>
    <t>It was lately found the averages (right) may be consistent with the primary values (far left)</t>
  </si>
  <si>
    <t>NOTE: BE CAREFUL WITH USING H OR V MORE THAN 5, IT CAN RESULT IN LARGE NUMBERS</t>
  </si>
  <si>
    <t>Eff + 0.5 DIFF may equal the optimal Eff</t>
  </si>
  <si>
    <t>Forces + 0.5 ANTIF may equal optimal Forces</t>
  </si>
  <si>
    <t>GEOMETRIC TOE: ALSO CALLED SUPER EASY T.O.E.</t>
  </si>
  <si>
    <t>NATHAN LARKIN COPPEGE PERMISSION TO COPY FOR REUSE</t>
  </si>
  <si>
    <t>Anti-Eff + 0.5 Anti-Diff may equal optimal Anti-Eff</t>
  </si>
  <si>
    <t>DEPENDENT FOR NOW. --------------&gt;</t>
  </si>
  <si>
    <t>D =</t>
  </si>
  <si>
    <t>ToE Usually 4</t>
  </si>
  <si>
    <t>D doesn't really matter. Normally it's an input. You can optionally change the formula for D to Var1+Var2 as I have done.</t>
  </si>
  <si>
    <t>Neg Forces + 0.5 Neg-Antif may equal optimal Neg Forces</t>
  </si>
  <si>
    <t>Diff, Antif, Anti-Diff, and Neg-Antif may be optimized at 1 under optimal conditions</t>
  </si>
  <si>
    <t>ONLY INPUTS:</t>
  </si>
  <si>
    <t>INPUT: LENGTH OF HORIZONTAL AXIS =</t>
  </si>
  <si>
    <t>Typically 5</t>
  </si>
  <si>
    <t>5 is standard. Horizontal should be number theories categories in the Immaculate Equation Sum along an axis, E.G. "Inf, Fin, 0, -Fin, -Inf" = 5</t>
  </si>
  <si>
    <t>2d genius stuff:</t>
  </si>
  <si>
    <t>3,5 SEEMS TO PRODUCE OUR UNIVERSE</t>
  </si>
  <si>
    <t>INPUT: LENGTH OF VERTICAL AXIS =</t>
  </si>
  <si>
    <t>5 is standard. Vertical should be number theory categories of Var1 in the relevant Immaculate Equation along an axis</t>
  </si>
  <si>
    <t>Normally H and V form a square or D-dimensional shape. '5' is a normal choice for either</t>
  </si>
  <si>
    <t>19,6 immortality</t>
  </si>
  <si>
    <t>5,5 SEEMS TO IMPROVE OUR UNIVERSE</t>
  </si>
  <si>
    <t>BELOW NOT COMPATIBLE WITH NEGATIVE LENGTHS</t>
  </si>
  <si>
    <t>TCATS =</t>
  </si>
  <si>
    <t>DEPENDENT!</t>
  </si>
  <si>
    <t>VAR 1 =</t>
  </si>
  <si>
    <t>Usually 3</t>
  </si>
  <si>
    <t>DEPENDENT: An easy equation has been applied that is somewhat reliable, and varies by axis</t>
  </si>
  <si>
    <t># OF SUMS TO SOLVE =</t>
  </si>
  <si>
    <t>VAR 2 =</t>
  </si>
  <si>
    <t>Usually 1,-1,or0</t>
  </si>
  <si>
    <t>DEPENDENT: Inputs do not give a coherent picture, they only apply to the relevant equation in this format</t>
  </si>
  <si>
    <t>PROVIDED W/</t>
  </si>
  <si>
    <t>RESULTS BOX FOR INDIVIDUAL EQUATIONS SEPARATELY FOR INPUTTED VARIABLES</t>
  </si>
  <si>
    <t>Optimal for immortality: 19+ (H), 6+ (V) , &gt;= 10:2, 5:1 ratio</t>
  </si>
  <si>
    <t>RESULTS,TOE</t>
  </si>
  <si>
    <r>
      <rPr>
        <rFont val="Arial"/>
        <b/>
        <color theme="1"/>
      </rPr>
      <t xml:space="preserve">EFF </t>
    </r>
    <r>
      <rPr>
        <rFont val="Arial"/>
        <b val="0"/>
        <color theme="1"/>
      </rPr>
      <t>/ MECHANICS</t>
    </r>
  </si>
  <si>
    <t>ANTI-EFF</t>
  </si>
  <si>
    <t>4.333 repeating is about the highest H or V square that yields immortality</t>
  </si>
  <si>
    <t>2023-09-30: New discovery is the disintegral</t>
  </si>
  <si>
    <t>NEGTOE/MGK</t>
  </si>
  <si>
    <r>
      <rPr>
        <rFont val="Arial"/>
        <b/>
        <color theme="1"/>
      </rPr>
      <t xml:space="preserve">DIFF </t>
    </r>
    <r>
      <rPr>
        <rFont val="Arial"/>
        <b val="0"/>
        <color theme="1"/>
      </rPr>
      <t>/ ENERGY</t>
    </r>
  </si>
  <si>
    <t>ANTI-DIFF</t>
  </si>
  <si>
    <t>Fortunately, it is 3-dimensional, more accurately it aspires to be 3-dimensional</t>
  </si>
  <si>
    <t>is the ToE for the negative dimensions</t>
  </si>
  <si>
    <t>DIMENSIONS</t>
  </si>
  <si>
    <t>FORCES</t>
  </si>
  <si>
    <t>NEG-FORCES</t>
  </si>
  <si>
    <t>Anti-Eff meaning + to set?</t>
  </si>
  <si>
    <t>assuming neg Eff and neg Diff</t>
  </si>
  <si>
    <t>ANTI-DIM</t>
  </si>
  <si>
    <t>ANTIF</t>
  </si>
  <si>
    <t>NEG-ANTIF</t>
  </si>
  <si>
    <t>Or just subtr Eff</t>
  </si>
  <si>
    <r>
      <rPr>
        <rFont val="Arial"/>
        <b/>
        <color theme="1"/>
      </rPr>
      <t>DISINT</t>
    </r>
    <r>
      <rPr>
        <rFont val="Arial"/>
        <b val="0"/>
        <color theme="1"/>
      </rPr>
      <t>/UNDEATH</t>
    </r>
  </si>
  <si>
    <t>ANTITHEORY</t>
  </si>
  <si>
    <t>Neg ToE&amp;Anti-D may be similar to 2 * (4/2) = cat deduction?</t>
  </si>
  <si>
    <t>RESULTS BOX FOR ANALOGOUS EQUATIONS IN INFRANENTIAL EFFICIENCY</t>
  </si>
  <si>
    <t>EFF</t>
  </si>
  <si>
    <t>(VAR1+VAR2) - 2 this may express relevant dimensions such as time dimensions, this may be what is meant by -2 is immortality</t>
  </si>
  <si>
    <t>NEG TOE</t>
  </si>
  <si>
    <t>DIFF</t>
  </si>
  <si>
    <t>(D - 2 / (1 / (D + 2))) this may be what is meant by + 2 and -2 in regards to immortality</t>
  </si>
  <si>
    <t>Neg deduction physical?</t>
  </si>
  <si>
    <t>DISINTEGRAL</t>
  </si>
  <si>
    <t>Quality</t>
  </si>
  <si>
    <t>Total Categories in 1-d =</t>
  </si>
  <si>
    <t>AVG EDGE =</t>
  </si>
  <si>
    <t>Quantity</t>
  </si>
  <si>
    <t>OU + 1 = poss max OU:</t>
  </si>
  <si>
    <t>Total Categories in 2-d =</t>
  </si>
  <si>
    <t>OU - 1 = current extra energy:</t>
  </si>
  <si>
    <t>Total Categories in 3-d =</t>
  </si>
  <si>
    <t>Cautionary Notes: 1. It refers to the equations separately not in an interrelated fashion,</t>
  </si>
  <si>
    <t>Quantiifed ratio</t>
  </si>
  <si>
    <t>Total Categories in 4-d =</t>
  </si>
  <si>
    <t>and 2. It only gives the max scores, and 3. It depends on inputs, so is only good for certain types of experimentation.</t>
  </si>
  <si>
    <t>Total Categories in 5-d =</t>
  </si>
  <si>
    <t>Notes: Variables now depend only on axis lengths</t>
  </si>
  <si>
    <t>Total Categories in 6-d =</t>
  </si>
  <si>
    <t>Total Categories in 7-d =</t>
  </si>
  <si>
    <t>PHYSICAL MATERIALS (TOE)</t>
  </si>
  <si>
    <t>Note: Since D was sort of unified with immortal D, Eff now sort of gives Immortal D.</t>
  </si>
  <si>
    <t>SCIENTIFIC 1</t>
  </si>
  <si>
    <t>Perimeter - Edge - 4</t>
  </si>
  <si>
    <t>Total Categories in 8-d =</t>
  </si>
  <si>
    <t>ABSTRACT MATERIALS (TOE)</t>
  </si>
  <si>
    <t>SCIENTIFIC 2</t>
  </si>
  <si>
    <t>Total Categories in 9-d =</t>
  </si>
  <si>
    <t>PHYSICAL IMMORTAL</t>
  </si>
  <si>
    <t>The following values may be standard:</t>
  </si>
  <si>
    <t>Total Categories in 10-d =</t>
  </si>
  <si>
    <t>ABSTRACT IMMORTAL</t>
  </si>
  <si>
    <t>4,4</t>
  </si>
  <si>
    <t>&lt;--4 H X 4 V YIELDS + or - 2.5 for all Results and also 2.5 dimensions</t>
  </si>
  <si>
    <t>REVISED IMMORTALITY</t>
  </si>
  <si>
    <t>Total Categories in 11-d =</t>
  </si>
  <si>
    <t>5,5</t>
  </si>
  <si>
    <t>&lt;--This is the standard ToE, oddly enough it predicts four dimensions</t>
  </si>
  <si>
    <t>EQUATIONS =</t>
  </si>
  <si>
    <t>Knowledge and perpetual motion * 16 equations?</t>
  </si>
  <si>
    <t>Total Categories in 12-d =</t>
  </si>
  <si>
    <t>Efficiency</t>
  </si>
  <si>
    <t>Energy</t>
  </si>
  <si>
    <t>6,6,</t>
  </si>
  <si>
    <t xml:space="preserve">Ref: 2 * (Real D - (# Neg D)) </t>
  </si>
  <si>
    <t>Really 5 equations of 16 = math mission</t>
  </si>
  <si>
    <t>Total Categories in 13-d =</t>
  </si>
  <si>
    <t>7,7</t>
  </si>
  <si>
    <t>&lt;--Dimensions produced here are equal to the average of the edges</t>
  </si>
  <si>
    <t>Really 5 equations of 16 = decimated mission</t>
  </si>
  <si>
    <t>Total Categories in 14-d =</t>
  </si>
  <si>
    <t>Abstract per physical = efficiency</t>
  </si>
  <si>
    <t>8,8</t>
  </si>
  <si>
    <t>PREFERRED:</t>
  </si>
  <si>
    <t>Total Categories in 15-d =</t>
  </si>
  <si>
    <t>Physical per abstract = energy</t>
  </si>
  <si>
    <t>9,9</t>
  </si>
  <si>
    <t>&lt;-- 9,9 is a possible cap on what humans currently consider technology, it is not an absolute limit</t>
  </si>
  <si>
    <t>EACH HAS</t>
  </si>
  <si>
    <t>VARIABLES</t>
  </si>
  <si>
    <t>EXPERIMENTAL: CONSERVATIVE IMMORTALS?</t>
  </si>
  <si>
    <t>More conservatively, 5.5 to 7 dimensions may be where mechanics runs into trouble, however, it is not completely known. It may be a thinking problem.</t>
  </si>
  <si>
    <t>INCLUDING BOTH SIDES OF '='</t>
  </si>
  <si>
    <t>EXPERIMENTAL AVG DIMENSION =</t>
  </si>
  <si>
    <t>Infranential math:</t>
  </si>
  <si>
    <t>ToE: 2 - 2 = minus 2 (Equations are net equations)</t>
  </si>
  <si>
    <t>KEY NUMBERS: 1.875, Three, 4.125, 5.25, 6.375, 7.5</t>
  </si>
  <si>
    <t>AVG = 4.6875</t>
  </si>
  <si>
    <t>Neg ToE = ToE (Opposites are true)</t>
  </si>
  <si>
    <t>D: 2 + 2 = -2 (Repeating results in negation)</t>
  </si>
  <si>
    <t>4.59375 = THE WISH NUMBER</t>
  </si>
  <si>
    <t>DTOE PANEL</t>
  </si>
  <si>
    <t>Negative edge omitted.</t>
  </si>
  <si>
    <t>Anti-D = Forces + Antiforces (Dimensions are negative)</t>
  </si>
  <si>
    <t>CATS 1 - 5</t>
  </si>
  <si>
    <t>CATS 6 - 10</t>
  </si>
  <si>
    <t>CATS 11 - 15</t>
  </si>
  <si>
    <t>CATS 16 - 20</t>
  </si>
  <si>
    <t>CONSTANT</t>
  </si>
  <si>
    <t>MOSTLY IGNORE BELOW THIS POINT</t>
  </si>
  <si>
    <t>DIMENSIONS:</t>
  </si>
  <si>
    <t>EXAMPLE:</t>
  </si>
  <si>
    <t>MEANING</t>
  </si>
  <si>
    <t>VARIABLE</t>
  </si>
  <si>
    <t>NEG VARIABLE</t>
  </si>
  <si>
    <t>EXCEPTIONAL:</t>
  </si>
  <si>
    <t>EXCESSIVE:</t>
  </si>
  <si>
    <t>ENERGY</t>
  </si>
  <si>
    <t>EXPERIMENTAL: QUANTITY OF DIMENSIONS + ANTIDIMENSIONS MAY EQUAL THE IMMORTALITY = 2 * D</t>
  </si>
  <si>
    <t>ACCESSORY:</t>
  </si>
  <si>
    <t>TECHNOLOGY</t>
  </si>
  <si>
    <t>ABSTR EFF:</t>
  </si>
  <si>
    <t>MAT EFF:</t>
  </si>
  <si>
    <t>-4-d</t>
  </si>
  <si>
    <t>NEW METHODS OF IMMORTALITY</t>
  </si>
  <si>
    <t>6, 7, 11, 14</t>
  </si>
  <si>
    <t>-3-d</t>
  </si>
  <si>
    <t>-2-d</t>
  </si>
  <si>
    <t>Perpetual motion</t>
  </si>
  <si>
    <t>-1-d</t>
  </si>
  <si>
    <t>Symbolize the 4</t>
  </si>
  <si>
    <t>0-d</t>
  </si>
  <si>
    <t>Over-unity</t>
  </si>
  <si>
    <t>1-d</t>
  </si>
  <si>
    <t>CORE KEY TECHNOLOGIES</t>
  </si>
  <si>
    <t>2-d</t>
  </si>
  <si>
    <t>Immortal efficiency</t>
  </si>
  <si>
    <t>HERE MATERIAL EFF IS 1 / ABSTR EFF</t>
  </si>
  <si>
    <t>3-d</t>
  </si>
  <si>
    <t>2H X 2V</t>
  </si>
  <si>
    <t>4-d</t>
  </si>
  <si>
    <t>Conventionally 3-d</t>
  </si>
  <si>
    <t>ABSTR TECH</t>
  </si>
  <si>
    <t>2:1</t>
  </si>
  <si>
    <t>KNOWLEDGE</t>
  </si>
  <si>
    <t>5-d</t>
  </si>
  <si>
    <t>Conventionally 4-d</t>
  </si>
  <si>
    <t>MAT TECH</t>
  </si>
  <si>
    <t>0.5:1</t>
  </si>
  <si>
    <t>PMMS</t>
  </si>
  <si>
    <t>6-d</t>
  </si>
  <si>
    <t>7-d</t>
  </si>
  <si>
    <t>4H X 4V</t>
  </si>
  <si>
    <t>8-d</t>
  </si>
  <si>
    <t>3:1</t>
  </si>
  <si>
    <t>KNOWLEDGE 2</t>
  </si>
  <si>
    <t>9-d</t>
  </si>
  <si>
    <t>0.333:1</t>
  </si>
  <si>
    <t>IMMORTALITY</t>
  </si>
  <si>
    <t>10-d</t>
  </si>
  <si>
    <t>11-d</t>
  </si>
  <si>
    <t>5H X 5V</t>
  </si>
  <si>
    <t>12-d</t>
  </si>
  <si>
    <t>3.2:1</t>
  </si>
  <si>
    <t>KNOWLEDGE 3</t>
  </si>
  <si>
    <t>13-d</t>
  </si>
  <si>
    <t>0.3125:1</t>
  </si>
  <si>
    <t>IMMORTALITY 2</t>
  </si>
  <si>
    <t>14-d</t>
  </si>
  <si>
    <t>15-d</t>
  </si>
  <si>
    <t>5.5H X 5.5V</t>
  </si>
  <si>
    <t>KNOWLEDGE 4</t>
  </si>
  <si>
    <t>IMMORTALITY 3</t>
  </si>
  <si>
    <t>This could be a bad sign. We keep going down the dimensions Until finally we perceive -24.5 Dimensional perception.</t>
  </si>
  <si>
    <t>MORE OFFICIAL CORE KEY TECHNOLOGIES FOR T.O.E.</t>
  </si>
  <si>
    <t>IN PROGRESS</t>
  </si>
  <si>
    <t>HERE ABSTR IS RESULTS * MATERIAL MODIFIER</t>
  </si>
  <si>
    <t>T.O.E. (MAX)</t>
  </si>
  <si>
    <t>EFF = 1.5</t>
  </si>
  <si>
    <t>DIFF = -2</t>
  </si>
  <si>
    <t>MAT TECH (MIN)</t>
  </si>
  <si>
    <t>EFF = 2.5</t>
  </si>
  <si>
    <t>KNOWLEDGE2</t>
  </si>
  <si>
    <t>DIFF = 0</t>
  </si>
  <si>
    <t>EFF = 3</t>
  </si>
  <si>
    <t>KNOWLEDGE3</t>
  </si>
  <si>
    <t>DIFF = 1</t>
  </si>
  <si>
    <t>IMMORT 2</t>
  </si>
  <si>
    <t>EFF = 3.25</t>
  </si>
  <si>
    <t>KNOWLEDGE4</t>
  </si>
  <si>
    <t>DIFF = 1.5</t>
  </si>
  <si>
    <t>IMMORT 3</t>
  </si>
  <si>
    <t>MAGIC: 0.368421052631579</t>
  </si>
  <si>
    <t>This chart above may be good but is a little experimental and applications are not known.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</si>
</sst>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  <scheme val="minor"/>
    </font>
    <font>
      <b/>
      <i/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sz val="11.0"/>
      <color rgb="FF282829"/>
      <name val="Arial"/>
    </font>
    <font>
      <sz val="10.0"/>
      <color rgb="FF000000"/>
      <name val="Arial"/>
    </font>
    <font>
      <b/>
      <i/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bottom style="thick">
        <color rgb="FF000000"/>
      </bottom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shrinkToFit="0" vertical="bottom" wrapText="0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right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5" numFmtId="0" xfId="0" applyFont="1"/>
    <xf borderId="0" fillId="0" fontId="2" numFmtId="0" xfId="0" applyAlignment="1" applyFont="1">
      <alignment horizontal="center" readingOrder="0"/>
    </xf>
    <xf borderId="0" fillId="2" fontId="0" numFmtId="0" xfId="0" applyAlignment="1" applyFill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horizontal="right"/>
    </xf>
    <xf borderId="0" fillId="0" fontId="1" numFmtId="0" xfId="0" applyFont="1"/>
    <xf borderId="1" fillId="0" fontId="5" numFmtId="0" xfId="0" applyAlignment="1" applyBorder="1" applyFont="1">
      <alignment readingOrder="0"/>
    </xf>
    <xf borderId="2" fillId="0" fontId="2" numFmtId="0" xfId="0" applyBorder="1" applyFont="1"/>
    <xf borderId="2" fillId="0" fontId="5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5" fillId="0" fontId="2" numFmtId="0" xfId="0" applyBorder="1" applyFont="1"/>
    <xf borderId="4" fillId="0" fontId="5" numFmtId="0" xfId="0" applyBorder="1" applyFont="1"/>
    <xf borderId="4" fillId="0" fontId="2" numFmtId="0" xfId="0" applyBorder="1" applyFont="1"/>
    <xf borderId="6" fillId="0" fontId="1" numFmtId="0" xfId="0" applyBorder="1" applyFont="1"/>
    <xf borderId="7" fillId="0" fontId="1" numFmtId="0" xfId="0" applyBorder="1" applyFont="1"/>
    <xf borderId="7" fillId="0" fontId="6" numFmtId="0" xfId="0" applyAlignment="1" applyBorder="1" applyFont="1">
      <alignment readingOrder="0"/>
    </xf>
    <xf borderId="8" fillId="0" fontId="1" numFmtId="0" xfId="0" applyBorder="1" applyFont="1"/>
    <xf borderId="0" fillId="0" fontId="6" numFmtId="0" xfId="0" applyAlignment="1" applyFont="1">
      <alignment readingOrder="0"/>
    </xf>
    <xf borderId="2" fillId="0" fontId="5" numFmtId="0" xfId="0" applyBorder="1" applyFont="1"/>
    <xf borderId="6" fillId="0" fontId="1" numFmtId="0" xfId="0" applyAlignment="1" applyBorder="1" applyFont="1">
      <alignment readingOrder="0"/>
    </xf>
    <xf borderId="7" fillId="0" fontId="2" numFmtId="0" xfId="0" applyAlignment="1" applyBorder="1" applyFont="1">
      <alignment horizontal="right"/>
    </xf>
    <xf borderId="0" fillId="2" fontId="7" numFmtId="0" xfId="0" applyAlignment="1" applyFont="1">
      <alignment readingOrder="0"/>
    </xf>
    <xf borderId="0" fillId="2" fontId="7" numFmtId="0" xfId="0" applyAlignment="1" applyFont="1">
      <alignment horizontal="left" readingOrder="0"/>
    </xf>
    <xf borderId="0" fillId="2" fontId="8" numFmtId="0" xfId="0" applyAlignment="1" applyFont="1">
      <alignment horizontal="right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9" fillId="0" fontId="6" numFmtId="0" xfId="0" applyBorder="1" applyFont="1"/>
    <xf borderId="10" fillId="0" fontId="6" numFmtId="0" xfId="0" applyAlignment="1" applyBorder="1" applyFont="1">
      <alignment readingOrder="0"/>
    </xf>
    <xf borderId="10" fillId="0" fontId="9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9" numFmtId="0" xfId="0" applyAlignment="1" applyBorder="1" applyFont="1">
      <alignment readingOrder="0"/>
    </xf>
    <xf borderId="12" fillId="0" fontId="6" numFmtId="0" xfId="0" applyBorder="1" applyFont="1"/>
    <xf borderId="13" fillId="0" fontId="6" numFmtId="0" xfId="0" applyAlignment="1" applyBorder="1" applyFont="1">
      <alignment horizontal="center" readingOrder="0"/>
    </xf>
    <xf borderId="14" fillId="0" fontId="6" numFmtId="0" xfId="0" applyBorder="1" applyFont="1"/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7" fillId="0" fontId="1" numFmtId="0" xfId="0" applyAlignment="1" applyBorder="1" applyFont="1">
      <alignment readingOrder="0"/>
    </xf>
    <xf borderId="0" fillId="0" fontId="6" numFmtId="0" xfId="0" applyAlignment="1" applyFont="1">
      <alignment horizontal="left" readingOrder="0"/>
    </xf>
    <xf borderId="15" fillId="0" fontId="6" numFmtId="0" xfId="0" applyBorder="1" applyFont="1"/>
    <xf borderId="13" fillId="0" fontId="6" numFmtId="0" xfId="0" applyBorder="1" applyFont="1"/>
    <xf borderId="16" fillId="0" fontId="6" numFmtId="0" xfId="0" applyBorder="1" applyFont="1"/>
    <xf borderId="0" fillId="0" fontId="1" numFmtId="0" xfId="0" applyAlignment="1" applyFont="1">
      <alignment horizontal="center" readingOrder="0"/>
    </xf>
    <xf borderId="0" fillId="2" fontId="10" numFmtId="0" xfId="0" applyAlignment="1" applyFont="1">
      <alignment horizontal="left" readingOrder="0"/>
    </xf>
    <xf borderId="0" fillId="0" fontId="2" numFmtId="0" xfId="0" applyAlignment="1" applyFont="1">
      <alignment horizontal="right" readingOrder="0" vertical="bottom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Courier New"/>
              </a:defRPr>
            </a:pPr>
            <a:r>
              <a:rPr b="1">
                <a:solidFill>
                  <a:schemeClr val="dk1"/>
                </a:solidFill>
                <a:latin typeface="Courier New"/>
              </a:rPr>
              <a:t>LINEAGE OF DIMENSIONS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GEOMETRICToE!$C$83:$C$97</c:f>
            </c:strRef>
          </c:cat>
          <c:val>
            <c:numRef>
              <c:f>GEOMETRICToE!$D$83:$D$97</c:f>
              <c:numCache/>
            </c:numRef>
          </c:val>
        </c:ser>
        <c:axId val="453511386"/>
        <c:axId val="1096541986"/>
      </c:areaChart>
      <c:catAx>
        <c:axId val="4535113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Courier New"/>
              </a:defRPr>
            </a:pPr>
          </a:p>
        </c:txPr>
        <c:crossAx val="1096541986"/>
      </c:catAx>
      <c:valAx>
        <c:axId val="10965419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3511386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923925</xdr:colOff>
      <xdr:row>79</xdr:row>
      <xdr:rowOff>123825</xdr:rowOff>
    </xdr:from>
    <xdr:ext cx="7753350" cy="4800600"/>
    <xdr:graphicFrame>
      <xdr:nvGraphicFramePr>
        <xdr:cNvPr id="93591069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8" max="8" width="15.63"/>
    <col customWidth="1" min="13" max="13" width="6.5"/>
    <col customWidth="1" min="14" max="14" width="15.13"/>
    <col customWidth="1" min="15" max="15" width="15.25"/>
    <col customWidth="1" min="18" max="18" width="8.13"/>
  </cols>
  <sheetData>
    <row r="1" ht="15.75" customHeight="1"/>
    <row r="2" ht="15.75" customHeight="1">
      <c r="B2" s="1" t="s">
        <v>0</v>
      </c>
    </row>
    <row r="3" ht="15.75" customHeight="1">
      <c r="B3" s="1" t="s">
        <v>1</v>
      </c>
      <c r="I3" s="2" t="s">
        <v>2</v>
      </c>
    </row>
    <row r="4" ht="15.75" customHeight="1">
      <c r="A4" s="3" t="s">
        <v>3</v>
      </c>
      <c r="B4" s="4"/>
    </row>
    <row r="5" ht="15.75" customHeight="1">
      <c r="A5" s="3" t="s">
        <v>4</v>
      </c>
      <c r="G5" s="5" t="s">
        <v>5</v>
      </c>
      <c r="K5" s="2" t="s">
        <v>6</v>
      </c>
    </row>
    <row r="6" ht="15.75" customHeight="1">
      <c r="A6" s="3" t="s">
        <v>7</v>
      </c>
      <c r="E6" s="6"/>
      <c r="F6" s="6" t="s">
        <v>8</v>
      </c>
      <c r="G6" s="7" t="s">
        <v>9</v>
      </c>
      <c r="H6" s="8">
        <f>(H11+H12)</f>
        <v>12</v>
      </c>
      <c r="I6" s="1" t="s">
        <v>10</v>
      </c>
      <c r="J6" s="2" t="s">
        <v>11</v>
      </c>
    </row>
    <row r="7" ht="15.75" customHeight="1">
      <c r="A7" s="3" t="s">
        <v>12</v>
      </c>
      <c r="G7" s="7"/>
      <c r="H7" s="9"/>
    </row>
    <row r="8" ht="15.75" customHeight="1">
      <c r="A8" s="1" t="s">
        <v>13</v>
      </c>
      <c r="D8" s="10" t="s">
        <v>14</v>
      </c>
      <c r="G8" s="7" t="s">
        <v>15</v>
      </c>
      <c r="H8" s="11">
        <v>19.0</v>
      </c>
      <c r="I8" s="12" t="s">
        <v>16</v>
      </c>
      <c r="J8" s="2" t="s">
        <v>17</v>
      </c>
    </row>
    <row r="9" ht="15.75" customHeight="1">
      <c r="A9" s="1" t="s">
        <v>18</v>
      </c>
      <c r="D9" s="13" t="s">
        <v>19</v>
      </c>
      <c r="E9" s="14"/>
      <c r="G9" s="7" t="s">
        <v>20</v>
      </c>
      <c r="H9" s="11">
        <v>6.0</v>
      </c>
      <c r="I9" s="1" t="s">
        <v>16</v>
      </c>
      <c r="J9" s="2" t="s">
        <v>21</v>
      </c>
      <c r="Q9" s="2" t="s">
        <v>22</v>
      </c>
    </row>
    <row r="10" ht="15.75" customHeight="1">
      <c r="A10" s="1" t="s">
        <v>23</v>
      </c>
      <c r="D10" s="13" t="s">
        <v>24</v>
      </c>
      <c r="E10" s="1" t="s">
        <v>25</v>
      </c>
      <c r="H10" s="9"/>
    </row>
    <row r="11" ht="15.75" customHeight="1">
      <c r="B11" s="1" t="s">
        <v>26</v>
      </c>
      <c r="C11" s="15">
        <f>H8*H9</f>
        <v>114</v>
      </c>
      <c r="E11" s="10" t="s">
        <v>27</v>
      </c>
      <c r="G11" s="2" t="s">
        <v>28</v>
      </c>
      <c r="H11" s="8">
        <f>((H8/2)+0.5)</f>
        <v>10</v>
      </c>
      <c r="I11" s="1" t="s">
        <v>29</v>
      </c>
      <c r="J11" s="2" t="s">
        <v>30</v>
      </c>
    </row>
    <row r="12" ht="15.75" customHeight="1">
      <c r="B12" s="13" t="s">
        <v>31</v>
      </c>
      <c r="C12" s="15">
        <f>((POWER(C11,1/H6)-3)/H6)</f>
        <v>-0.1263404985</v>
      </c>
      <c r="E12" s="10" t="s">
        <v>27</v>
      </c>
      <c r="G12" s="2" t="s">
        <v>32</v>
      </c>
      <c r="H12" s="8">
        <f>(H9-4)</f>
        <v>2</v>
      </c>
      <c r="I12" s="1" t="s">
        <v>33</v>
      </c>
      <c r="J12" s="2" t="s">
        <v>34</v>
      </c>
    </row>
    <row r="13" ht="15.75" customHeight="1">
      <c r="B13" s="1" t="s">
        <v>35</v>
      </c>
      <c r="C13" s="15">
        <f>(-(POWER(C11,1/H6)-3)/H6)*100</f>
        <v>12.63404985</v>
      </c>
      <c r="F13" s="10" t="s">
        <v>36</v>
      </c>
      <c r="L13" s="1" t="s">
        <v>37</v>
      </c>
    </row>
    <row r="14" ht="15.75" customHeight="1">
      <c r="E14" s="16" t="s">
        <v>38</v>
      </c>
      <c r="F14" s="17">
        <f>H11+H12</f>
        <v>12</v>
      </c>
      <c r="G14" s="17"/>
      <c r="H14" s="18" t="s">
        <v>39</v>
      </c>
      <c r="I14" s="19">
        <f>H11-H12</f>
        <v>8</v>
      </c>
      <c r="J14" s="2"/>
      <c r="K14" s="10" t="s">
        <v>40</v>
      </c>
      <c r="L14" s="2">
        <f>-H11+H12</f>
        <v>-8</v>
      </c>
      <c r="P14" s="1" t="s">
        <v>41</v>
      </c>
    </row>
    <row r="15" ht="15.75" customHeight="1">
      <c r="B15" s="1" t="s">
        <v>42</v>
      </c>
      <c r="E15" s="20" t="s">
        <v>43</v>
      </c>
      <c r="F15" s="2">
        <f>-H11-H12</f>
        <v>-12</v>
      </c>
      <c r="H15" s="21" t="s">
        <v>44</v>
      </c>
      <c r="I15" s="22">
        <f>H11-H12</f>
        <v>8</v>
      </c>
      <c r="K15" s="2" t="s">
        <v>45</v>
      </c>
      <c r="L15" s="2">
        <f>-H11+H12</f>
        <v>-8</v>
      </c>
      <c r="P15" s="1" t="s">
        <v>46</v>
      </c>
    </row>
    <row r="16" ht="15.75" customHeight="1">
      <c r="B16" s="1" t="s">
        <v>47</v>
      </c>
      <c r="E16" s="23" t="s">
        <v>48</v>
      </c>
      <c r="F16" s="2">
        <f>H11+H12</f>
        <v>12</v>
      </c>
      <c r="H16" s="2" t="s">
        <v>49</v>
      </c>
      <c r="I16" s="22">
        <f>H11-H12</f>
        <v>8</v>
      </c>
      <c r="K16" s="2" t="s">
        <v>50</v>
      </c>
      <c r="L16" s="2">
        <f>-H11+H12</f>
        <v>-8</v>
      </c>
      <c r="N16" s="1" t="s">
        <v>51</v>
      </c>
    </row>
    <row r="17" ht="15.75" customHeight="1">
      <c r="B17" s="1" t="s">
        <v>52</v>
      </c>
      <c r="E17" s="24" t="s">
        <v>53</v>
      </c>
      <c r="F17" s="2">
        <f>-H11-H12</f>
        <v>-12</v>
      </c>
      <c r="G17" s="2"/>
      <c r="H17" s="2" t="s">
        <v>54</v>
      </c>
      <c r="I17" s="22">
        <f>H11-H12</f>
        <v>8</v>
      </c>
      <c r="J17" s="2"/>
      <c r="K17" s="2" t="s">
        <v>55</v>
      </c>
      <c r="L17" s="2">
        <f>-H11+H12</f>
        <v>-8</v>
      </c>
      <c r="N17" s="1" t="s">
        <v>56</v>
      </c>
    </row>
    <row r="18" ht="15.75" customHeight="1">
      <c r="E18" s="25"/>
      <c r="F18" s="26"/>
      <c r="G18" s="26"/>
      <c r="H18" s="27" t="s">
        <v>57</v>
      </c>
      <c r="I18" s="28">
        <f>(H11-H12)</f>
        <v>8</v>
      </c>
      <c r="K18" s="29" t="s">
        <v>58</v>
      </c>
      <c r="L18" s="15">
        <f>(H12-H11)</f>
        <v>-8</v>
      </c>
    </row>
    <row r="19" ht="15.75" customHeight="1">
      <c r="A19" s="1" t="s">
        <v>59</v>
      </c>
      <c r="F19" s="10" t="s">
        <v>60</v>
      </c>
    </row>
    <row r="20" ht="15.75" customHeight="1">
      <c r="E20" s="16" t="s">
        <v>38</v>
      </c>
      <c r="F20" s="17">
        <f>H12-H11</f>
        <v>-8</v>
      </c>
      <c r="G20" s="17"/>
      <c r="H20" s="30" t="s">
        <v>61</v>
      </c>
      <c r="I20" s="19">
        <f>H12+H11</f>
        <v>12</v>
      </c>
      <c r="J20" s="2"/>
      <c r="K20" s="10" t="s">
        <v>40</v>
      </c>
      <c r="L20" s="2">
        <f>H11-H12</f>
        <v>8</v>
      </c>
      <c r="P20" s="1" t="s">
        <v>62</v>
      </c>
    </row>
    <row r="21" ht="15.75" customHeight="1">
      <c r="E21" s="24" t="s">
        <v>63</v>
      </c>
      <c r="F21" s="2">
        <f>H11+H12</f>
        <v>12</v>
      </c>
      <c r="H21" s="10" t="s">
        <v>64</v>
      </c>
      <c r="I21" s="22">
        <f>H12+H11</f>
        <v>12</v>
      </c>
      <c r="K21" s="2" t="s">
        <v>45</v>
      </c>
      <c r="L21" s="2">
        <f>H11-H12</f>
        <v>8</v>
      </c>
      <c r="P21" s="1" t="s">
        <v>65</v>
      </c>
    </row>
    <row r="22" ht="15.75" customHeight="1">
      <c r="C22" s="1" t="s">
        <v>66</v>
      </c>
      <c r="E22" s="23" t="s">
        <v>48</v>
      </c>
      <c r="F22" s="2">
        <f>H12-H11</f>
        <v>-8</v>
      </c>
      <c r="H22" s="2" t="s">
        <v>49</v>
      </c>
      <c r="I22" s="22">
        <f>H12+H11</f>
        <v>12</v>
      </c>
      <c r="K22" s="2" t="s">
        <v>50</v>
      </c>
      <c r="L22" s="2">
        <f>H11-H12</f>
        <v>8</v>
      </c>
    </row>
    <row r="23" ht="15.75" customHeight="1">
      <c r="E23" s="24" t="s">
        <v>53</v>
      </c>
      <c r="F23" s="2">
        <f>H12+H11</f>
        <v>12</v>
      </c>
      <c r="G23" s="2"/>
      <c r="H23" s="2" t="s">
        <v>54</v>
      </c>
      <c r="I23" s="22">
        <f>H12+H11</f>
        <v>12</v>
      </c>
      <c r="J23" s="2"/>
      <c r="K23" s="2" t="s">
        <v>55</v>
      </c>
      <c r="L23" s="2">
        <f>H11-H12</f>
        <v>8</v>
      </c>
    </row>
    <row r="24" ht="15.75" customHeight="1">
      <c r="E24" s="31"/>
      <c r="F24" s="26"/>
      <c r="G24" s="32"/>
      <c r="H24" s="27" t="s">
        <v>67</v>
      </c>
      <c r="I24" s="28">
        <f>(H12-H11)</f>
        <v>-8</v>
      </c>
      <c r="K24" s="29" t="s">
        <v>58</v>
      </c>
      <c r="L24" s="15">
        <f>(H11-H12)</f>
        <v>8</v>
      </c>
    </row>
    <row r="25" ht="15.75" customHeight="1">
      <c r="A25" s="15">
        <f>0.5*H6</f>
        <v>6</v>
      </c>
      <c r="B25" s="1" t="s">
        <v>68</v>
      </c>
      <c r="G25" s="14" t="s">
        <v>69</v>
      </c>
      <c r="H25" s="2">
        <f>K25</f>
        <v>12.5</v>
      </c>
      <c r="J25" s="2" t="s">
        <v>70</v>
      </c>
      <c r="K25" s="2">
        <f>(H8+H9)/2</f>
        <v>12.5</v>
      </c>
      <c r="P25" s="15">
        <f>((H6-2)/(1/H6+2))</f>
        <v>4.8</v>
      </c>
    </row>
    <row r="26" ht="15.75" customHeight="1">
      <c r="A26" s="15">
        <f>H6*1</f>
        <v>12</v>
      </c>
      <c r="B26" s="1" t="s">
        <v>71</v>
      </c>
      <c r="D26" s="13" t="s">
        <v>72</v>
      </c>
      <c r="E26" s="15" t="str">
        <f>"&lt;"&amp;((H12+1.5)*100)&amp;"% of 1X mass"</f>
        <v>&lt;350% of 1X mass</v>
      </c>
      <c r="G26" s="14" t="s">
        <v>73</v>
      </c>
      <c r="H26" s="2">
        <f>(POWER(K25,2))</f>
        <v>156.25</v>
      </c>
    </row>
    <row r="27" ht="15.75" customHeight="1">
      <c r="D27" s="13" t="s">
        <v>74</v>
      </c>
      <c r="E27" s="15" t="str">
        <f>"&lt;"&amp;((H12-0.5)*100)&amp;"% of 1X mass"</f>
        <v>&lt;150% of 1X mass</v>
      </c>
      <c r="G27" s="14" t="s">
        <v>75</v>
      </c>
      <c r="H27" s="2">
        <f>(POWER(K25,3))</f>
        <v>1953.125</v>
      </c>
      <c r="J27" s="33" t="s">
        <v>76</v>
      </c>
    </row>
    <row r="28" ht="15.75" customHeight="1">
      <c r="A28" s="15">
        <f>1.5*H6</f>
        <v>18</v>
      </c>
      <c r="B28" s="1" t="s">
        <v>77</v>
      </c>
      <c r="G28" s="14" t="s">
        <v>78</v>
      </c>
      <c r="H28" s="2">
        <f>(POWER(K25,4))</f>
        <v>24414.0625</v>
      </c>
      <c r="J28" s="1" t="s">
        <v>79</v>
      </c>
    </row>
    <row r="29" ht="15.75" customHeight="1">
      <c r="G29" s="14" t="s">
        <v>80</v>
      </c>
      <c r="H29" s="2">
        <f>(POWER(K25,5))</f>
        <v>305175.7813</v>
      </c>
      <c r="L29" s="2" t="s">
        <v>81</v>
      </c>
    </row>
    <row r="30" ht="15.75" customHeight="1">
      <c r="G30" s="14" t="s">
        <v>82</v>
      </c>
      <c r="H30" s="2">
        <f>(POWER(K25,6))</f>
        <v>3814697.266</v>
      </c>
      <c r="L30" s="2"/>
    </row>
    <row r="31" ht="15.75" customHeight="1">
      <c r="G31" s="14" t="s">
        <v>83</v>
      </c>
      <c r="H31" s="2">
        <f>(POWER(K25,7))</f>
        <v>47683715.82</v>
      </c>
      <c r="I31" s="15">
        <f>F14-(I14)+1</f>
        <v>5</v>
      </c>
      <c r="J31" s="1" t="s">
        <v>84</v>
      </c>
      <c r="L31" s="34" t="s">
        <v>85</v>
      </c>
    </row>
    <row r="32" ht="15.75" customHeight="1">
      <c r="B32" s="1" t="s">
        <v>86</v>
      </c>
      <c r="C32" s="1" t="s">
        <v>87</v>
      </c>
      <c r="G32" s="14" t="s">
        <v>88</v>
      </c>
      <c r="H32" s="2">
        <f>(POWER(K25,8))</f>
        <v>596046447.8</v>
      </c>
      <c r="I32" s="15">
        <f>F14-(I14)+1</f>
        <v>5</v>
      </c>
      <c r="J32" s="1" t="s">
        <v>89</v>
      </c>
    </row>
    <row r="33" ht="15.75" customHeight="1">
      <c r="B33" s="1" t="s">
        <v>90</v>
      </c>
      <c r="C33" s="1">
        <f>((H8/2)+0.5)</f>
        <v>10</v>
      </c>
      <c r="G33" s="14" t="s">
        <v>91</v>
      </c>
      <c r="H33" s="35">
        <f>(POWER(K25,9))</f>
        <v>7450580597</v>
      </c>
      <c r="I33" s="15">
        <f>F14/I31</f>
        <v>2.4</v>
      </c>
      <c r="J33" s="1" t="s">
        <v>92</v>
      </c>
      <c r="L33" s="1" t="s">
        <v>93</v>
      </c>
    </row>
    <row r="34" ht="15.75" customHeight="1">
      <c r="G34" s="14" t="s">
        <v>94</v>
      </c>
      <c r="H34" s="14">
        <f>(POWER(K25,10))</f>
        <v>93132257462</v>
      </c>
      <c r="I34" s="15">
        <f>F14</f>
        <v>12</v>
      </c>
      <c r="J34" s="1" t="s">
        <v>95</v>
      </c>
      <c r="L34" s="1" t="s">
        <v>96</v>
      </c>
      <c r="M34" s="1" t="s">
        <v>97</v>
      </c>
    </row>
    <row r="35" ht="15.75" customHeight="1">
      <c r="B35" s="1" t="s">
        <v>98</v>
      </c>
      <c r="G35" s="14" t="s">
        <v>99</v>
      </c>
      <c r="H35" s="14">
        <f>(POWER(K25,11))</f>
        <v>1164153218269</v>
      </c>
      <c r="I35" s="1">
        <f>4/1.3333333</f>
        <v>3.000000075</v>
      </c>
      <c r="J35" s="15">
        <f>1.3333333/4</f>
        <v>0.333333325</v>
      </c>
      <c r="L35" s="1" t="s">
        <v>100</v>
      </c>
      <c r="M35" s="1" t="s">
        <v>101</v>
      </c>
    </row>
    <row r="36" ht="15.75" customHeight="1">
      <c r="A36" s="1" t="s">
        <v>102</v>
      </c>
      <c r="B36" s="36">
        <f>((2*H6)*H6)</f>
        <v>288</v>
      </c>
      <c r="C36" s="1" t="s">
        <v>103</v>
      </c>
      <c r="G36" s="14" t="s">
        <v>104</v>
      </c>
      <c r="H36" s="14">
        <f>(POWER(K25,12))</f>
        <v>14551915228367</v>
      </c>
      <c r="I36" s="1" t="s">
        <v>105</v>
      </c>
      <c r="J36" s="1" t="s">
        <v>106</v>
      </c>
      <c r="L36" s="1" t="s">
        <v>107</v>
      </c>
    </row>
    <row r="37" ht="15.75" customHeight="1">
      <c r="A37" s="1" t="s">
        <v>108</v>
      </c>
      <c r="C37" s="1" t="s">
        <v>109</v>
      </c>
      <c r="G37" s="14" t="s">
        <v>110</v>
      </c>
      <c r="H37" s="14">
        <f>(POWER(K25,13))</f>
        <v>181898940354586</v>
      </c>
      <c r="L37" s="1" t="s">
        <v>111</v>
      </c>
      <c r="M37" s="1" t="s">
        <v>112</v>
      </c>
    </row>
    <row r="38" ht="15.75" customHeight="1">
      <c r="C38" s="1" t="s">
        <v>113</v>
      </c>
      <c r="G38" s="14" t="s">
        <v>114</v>
      </c>
      <c r="H38" s="14">
        <f>(POWER(K25,14))</f>
        <v>2.27374E+15</v>
      </c>
      <c r="I38" s="1" t="s">
        <v>115</v>
      </c>
      <c r="L38" s="1" t="s">
        <v>116</v>
      </c>
    </row>
    <row r="39" ht="15.75" customHeight="1">
      <c r="A39" s="13" t="s">
        <v>117</v>
      </c>
      <c r="B39" s="9">
        <f>(H11+(H12*2))</f>
        <v>14</v>
      </c>
      <c r="C39" s="1" t="str">
        <f>"/"&amp;B36/2&amp;" Equations"</f>
        <v>/144 Equations</v>
      </c>
      <c r="G39" s="14" t="s">
        <v>118</v>
      </c>
      <c r="H39" s="14">
        <f>(POWER(K25,15))</f>
        <v>2.84217E+16</v>
      </c>
      <c r="I39" s="1" t="s">
        <v>119</v>
      </c>
      <c r="L39" s="1" t="s">
        <v>120</v>
      </c>
      <c r="M39" s="1" t="s">
        <v>121</v>
      </c>
    </row>
    <row r="40" ht="15.75" customHeight="1">
      <c r="A40" s="37" t="s">
        <v>122</v>
      </c>
      <c r="B40" s="38">
        <f>((POWER((H8*H9),1/2)/2)+0.5)</f>
        <v>5.838539126</v>
      </c>
      <c r="C40" s="39" t="s">
        <v>123</v>
      </c>
      <c r="D40" s="40"/>
      <c r="G40" s="13" t="s">
        <v>124</v>
      </c>
      <c r="H40" s="14" t="b">
        <f>(((1*H11)+(0.5*H11))-H6)&gt;=1</f>
        <v>1</v>
      </c>
      <c r="L40" s="1" t="s">
        <v>125</v>
      </c>
    </row>
    <row r="41" ht="15.75" customHeight="1">
      <c r="B41" s="39" t="s">
        <v>126</v>
      </c>
      <c r="C41" s="40"/>
      <c r="G41" s="7"/>
      <c r="H41" s="7"/>
      <c r="O41" s="13" t="s">
        <v>127</v>
      </c>
      <c r="P41" s="15">
        <f>(((H11+H12)/2+(H11+H12))/2)</f>
        <v>9</v>
      </c>
    </row>
    <row r="42" ht="15.75" customHeight="1">
      <c r="B42" s="1" t="s">
        <v>128</v>
      </c>
      <c r="H42" s="14"/>
    </row>
    <row r="43" ht="15.75" customHeight="1">
      <c r="B43" s="1" t="s">
        <v>129</v>
      </c>
      <c r="G43" s="1" t="s">
        <v>130</v>
      </c>
      <c r="K43" s="1" t="s">
        <v>131</v>
      </c>
    </row>
    <row r="44" ht="15.75" customHeight="1">
      <c r="B44" s="1" t="s">
        <v>132</v>
      </c>
      <c r="K44" s="15">
        <f>(4.6875+4.5)/2</f>
        <v>4.59375</v>
      </c>
    </row>
    <row r="45" ht="15.75" customHeight="1">
      <c r="B45" s="1" t="s">
        <v>133</v>
      </c>
      <c r="H45" s="15">
        <f>(1.875+3+4.125+5.25+6.375+7.5)/6</f>
        <v>4.6875</v>
      </c>
      <c r="K45" s="1" t="s">
        <v>134</v>
      </c>
      <c r="M45" s="41"/>
      <c r="N45" s="42"/>
      <c r="O45" s="43" t="s">
        <v>135</v>
      </c>
      <c r="P45" s="44" t="s">
        <v>136</v>
      </c>
      <c r="Q45" s="43"/>
      <c r="R45" s="45"/>
    </row>
    <row r="46" ht="15.75" customHeight="1">
      <c r="B46" s="1" t="s">
        <v>137</v>
      </c>
      <c r="M46" s="46"/>
      <c r="N46" s="47" t="s">
        <v>138</v>
      </c>
      <c r="O46" s="47" t="s">
        <v>139</v>
      </c>
      <c r="P46" s="47" t="s">
        <v>140</v>
      </c>
      <c r="Q46" s="47" t="s">
        <v>141</v>
      </c>
      <c r="R46" s="48"/>
    </row>
    <row r="47" ht="15.75" customHeight="1">
      <c r="M47" s="46"/>
      <c r="N47" s="49" t="str">
        <f>H6+4&amp;" CORE CATS"</f>
        <v>16 CORE CATS</v>
      </c>
      <c r="O47" s="49" t="s">
        <v>142</v>
      </c>
      <c r="P47" s="50" t="str">
        <f>H6-2&amp;" DIFF"</f>
        <v>10 DIFF</v>
      </c>
      <c r="Q47" s="49">
        <v>2.0</v>
      </c>
      <c r="R47" s="48"/>
    </row>
    <row r="48" ht="15.75" customHeight="1">
      <c r="A48" s="26"/>
      <c r="B48" s="26"/>
      <c r="C48" s="26"/>
      <c r="D48" s="26"/>
      <c r="E48" s="26"/>
      <c r="F48" s="26"/>
      <c r="G48" s="51" t="s">
        <v>143</v>
      </c>
      <c r="H48" s="26"/>
      <c r="I48" s="26"/>
      <c r="J48" s="26"/>
      <c r="K48" s="26"/>
      <c r="L48" s="26"/>
      <c r="M48" s="46"/>
      <c r="N48" s="49" t="str">
        <f>H6+3&amp;" TYPOLOGY"</f>
        <v>15 TYPOLOGY</v>
      </c>
      <c r="O48" s="49" t="s">
        <v>142</v>
      </c>
      <c r="P48" s="50" t="str">
        <f>H6-3&amp;" VITAMINS"</f>
        <v>9 VITAMINS</v>
      </c>
      <c r="Q48" s="49">
        <v>1.0</v>
      </c>
      <c r="R48" s="48"/>
    </row>
    <row r="49" ht="15.75" customHeight="1">
      <c r="A49" s="1" t="s">
        <v>144</v>
      </c>
      <c r="B49" s="15">
        <f>(H11+H12)</f>
        <v>12</v>
      </c>
      <c r="M49" s="46"/>
      <c r="N49" s="49" t="str">
        <f>H6+2&amp;" SUM"</f>
        <v>14 SUM</v>
      </c>
      <c r="O49" s="49" t="s">
        <v>142</v>
      </c>
      <c r="P49" s="50" t="str">
        <f>H6-4&amp;" MOOD"</f>
        <v>8 MOOD</v>
      </c>
      <c r="Q49" s="49">
        <v>0.0</v>
      </c>
      <c r="R49" s="48"/>
    </row>
    <row r="50" ht="15.75" customHeight="1">
      <c r="A50" s="1" t="s">
        <v>145</v>
      </c>
      <c r="B50" s="15">
        <f>(((H8+H9)/2)/(2*((H8*H9)-((H8-2)*(H9-2)))))</f>
        <v>0.1358695652</v>
      </c>
      <c r="C50" s="1" t="s">
        <v>146</v>
      </c>
      <c r="M50" s="46"/>
      <c r="N50" s="49" t="str">
        <f>H6+1&amp;" RESULTS"</f>
        <v>13 RESULTS</v>
      </c>
      <c r="O50" s="49" t="s">
        <v>147</v>
      </c>
      <c r="P50" s="50" t="str">
        <f>H6-5&amp;" FOCUS"</f>
        <v>7 FOCUS</v>
      </c>
      <c r="Q50" s="49" t="s">
        <v>148</v>
      </c>
      <c r="R50" s="48"/>
    </row>
    <row r="51" ht="15.75" customHeight="1">
      <c r="A51" s="1" t="s">
        <v>149</v>
      </c>
      <c r="B51" s="15">
        <f>((H8*H9)-((H8-2)*(H9-2)))</f>
        <v>46</v>
      </c>
      <c r="C51" s="1" t="s">
        <v>123</v>
      </c>
      <c r="M51" s="46"/>
      <c r="N51" s="49" t="str">
        <f>(((H6)*((H6-(H6-2))/((H6)+H6-2)))+(H6-2))&amp;" MINRESULTS"</f>
        <v>11.0909090909091 MINRESULTS</v>
      </c>
      <c r="O51" s="49" t="str">
        <f>H6-1&amp;" DEDUCTIONS"</f>
        <v>11 DEDUCTIONS</v>
      </c>
      <c r="P51" s="49">
        <v>3.0</v>
      </c>
      <c r="Q51" s="52" t="str">
        <f>H6+5&amp;" NEW TYPOLOGY"</f>
        <v>17 NEW TYPOLOGY</v>
      </c>
      <c r="R51" s="48"/>
    </row>
    <row r="52" ht="15.75" customHeight="1">
      <c r="A52" s="1" t="s">
        <v>150</v>
      </c>
      <c r="B52" s="15">
        <f>B50*B51</f>
        <v>6.25</v>
      </c>
      <c r="C52" s="1" t="s">
        <v>151</v>
      </c>
      <c r="F52" s="1" t="s">
        <v>152</v>
      </c>
      <c r="M52" s="53"/>
      <c r="N52" s="54"/>
      <c r="O52" s="54"/>
      <c r="P52" s="54"/>
      <c r="Q52" s="54"/>
      <c r="R52" s="55"/>
    </row>
    <row r="53" ht="15.75" customHeight="1">
      <c r="A53" s="1" t="s">
        <v>153</v>
      </c>
      <c r="B53" s="15">
        <f>B52-1</f>
        <v>5.25</v>
      </c>
      <c r="C53" s="1" t="s">
        <v>154</v>
      </c>
    </row>
    <row r="54" ht="15.75" customHeight="1">
      <c r="A54" s="13" t="s">
        <v>155</v>
      </c>
      <c r="B54" s="15">
        <f>B51/(2*B52)</f>
        <v>3.68</v>
      </c>
    </row>
    <row r="55" ht="15.75" customHeight="1">
      <c r="A55" s="13" t="s">
        <v>156</v>
      </c>
      <c r="B55" s="15">
        <f>(2*B52)/B51</f>
        <v>0.2717391304</v>
      </c>
      <c r="H55" s="1" t="s">
        <v>157</v>
      </c>
      <c r="I55" s="15">
        <f>(-((H6-1)/2)-((H6-2)/2)-((H6-3)/2)-((H6-4)/2)-((H6-5)/2))</f>
        <v>-22.5</v>
      </c>
      <c r="N55" s="1" t="s">
        <v>158</v>
      </c>
    </row>
    <row r="56" ht="15.75" customHeight="1">
      <c r="F56" s="1" t="s">
        <v>159</v>
      </c>
      <c r="H56" s="1" t="s">
        <v>160</v>
      </c>
      <c r="I56" s="15">
        <f>(-((H6-1)/2)-((H6-2)/2)-((H6-3)/2)-((H6-4)/2))</f>
        <v>-19</v>
      </c>
      <c r="N56" s="1" t="s">
        <v>105</v>
      </c>
    </row>
    <row r="57" ht="15.75" customHeight="1">
      <c r="A57" s="13"/>
      <c r="H57" s="1" t="s">
        <v>161</v>
      </c>
      <c r="I57" s="15">
        <f>(-((H6-1)/2)-((H6-2)/2)-((H6-3)/2))</f>
        <v>-15</v>
      </c>
      <c r="N57" s="1" t="s">
        <v>162</v>
      </c>
    </row>
    <row r="58" ht="15.75" customHeight="1">
      <c r="A58" s="13"/>
      <c r="H58" s="1" t="s">
        <v>163</v>
      </c>
      <c r="I58" s="15">
        <f>(-((H6-1)/2)-((H6-2)/2))</f>
        <v>-10.5</v>
      </c>
      <c r="N58" s="1" t="s">
        <v>164</v>
      </c>
    </row>
    <row r="59" ht="15.75" customHeight="1">
      <c r="H59" s="1" t="s">
        <v>165</v>
      </c>
      <c r="I59" s="15">
        <f>-((H6-1)/2)</f>
        <v>-5.5</v>
      </c>
      <c r="N59" s="1" t="s">
        <v>166</v>
      </c>
    </row>
    <row r="60" ht="15.75" customHeight="1">
      <c r="H60" s="40" t="s">
        <v>167</v>
      </c>
      <c r="I60" s="39">
        <f>((H6-1)/2)-((H6-1)/2)</f>
        <v>0</v>
      </c>
      <c r="N60" s="1" t="s">
        <v>106</v>
      </c>
    </row>
    <row r="61" ht="15.75" customHeight="1">
      <c r="C61" s="29" t="s">
        <v>168</v>
      </c>
      <c r="H61" s="40" t="s">
        <v>169</v>
      </c>
      <c r="I61" s="40">
        <f>((H6-1)/2)</f>
        <v>5.5</v>
      </c>
      <c r="N61" s="1" t="s">
        <v>170</v>
      </c>
    </row>
    <row r="62" ht="15.75" customHeight="1">
      <c r="C62" s="1" t="s">
        <v>171</v>
      </c>
      <c r="H62" s="40" t="s">
        <v>172</v>
      </c>
      <c r="I62" s="3">
        <f>(((H6-1)/2)+((H6-2)/2))</f>
        <v>10.5</v>
      </c>
    </row>
    <row r="63" ht="15.75" customHeight="1">
      <c r="C63" s="1" t="s">
        <v>48</v>
      </c>
      <c r="D63" s="56">
        <v>-0.5</v>
      </c>
      <c r="E63" s="1" t="s">
        <v>173</v>
      </c>
      <c r="H63" s="40" t="s">
        <v>174</v>
      </c>
      <c r="I63" s="3">
        <f>(((H6-1)/2)+((H6-2)/2)+((H6-3)/2))</f>
        <v>15</v>
      </c>
      <c r="J63" s="1" t="s">
        <v>175</v>
      </c>
    </row>
    <row r="64" ht="15.75" customHeight="1">
      <c r="C64" s="37" t="s">
        <v>176</v>
      </c>
      <c r="D64" s="56" t="s">
        <v>177</v>
      </c>
      <c r="E64" s="1" t="s">
        <v>178</v>
      </c>
      <c r="H64" s="1" t="s">
        <v>179</v>
      </c>
      <c r="I64" s="15">
        <f>(((H6-1)/2)+((H6-2)/2)+((H6-3)/2)+((H6-4)/2))</f>
        <v>19</v>
      </c>
      <c r="J64" s="1" t="s">
        <v>180</v>
      </c>
    </row>
    <row r="65" ht="15.75" customHeight="1">
      <c r="C65" s="37" t="s">
        <v>181</v>
      </c>
      <c r="D65" s="56" t="s">
        <v>182</v>
      </c>
      <c r="E65" s="1" t="s">
        <v>183</v>
      </c>
      <c r="H65" s="1" t="s">
        <v>184</v>
      </c>
      <c r="I65" s="15">
        <f>(((H6-1)/2)+((H6-2)/2)+((H6-3)/2)+((H6-4)/2)+((H6-5)/2))</f>
        <v>22.5</v>
      </c>
      <c r="L65" s="57"/>
    </row>
    <row r="66" ht="15.75" customHeight="1">
      <c r="D66" s="56"/>
      <c r="H66" s="1" t="s">
        <v>185</v>
      </c>
      <c r="I66" s="15">
        <f>(((H6-1)/2)+((H6-2)/2)+((H6-3)/2)+((H6-4)/2)+((H6-5)/2)+((H6-6)/2))</f>
        <v>25.5</v>
      </c>
    </row>
    <row r="67" ht="15.75" customHeight="1">
      <c r="C67" s="1" t="s">
        <v>48</v>
      </c>
      <c r="D67" s="56">
        <v>2.5</v>
      </c>
      <c r="E67" s="1" t="s">
        <v>186</v>
      </c>
      <c r="H67" s="1" t="s">
        <v>187</v>
      </c>
      <c r="I67" s="15">
        <f>(((H6-1)/2)+((H6-2)/2)+((H6-3)/2)+((H6-4)/2)+((H6-5)/2)+((H6-6)/2)+((H6-7)/2))</f>
        <v>28</v>
      </c>
    </row>
    <row r="68" ht="15.75" customHeight="1">
      <c r="C68" s="37" t="s">
        <v>176</v>
      </c>
      <c r="D68" s="56" t="s">
        <v>188</v>
      </c>
      <c r="E68" s="1" t="s">
        <v>189</v>
      </c>
      <c r="H68" s="1" t="s">
        <v>190</v>
      </c>
      <c r="I68" s="15">
        <f>(((H6-1)/2)+((H6-2)/2)+((H6-3)/2)+((H6-4)/2)+((H6-5)/2)+((H6-6)/2)+((H6-7)/2)+((H6-8)/2))</f>
        <v>30</v>
      </c>
    </row>
    <row r="69" ht="15.75" customHeight="1">
      <c r="C69" s="37" t="s">
        <v>181</v>
      </c>
      <c r="D69" s="56" t="s">
        <v>191</v>
      </c>
      <c r="E69" s="1" t="s">
        <v>192</v>
      </c>
      <c r="H69" s="1" t="s">
        <v>193</v>
      </c>
      <c r="I69" s="15">
        <f>(((H6-1)/2)+((H6-2)/2)+((H6-3)/2)+((H6-4)/2)+((H6-5)/2)+((H6-6)/2)+((H6-7)/2)+((H6-8)/2)+((H6-9)/2))</f>
        <v>31.5</v>
      </c>
    </row>
    <row r="70" ht="15.75" customHeight="1">
      <c r="D70" s="56"/>
      <c r="H70" s="1" t="s">
        <v>194</v>
      </c>
      <c r="I70" s="15">
        <f>(((H6-1)/2)+((H6-2)/2)+((H6-3)/2)+((H6-4)/2)+((H6-5)/2)+((H6-6)/2)+((H6-7)/2)+((H6-8)/2)+((H6-9)/2)+((H6-10)/2))</f>
        <v>32.5</v>
      </c>
    </row>
    <row r="71" ht="15.75" customHeight="1">
      <c r="C71" s="1" t="s">
        <v>48</v>
      </c>
      <c r="D71" s="56">
        <v>4.0</v>
      </c>
      <c r="E71" s="1" t="s">
        <v>195</v>
      </c>
      <c r="H71" s="1" t="s">
        <v>196</v>
      </c>
      <c r="I71" s="15">
        <f>(((H6-1)/2)+((H6-2)/2)+((H6-3)/2)+((H6-4)/2)+((H6-5)/2)+((H6-6)/2)+((H6-7)/2)+((H6-8)/2)+((H6-9)/2)+((H6-10)/2)+((H6-11)/2))</f>
        <v>33</v>
      </c>
    </row>
    <row r="72" ht="15.75" customHeight="1">
      <c r="C72" s="37" t="s">
        <v>176</v>
      </c>
      <c r="D72" s="56" t="s">
        <v>197</v>
      </c>
      <c r="E72" s="1" t="s">
        <v>198</v>
      </c>
      <c r="H72" s="1" t="s">
        <v>199</v>
      </c>
      <c r="I72" s="15">
        <f>(((H6-1)/2)+((H6-2)/2)+((H6-3)/2)+((H6-4)/2)+((H6-5)/2)+((H6-6)/2)+((H6-7)/2)+((H6-8)/2)+((H6-9)/2)+((H6-10)/2)+((H6-11)/2)+((H6-12)/2))</f>
        <v>33</v>
      </c>
    </row>
    <row r="73" ht="15.75" customHeight="1">
      <c r="C73" s="37" t="s">
        <v>181</v>
      </c>
      <c r="D73" s="56" t="s">
        <v>200</v>
      </c>
      <c r="E73" s="1" t="s">
        <v>201</v>
      </c>
      <c r="H73" s="1" t="s">
        <v>202</v>
      </c>
      <c r="I73" s="15">
        <f>(((H6-1)/2)+((H6-2)/2)+((H6-3)/2)+((H6-4)/2)+((H6-5)/2)+((H6-6)/2)+((H6-7)/2)+((H6-8)/2)+((H6-9)/2)+((H6-10)/2)+((H6-11)/2)+((H6-12)/2)+((H6-13)/2))</f>
        <v>32.5</v>
      </c>
    </row>
    <row r="74" ht="15.75" customHeight="1">
      <c r="H74" s="1" t="s">
        <v>203</v>
      </c>
      <c r="I74" s="15">
        <f>(((H6-1)/2)+((H6-2)/2)+((H6-3)/2)+((H6-4)/2)+((H6-5)/2)+((H6-6)/2)+((H6-7)/2)+((H6-8)/2)+((H6-9)/2)+((H6-10)/2)+((H6-11)/2)+((H6-12)/2)+((H6-13)/2)+((H6-14)/2))</f>
        <v>31.5</v>
      </c>
    </row>
    <row r="75" ht="15.75" customHeight="1">
      <c r="C75" s="1" t="s">
        <v>48</v>
      </c>
      <c r="D75" s="56">
        <v>4.75</v>
      </c>
      <c r="E75" s="1" t="s">
        <v>204</v>
      </c>
    </row>
    <row r="76" ht="15.75" customHeight="1">
      <c r="C76" s="37" t="s">
        <v>176</v>
      </c>
      <c r="D76" s="56">
        <v>3.2727</v>
      </c>
      <c r="E76" s="1" t="s">
        <v>205</v>
      </c>
    </row>
    <row r="77" ht="15.75" customHeight="1">
      <c r="C77" s="37" t="s">
        <v>181</v>
      </c>
      <c r="D77" s="56">
        <v>0.30555</v>
      </c>
      <c r="E77" s="1" t="s">
        <v>206</v>
      </c>
    </row>
    <row r="78" ht="15.75" customHeight="1">
      <c r="I78" s="1" t="s">
        <v>207</v>
      </c>
    </row>
    <row r="79" ht="15.75" customHeight="1"/>
    <row r="80" ht="15.75" customHeight="1"/>
    <row r="81" ht="15.75" customHeight="1">
      <c r="C81" s="29" t="s">
        <v>208</v>
      </c>
      <c r="G81" s="1" t="s">
        <v>209</v>
      </c>
    </row>
    <row r="82" ht="15.75" customHeight="1">
      <c r="C82" s="1" t="s">
        <v>210</v>
      </c>
    </row>
    <row r="83" ht="15.75" customHeight="1">
      <c r="C83" s="13" t="s">
        <v>211</v>
      </c>
      <c r="D83" s="56">
        <v>-0.5</v>
      </c>
      <c r="E83" s="1" t="s">
        <v>173</v>
      </c>
      <c r="F83" s="1" t="s">
        <v>212</v>
      </c>
    </row>
    <row r="84" ht="15.75" customHeight="1">
      <c r="C84" s="37" t="s">
        <v>176</v>
      </c>
      <c r="D84" s="56">
        <f>1.5*-7</f>
        <v>-10.5</v>
      </c>
      <c r="E84" s="1" t="s">
        <v>178</v>
      </c>
      <c r="F84" s="1" t="s">
        <v>213</v>
      </c>
      <c r="G84" s="29"/>
      <c r="H84" s="56"/>
      <c r="I84" s="56"/>
    </row>
    <row r="85" ht="15.75" customHeight="1">
      <c r="C85" s="58" t="s">
        <v>214</v>
      </c>
      <c r="D85" s="56">
        <f>(1.5*-7)-2</f>
        <v>-12.5</v>
      </c>
      <c r="E85" s="1" t="s">
        <v>183</v>
      </c>
      <c r="F85" s="1" t="str">
        <f>"MOD = "&amp;(1.5+2)/(1.5+-2)</f>
        <v>MOD = -7</v>
      </c>
      <c r="G85" s="29"/>
      <c r="H85" s="56"/>
      <c r="I85" s="56"/>
    </row>
    <row r="86" ht="15.75" customHeight="1">
      <c r="C86" s="59"/>
      <c r="D86" s="56"/>
    </row>
    <row r="87" ht="15.75" customHeight="1">
      <c r="C87" s="13" t="s">
        <v>211</v>
      </c>
      <c r="D87" s="56">
        <v>2.5</v>
      </c>
      <c r="E87" s="1" t="s">
        <v>186</v>
      </c>
      <c r="F87" s="1" t="s">
        <v>215</v>
      </c>
      <c r="H87" s="9"/>
      <c r="I87" s="9"/>
    </row>
    <row r="88" ht="15.75" customHeight="1">
      <c r="C88" s="37" t="s">
        <v>176</v>
      </c>
      <c r="D88" s="56">
        <f>2.5*1</f>
        <v>2.5</v>
      </c>
      <c r="E88" s="1" t="s">
        <v>216</v>
      </c>
      <c r="F88" s="1" t="s">
        <v>217</v>
      </c>
      <c r="H88" s="9"/>
      <c r="I88" s="9"/>
    </row>
    <row r="89" ht="15.75" customHeight="1">
      <c r="C89" s="58" t="s">
        <v>214</v>
      </c>
      <c r="D89" s="56">
        <f>(2.5*0.5)+0</f>
        <v>1.25</v>
      </c>
      <c r="E89" s="1" t="s">
        <v>192</v>
      </c>
      <c r="F89" s="1" t="str">
        <f>"MOD = "&amp;(2.5-0)/(2.5+0)</f>
        <v>MOD = 1</v>
      </c>
      <c r="H89" s="9"/>
      <c r="I89" s="9"/>
    </row>
    <row r="90" ht="15.75" customHeight="1">
      <c r="C90" s="59"/>
      <c r="D90" s="56"/>
      <c r="G90" s="13"/>
      <c r="H90" s="13"/>
      <c r="L90" s="3"/>
    </row>
    <row r="91" ht="15.75" customHeight="1">
      <c r="C91" s="13" t="s">
        <v>211</v>
      </c>
      <c r="D91" s="56">
        <v>4.0</v>
      </c>
      <c r="E91" s="1" t="s">
        <v>195</v>
      </c>
      <c r="F91" s="1" t="s">
        <v>218</v>
      </c>
      <c r="G91" s="13"/>
      <c r="H91" s="13"/>
      <c r="L91" s="3"/>
    </row>
    <row r="92" ht="15.75" customHeight="1">
      <c r="C92" s="37" t="s">
        <v>176</v>
      </c>
      <c r="D92" s="56">
        <f>4*0.5</f>
        <v>2</v>
      </c>
      <c r="E92" s="1" t="s">
        <v>219</v>
      </c>
      <c r="F92" s="1" t="s">
        <v>220</v>
      </c>
    </row>
    <row r="93" ht="15.75" customHeight="1">
      <c r="C93" s="58" t="s">
        <v>214</v>
      </c>
      <c r="D93" s="56">
        <f>(3*0.5)+1</f>
        <v>2.5</v>
      </c>
      <c r="E93" s="1" t="s">
        <v>221</v>
      </c>
      <c r="F93" s="1" t="str">
        <f>"MOD = "&amp;(3-1)/(3+1)</f>
        <v>MOD = 0.5</v>
      </c>
    </row>
    <row r="94" ht="15.75" customHeight="1">
      <c r="C94" s="59"/>
    </row>
    <row r="95" ht="15.75" customHeight="1">
      <c r="C95" s="13" t="s">
        <v>211</v>
      </c>
      <c r="D95" s="56">
        <v>4.75</v>
      </c>
      <c r="E95" s="1" t="s">
        <v>204</v>
      </c>
      <c r="F95" s="1" t="s">
        <v>222</v>
      </c>
    </row>
    <row r="96" ht="15.75" customHeight="1">
      <c r="C96" s="37" t="s">
        <v>176</v>
      </c>
      <c r="D96" s="56">
        <f>4.75*((3.25-1.5)/(3.25+1.5))</f>
        <v>1.75</v>
      </c>
      <c r="E96" s="1" t="s">
        <v>223</v>
      </c>
      <c r="F96" s="1" t="s">
        <v>224</v>
      </c>
    </row>
    <row r="97" ht="15.75" customHeight="1">
      <c r="C97" s="58" t="s">
        <v>214</v>
      </c>
      <c r="D97" s="56">
        <f>2.69737</f>
        <v>2.69737</v>
      </c>
      <c r="E97" s="1" t="s">
        <v>225</v>
      </c>
      <c r="F97" s="1" t="str">
        <f>"MOD = "&amp;(3.25-1.5)/(3.25+1.5)</f>
        <v>MOD = 0.368421052631579</v>
      </c>
    </row>
    <row r="98" ht="15.75" customHeight="1"/>
    <row r="99" ht="15.75" customHeight="1">
      <c r="F99" s="1" t="s">
        <v>226</v>
      </c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>
      <c r="J107" s="1" t="s">
        <v>227</v>
      </c>
    </row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