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gabriel haensgen\Desktop\"/>
    </mc:Choice>
  </mc:AlternateContent>
  <xr:revisionPtr revIDLastSave="0" documentId="8_{351176E2-02ED-4449-A84C-80A61C7007C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6" i="2" l="1"/>
  <c r="I88" i="2"/>
  <c r="J55" i="2"/>
  <c r="I83" i="2"/>
  <c r="J49" i="2"/>
  <c r="I77" i="2"/>
  <c r="I72" i="2"/>
  <c r="I71" i="2"/>
  <c r="I73" i="2" s="1"/>
  <c r="H55" i="2" s="1"/>
  <c r="I61" i="2"/>
  <c r="C59" i="2"/>
  <c r="C58" i="2"/>
  <c r="B58" i="2"/>
  <c r="D54" i="2"/>
  <c r="I76" i="2" s="1"/>
  <c r="I78" i="2" s="1"/>
  <c r="H56" i="2" s="1"/>
  <c r="C50" i="2"/>
  <c r="C51" i="2" s="1"/>
  <c r="B50" i="2"/>
  <c r="D50" i="2" s="1"/>
  <c r="I62" i="2" s="1"/>
  <c r="I63" i="2" s="1"/>
  <c r="H51" i="2" s="1"/>
  <c r="I33" i="2"/>
  <c r="I34" i="2" s="1"/>
  <c r="J28" i="2" s="1"/>
  <c r="J29" i="2" s="1"/>
  <c r="J23" i="2"/>
  <c r="J30" i="2" s="1"/>
  <c r="C57" i="2" s="1"/>
  <c r="C60" i="2" s="1"/>
  <c r="I23" i="2"/>
  <c r="I30" i="2" s="1"/>
  <c r="I18" i="2"/>
  <c r="H21" i="2"/>
  <c r="C42" i="2"/>
  <c r="B42" i="2"/>
  <c r="F40" i="2"/>
  <c r="F39" i="2"/>
  <c r="F38" i="2"/>
  <c r="C36" i="2"/>
  <c r="B36" i="2"/>
  <c r="C26" i="2"/>
  <c r="B26" i="2"/>
  <c r="I66" i="2" s="1"/>
  <c r="I68" i="2" s="1"/>
  <c r="H52" i="2" s="1"/>
  <c r="C25" i="2"/>
  <c r="C52" i="2" s="1"/>
  <c r="B25" i="2"/>
  <c r="B52" i="2" s="1"/>
  <c r="K10" i="2"/>
  <c r="C24" i="2" s="1"/>
  <c r="C28" i="2" s="1"/>
  <c r="J10" i="2"/>
  <c r="B24" i="2" s="1"/>
  <c r="B28" i="2" s="1"/>
  <c r="K8" i="2"/>
  <c r="K7" i="2"/>
  <c r="J7" i="2"/>
  <c r="C11" i="2"/>
  <c r="B11" i="2"/>
  <c r="F10" i="2"/>
  <c r="E12" i="2" s="1"/>
  <c r="C53" i="2" s="1"/>
  <c r="D8" i="2"/>
  <c r="E8" i="2"/>
  <c r="C8" i="2"/>
  <c r="C7" i="2"/>
  <c r="D7" i="2"/>
  <c r="E7" i="2"/>
  <c r="B7" i="2"/>
  <c r="B57" i="2" l="1"/>
  <c r="B60" i="2" s="1"/>
  <c r="I31" i="2"/>
  <c r="J31" i="2"/>
  <c r="C55" i="2"/>
  <c r="C61" i="2" s="1"/>
  <c r="J11" i="2"/>
  <c r="K3" i="2" s="1"/>
  <c r="K11" i="2" s="1"/>
  <c r="J50" i="2" s="1"/>
  <c r="B51" i="2"/>
  <c r="B55" i="2" s="1"/>
  <c r="B61" i="2" s="1"/>
  <c r="F11" i="2"/>
  <c r="D12" i="2"/>
  <c r="B53" i="2" s="1"/>
  <c r="B62" i="2" l="1"/>
  <c r="C62" i="2"/>
  <c r="C63" i="2"/>
  <c r="E9" i="2"/>
  <c r="E11" i="2" s="1"/>
  <c r="C20" i="2" s="1"/>
  <c r="C21" i="2" s="1"/>
  <c r="C30" i="2" s="1"/>
  <c r="C44" i="2" s="1"/>
  <c r="J19" i="2" s="1"/>
  <c r="D9" i="2"/>
  <c r="D11" i="2" s="1"/>
  <c r="B20" i="2" l="1"/>
  <c r="B21" i="2" s="1"/>
  <c r="B30" i="2" s="1"/>
  <c r="B44" i="2" s="1"/>
  <c r="I19" i="2" s="1"/>
  <c r="I20" i="2" s="1"/>
  <c r="D13" i="2"/>
  <c r="E3" i="2" s="1"/>
  <c r="E13" i="2" s="1"/>
  <c r="H50" i="2" s="1"/>
  <c r="D62" i="2"/>
  <c r="J51" i="2" s="1"/>
  <c r="B63" i="2"/>
  <c r="D63" i="2" s="1"/>
  <c r="J57" i="2" s="1"/>
  <c r="J58" i="2" l="1"/>
  <c r="I24" i="2"/>
  <c r="I22" i="2"/>
  <c r="J18" i="2" s="1"/>
  <c r="J20" i="2" s="1"/>
  <c r="J22" i="2" s="1"/>
  <c r="H49" i="2" s="1"/>
  <c r="H58" i="2" s="1"/>
</calcChain>
</file>

<file path=xl/sharedStrings.xml><?xml version="1.0" encoding="utf-8"?>
<sst xmlns="http://schemas.openxmlformats.org/spreadsheetml/2006/main" count="142" uniqueCount="114">
  <si>
    <t>Trimestre 1</t>
  </si>
  <si>
    <t>Trimestre 2</t>
  </si>
  <si>
    <t>Trimestre 3</t>
  </si>
  <si>
    <t>Trimestre 4</t>
  </si>
  <si>
    <t>Cobranza Total</t>
  </si>
  <si>
    <t>Mas : Compras M.Prima</t>
  </si>
  <si>
    <t>Menos : Pagos</t>
  </si>
  <si>
    <t>Pago Total</t>
  </si>
  <si>
    <t>PRESUPUESTO DE CAJA MENSUAL</t>
  </si>
  <si>
    <t>Mat. Prima + Salarios</t>
  </si>
  <si>
    <t>Gastos Adm. y Ventas</t>
  </si>
  <si>
    <t>P.P.M.</t>
  </si>
  <si>
    <t>Pago anual de Impuesto</t>
  </si>
  <si>
    <t>Aportes de Capital</t>
  </si>
  <si>
    <t>Interés de Bonos (Deuda de L.P.)</t>
  </si>
  <si>
    <t>Dividendos (Retiros)</t>
  </si>
  <si>
    <t>Más: Fuentes - Usos</t>
  </si>
  <si>
    <t>Préstamo usado en el mes</t>
  </si>
  <si>
    <t>Total adeudado principio de mes</t>
  </si>
  <si>
    <t>Igual: Deuda fin de mes</t>
  </si>
  <si>
    <t>Ventas</t>
  </si>
  <si>
    <t>Ingreso por ventas y saldos de cuentas por cobrar</t>
  </si>
  <si>
    <t>Cuentas por cobrar</t>
  </si>
  <si>
    <t>Mas: Ventas</t>
  </si>
  <si>
    <t>Menos Cobranzas</t>
  </si>
  <si>
    <t>Cuentas por cobrar Final</t>
  </si>
  <si>
    <t xml:space="preserve">Menos incobrables </t>
  </si>
  <si>
    <t>Pagos de cuentas por pagar</t>
  </si>
  <si>
    <t>Cuentas por pagar</t>
  </si>
  <si>
    <t>Cuenta por pagar final</t>
  </si>
  <si>
    <t>I.PPTO OPERACIONAL</t>
  </si>
  <si>
    <t>Ingresos de caja operac.</t>
  </si>
  <si>
    <t>Cobros por ventas</t>
  </si>
  <si>
    <t>Total ingresos oper.</t>
  </si>
  <si>
    <t>Egresos de caja oper.</t>
  </si>
  <si>
    <t>Gastos operacionales</t>
  </si>
  <si>
    <t>Total Egresos Operacional</t>
  </si>
  <si>
    <t>TOTAL PPTO OPERAC.</t>
  </si>
  <si>
    <t>II.PPTO INVERSIONES</t>
  </si>
  <si>
    <t>TOTAL PPTO INVERSIONES</t>
  </si>
  <si>
    <t>III.PPTO FINANCIAMIENTO</t>
  </si>
  <si>
    <t>TOTAL PPTO FINANC.</t>
  </si>
  <si>
    <t>TOTAL INGRESOS-EGRESOS</t>
  </si>
  <si>
    <t>Compras de Máq. Y Eq.</t>
  </si>
  <si>
    <t>Ventas de Máq. Y Eq.</t>
  </si>
  <si>
    <t>Determinación necesidades financieras de Corto Plazo</t>
  </si>
  <si>
    <t>Saldo inicial</t>
  </si>
  <si>
    <t>Igual: Sin financiamiento</t>
  </si>
  <si>
    <t xml:space="preserve">Más: Prestamo requerido </t>
  </si>
  <si>
    <t>Caja Final</t>
  </si>
  <si>
    <t>Exceso de caja sobre mín.</t>
  </si>
  <si>
    <t>Plan Financiero: determiación de los créditos necesarios</t>
  </si>
  <si>
    <t>Más: intereses del mes</t>
  </si>
  <si>
    <t>Deuda Total antes del abono</t>
  </si>
  <si>
    <t>Menos:Abono al prestamo</t>
  </si>
  <si>
    <t>Más: préstamo req. mes sgte.</t>
  </si>
  <si>
    <t>EE.RR PROYECTADO</t>
  </si>
  <si>
    <t>Total</t>
  </si>
  <si>
    <t>CXV</t>
  </si>
  <si>
    <t>MC</t>
  </si>
  <si>
    <t>Incobrables</t>
  </si>
  <si>
    <t>Depreciacion de Equipos</t>
  </si>
  <si>
    <t>BAIT</t>
  </si>
  <si>
    <t>Gastos finan</t>
  </si>
  <si>
    <t>Resultado no operacional</t>
  </si>
  <si>
    <t>BAT</t>
  </si>
  <si>
    <t>Resultado del ejercicio</t>
  </si>
  <si>
    <t xml:space="preserve">    - Del Ptmo. De C.P.</t>
  </si>
  <si>
    <t xml:space="preserve">    - De los Bonos</t>
  </si>
  <si>
    <t>Utilidad por Venta Act. Fijo</t>
  </si>
  <si>
    <t>ACTIVOS CORRIENTES</t>
  </si>
  <si>
    <t>PASIVOS</t>
  </si>
  <si>
    <t>Caja</t>
  </si>
  <si>
    <t>Oblig. Bancarias</t>
  </si>
  <si>
    <t>CXC</t>
  </si>
  <si>
    <t>Proovedores</t>
  </si>
  <si>
    <t>Inventario</t>
  </si>
  <si>
    <t>Impuesto x pagar</t>
  </si>
  <si>
    <t>PATRIMONIO</t>
  </si>
  <si>
    <t>AF bruto</t>
  </si>
  <si>
    <t>Capital</t>
  </si>
  <si>
    <t>Reservas</t>
  </si>
  <si>
    <t>Utilidad ejercicio</t>
  </si>
  <si>
    <t>ACTIVOS</t>
  </si>
  <si>
    <t>PAS+PAT</t>
  </si>
  <si>
    <t>PPM</t>
  </si>
  <si>
    <t xml:space="preserve">Bonos </t>
  </si>
  <si>
    <t>Depreciación acum.</t>
  </si>
  <si>
    <t>BALANCE PROYECTADO</t>
  </si>
  <si>
    <t>Tr 1: 30%</t>
  </si>
  <si>
    <t>Tr 2: 70%</t>
  </si>
  <si>
    <t>Tr 1: 40%</t>
  </si>
  <si>
    <t>Tr 2: 40%</t>
  </si>
  <si>
    <t>Tr 3: 18.2%(20%-1.8%)</t>
  </si>
  <si>
    <t>31/12/2004</t>
  </si>
  <si>
    <t>31/12/2005</t>
  </si>
  <si>
    <t>31/12/2006</t>
  </si>
  <si>
    <t>Impuestos 20%</t>
  </si>
  <si>
    <t>(+)compras</t>
  </si>
  <si>
    <t>(-)costoxvta</t>
  </si>
  <si>
    <t>Saldo final</t>
  </si>
  <si>
    <t>(+)ppm trs.</t>
  </si>
  <si>
    <t>(-)pago ppm</t>
  </si>
  <si>
    <t>Activo fijo bruto</t>
  </si>
  <si>
    <t>(+) compras</t>
  </si>
  <si>
    <t>(-) ventas</t>
  </si>
  <si>
    <t>(+) Dep. ejer.</t>
  </si>
  <si>
    <t>(-) vta eq.</t>
  </si>
  <si>
    <t>Capital social</t>
  </si>
  <si>
    <t>Capital inicial</t>
  </si>
  <si>
    <t>(+) aumento K</t>
  </si>
  <si>
    <t>(-) retiro</t>
  </si>
  <si>
    <t>(+) retención uti.</t>
  </si>
  <si>
    <t>(-) dividendos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</si>
</sst>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0.000"/>
  </numFmts>
  <fonts count="7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8">
    <xf numFmtId="0" fontId="0" fillId="0" borderId="0" xfId="0" applyFont="1" applyAlignment="1"/>
    <xf numFmtId="0" fontId="0" fillId="0" borderId="4" xfId="0" applyBorder="1"/>
    <xf numFmtId="0" fontId="0" fillId="0" borderId="5" xfId="0" applyBorder="1"/>
    <xf numFmtId="164" fontId="0" fillId="0" borderId="5" xfId="1" applyFont="1" applyBorder="1"/>
    <xf numFmtId="165" fontId="0" fillId="0" borderId="5" xfId="1" applyNumberFormat="1" applyFont="1" applyBorder="1"/>
    <xf numFmtId="0" fontId="4" fillId="0" borderId="5" xfId="0" applyFont="1" applyBorder="1"/>
    <xf numFmtId="0" fontId="4" fillId="0" borderId="0" xfId="0" applyFont="1" applyBorder="1" applyAlignment="1"/>
    <xf numFmtId="0" fontId="0" fillId="0" borderId="0" xfId="0" applyBorder="1" applyAlignment="1">
      <alignment horizontal="center"/>
    </xf>
    <xf numFmtId="165" fontId="0" fillId="0" borderId="0" xfId="1" applyNumberFormat="1" applyFont="1" applyBorder="1"/>
    <xf numFmtId="164" fontId="0" fillId="0" borderId="0" xfId="1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0" fillId="0" borderId="0" xfId="0" applyBorder="1"/>
    <xf numFmtId="0" fontId="0" fillId="0" borderId="5" xfId="0" applyFont="1" applyBorder="1" applyAlignment="1"/>
    <xf numFmtId="0" fontId="6" fillId="0" borderId="4" xfId="0" applyFont="1" applyBorder="1"/>
    <xf numFmtId="165" fontId="0" fillId="0" borderId="4" xfId="1" applyNumberFormat="1" applyFont="1" applyBorder="1"/>
    <xf numFmtId="0" fontId="0" fillId="0" borderId="9" xfId="0" applyBorder="1"/>
    <xf numFmtId="165" fontId="0" fillId="0" borderId="9" xfId="1" applyNumberFormat="1" applyFont="1" applyBorder="1"/>
    <xf numFmtId="0" fontId="4" fillId="0" borderId="4" xfId="0" applyFont="1" applyBorder="1"/>
    <xf numFmtId="0" fontId="0" fillId="0" borderId="10" xfId="0" applyBorder="1"/>
    <xf numFmtId="165" fontId="0" fillId="0" borderId="10" xfId="1" applyNumberFormat="1" applyFont="1" applyBorder="1"/>
    <xf numFmtId="0" fontId="0" fillId="0" borderId="6" xfId="0" applyBorder="1"/>
    <xf numFmtId="165" fontId="0" fillId="0" borderId="7" xfId="1" applyNumberFormat="1" applyFont="1" applyBorder="1"/>
    <xf numFmtId="0" fontId="2" fillId="0" borderId="9" xfId="0" applyFont="1" applyBorder="1"/>
    <xf numFmtId="165" fontId="0" fillId="0" borderId="5" xfId="0" applyNumberFormat="1" applyBorder="1"/>
    <xf numFmtId="0" fontId="0" fillId="0" borderId="9" xfId="0" applyFont="1" applyBorder="1" applyAlignment="1"/>
    <xf numFmtId="0" fontId="4" fillId="0" borderId="7" xfId="0" applyFont="1" applyBorder="1"/>
    <xf numFmtId="165" fontId="0" fillId="0" borderId="7" xfId="0" applyNumberFormat="1" applyBorder="1"/>
    <xf numFmtId="0" fontId="0" fillId="0" borderId="11" xfId="0" applyBorder="1"/>
    <xf numFmtId="0" fontId="4" fillId="0" borderId="4" xfId="0" applyFont="1" applyBorder="1" applyAlignment="1">
      <alignment horizontal="left"/>
    </xf>
    <xf numFmtId="164" fontId="0" fillId="0" borderId="5" xfId="1" applyFont="1" applyBorder="1" applyAlignment="1">
      <alignment horizontal="left"/>
    </xf>
    <xf numFmtId="164" fontId="4" fillId="0" borderId="5" xfId="1" applyFont="1" applyBorder="1"/>
    <xf numFmtId="164" fontId="4" fillId="0" borderId="5" xfId="1" applyFont="1" applyBorder="1" applyAlignment="1">
      <alignment horizontal="left"/>
    </xf>
    <xf numFmtId="0" fontId="4" fillId="0" borderId="5" xfId="0" applyFont="1" applyBorder="1" applyAlignment="1">
      <alignment horizontal="left"/>
    </xf>
    <xf numFmtId="164" fontId="1" fillId="0" borderId="5" xfId="1" applyFont="1" applyBorder="1" applyAlignment="1">
      <alignment horizontal="left"/>
    </xf>
    <xf numFmtId="164" fontId="0" fillId="0" borderId="12" xfId="1" applyFont="1" applyFill="1" applyBorder="1" applyAlignment="1">
      <alignment horizontal="left"/>
    </xf>
    <xf numFmtId="164" fontId="2" fillId="0" borderId="5" xfId="1" applyFont="1" applyBorder="1"/>
    <xf numFmtId="166" fontId="0" fillId="0" borderId="0" xfId="1" applyNumberFormat="1" applyFont="1" applyBorder="1"/>
    <xf numFmtId="165" fontId="0" fillId="0" borderId="0" xfId="0" applyNumberFormat="1" applyFont="1" applyAlignment="1"/>
    <xf numFmtId="14" fontId="0" fillId="0" borderId="0" xfId="0" applyNumberFormat="1" applyFont="1" applyAlignment="1"/>
    <xf numFmtId="0" fontId="2" fillId="0" borderId="0" xfId="0" applyFont="1" applyAlignment="1"/>
    <xf numFmtId="0" fontId="2" fillId="0" borderId="0" xfId="0" applyFont="1" applyFill="1" applyBorder="1" applyAlignment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5AE7F-C0FA-48A5-907F-40AF08AF4FFC}">
  <dimension ref="A1:L88"/>
  <sheetViews>
    <sheetView tabSelected="1" workbookViewId="0">
      <selection activeCell="F3" sqref="F3"/>
    </sheetView>
  </sheetViews>
  <sheetFormatPr baseColWidth="10" defaultRowHeight="14.25" x14ac:dyDescent="0.2"/>
  <cols>
    <col min="1" max="1" width="28.375" bestFit="1" customWidth="1"/>
    <col min="6" max="6" width="7" customWidth="1"/>
    <col min="7" max="7" width="27.625" bestFit="1" customWidth="1"/>
    <col min="8" max="8" width="12.75" customWidth="1"/>
    <col min="9" max="9" width="16.25" bestFit="1" customWidth="1"/>
  </cols>
  <sheetData>
    <row r="1" spans="1:12" ht="15.75" thickBot="1" x14ac:dyDescent="0.3">
      <c r="A1" s="42" t="s">
        <v>21</v>
      </c>
      <c r="B1" s="43"/>
      <c r="C1" s="43"/>
      <c r="D1" s="43"/>
      <c r="E1" s="44"/>
      <c r="F1" s="6"/>
      <c r="G1" s="42" t="s">
        <v>27</v>
      </c>
      <c r="H1" s="43"/>
      <c r="I1" s="43"/>
      <c r="J1" s="43"/>
      <c r="K1" s="44"/>
      <c r="L1" s="6"/>
    </row>
    <row r="2" spans="1:12" x14ac:dyDescent="0.2">
      <c r="A2" s="1"/>
      <c r="B2" s="10" t="s">
        <v>0</v>
      </c>
      <c r="C2" s="10" t="s">
        <v>1</v>
      </c>
      <c r="D2" s="10" t="s">
        <v>2</v>
      </c>
      <c r="E2" s="10" t="s">
        <v>3</v>
      </c>
      <c r="F2" s="7"/>
      <c r="G2" s="1"/>
      <c r="H2" s="10" t="s">
        <v>0</v>
      </c>
      <c r="I2" s="10" t="s">
        <v>1</v>
      </c>
      <c r="J2" s="10" t="s">
        <v>2</v>
      </c>
      <c r="K2" s="10" t="s">
        <v>3</v>
      </c>
      <c r="L2" s="7"/>
    </row>
    <row r="3" spans="1:12" x14ac:dyDescent="0.2">
      <c r="A3" s="2" t="s">
        <v>22</v>
      </c>
      <c r="B3" s="3"/>
      <c r="C3" s="3"/>
      <c r="D3" s="4">
        <v>180000</v>
      </c>
      <c r="E3" s="4">
        <f>D13</f>
        <v>340000</v>
      </c>
      <c r="F3" s="8"/>
      <c r="G3" s="2" t="s">
        <v>28</v>
      </c>
      <c r="H3" s="4"/>
      <c r="I3" s="4"/>
      <c r="J3" s="4">
        <v>0</v>
      </c>
      <c r="K3" s="4">
        <f>J11</f>
        <v>280000</v>
      </c>
      <c r="L3" s="8"/>
    </row>
    <row r="4" spans="1:12" x14ac:dyDescent="0.2">
      <c r="A4" s="2" t="s">
        <v>23</v>
      </c>
      <c r="B4" s="4">
        <v>300000</v>
      </c>
      <c r="C4" s="4">
        <v>200000</v>
      </c>
      <c r="D4" s="4">
        <v>500000</v>
      </c>
      <c r="E4" s="4">
        <v>600000</v>
      </c>
      <c r="F4" s="8"/>
      <c r="G4" s="2" t="s">
        <v>5</v>
      </c>
      <c r="H4" s="4"/>
      <c r="I4" s="4"/>
      <c r="J4" s="4">
        <v>400000</v>
      </c>
      <c r="K4" s="4">
        <v>240000</v>
      </c>
      <c r="L4" s="8"/>
    </row>
    <row r="5" spans="1:12" x14ac:dyDescent="0.2">
      <c r="A5" s="2"/>
      <c r="B5" s="3"/>
      <c r="C5" s="3"/>
      <c r="D5" s="3"/>
      <c r="E5" s="3"/>
      <c r="F5" s="9"/>
      <c r="G5" s="2"/>
      <c r="H5" s="4"/>
      <c r="I5" s="4"/>
      <c r="J5" s="4"/>
      <c r="K5" s="4"/>
      <c r="L5" s="8"/>
    </row>
    <row r="6" spans="1:12" x14ac:dyDescent="0.2">
      <c r="A6" s="2" t="s">
        <v>24</v>
      </c>
      <c r="B6" s="3"/>
      <c r="C6" s="3"/>
      <c r="D6" s="3"/>
      <c r="E6" s="3"/>
      <c r="F6" s="9"/>
      <c r="G6" s="2" t="s">
        <v>6</v>
      </c>
      <c r="H6" s="4"/>
      <c r="I6" s="4"/>
      <c r="J6" s="4"/>
      <c r="K6" s="4"/>
      <c r="L6" s="8"/>
    </row>
    <row r="7" spans="1:12" x14ac:dyDescent="0.2">
      <c r="A7" s="11" t="s">
        <v>91</v>
      </c>
      <c r="B7" s="4">
        <f>0.4*B4</f>
        <v>120000</v>
      </c>
      <c r="C7" s="4">
        <f t="shared" ref="C7:E7" si="0">0.4*C4</f>
        <v>80000</v>
      </c>
      <c r="D7" s="4">
        <f t="shared" si="0"/>
        <v>200000</v>
      </c>
      <c r="E7" s="4">
        <f t="shared" si="0"/>
        <v>240000</v>
      </c>
      <c r="F7" s="8"/>
      <c r="G7" s="11" t="s">
        <v>89</v>
      </c>
      <c r="H7" s="4"/>
      <c r="I7" s="4"/>
      <c r="J7" s="4">
        <f>0.3*J4</f>
        <v>120000</v>
      </c>
      <c r="K7" s="4">
        <f>0.3*K4</f>
        <v>72000</v>
      </c>
      <c r="L7" s="8"/>
    </row>
    <row r="8" spans="1:12" x14ac:dyDescent="0.2">
      <c r="A8" s="11" t="s">
        <v>92</v>
      </c>
      <c r="B8" s="4"/>
      <c r="C8" s="4">
        <f>0.4*B4</f>
        <v>120000</v>
      </c>
      <c r="D8" s="4">
        <f t="shared" ref="D8:E8" si="1">0.4*C4</f>
        <v>80000</v>
      </c>
      <c r="E8" s="4">
        <f t="shared" si="1"/>
        <v>200000</v>
      </c>
      <c r="F8" s="8"/>
      <c r="G8" s="11" t="s">
        <v>90</v>
      </c>
      <c r="H8" s="4"/>
      <c r="I8" s="4"/>
      <c r="J8" s="4"/>
      <c r="K8" s="4">
        <f>0.7*J4</f>
        <v>280000</v>
      </c>
      <c r="L8" s="8"/>
    </row>
    <row r="9" spans="1:12" x14ac:dyDescent="0.2">
      <c r="A9" s="11" t="s">
        <v>93</v>
      </c>
      <c r="B9" s="4"/>
      <c r="C9" s="4"/>
      <c r="D9" s="4">
        <f>$F$11*B4</f>
        <v>54600.000000000007</v>
      </c>
      <c r="E9" s="4">
        <f>$F$11*C4</f>
        <v>36400.000000000007</v>
      </c>
      <c r="F9" s="8"/>
      <c r="G9" s="2"/>
      <c r="H9" s="4"/>
      <c r="I9" s="4"/>
      <c r="J9" s="4"/>
      <c r="K9" s="4"/>
      <c r="L9" s="8"/>
    </row>
    <row r="10" spans="1:12" ht="15" x14ac:dyDescent="0.25">
      <c r="A10" s="2"/>
      <c r="B10" s="3"/>
      <c r="C10" s="3"/>
      <c r="D10" s="3"/>
      <c r="E10" s="3"/>
      <c r="F10" s="37">
        <f>0.6*0.03</f>
        <v>1.7999999999999999E-2</v>
      </c>
      <c r="G10" s="5" t="s">
        <v>7</v>
      </c>
      <c r="H10" s="4"/>
      <c r="I10" s="4"/>
      <c r="J10" s="4">
        <f>J7+J8</f>
        <v>120000</v>
      </c>
      <c r="K10" s="4">
        <f>K7+K8</f>
        <v>352000</v>
      </c>
      <c r="L10" s="8"/>
    </row>
    <row r="11" spans="1:12" ht="15" x14ac:dyDescent="0.25">
      <c r="A11" s="5" t="s">
        <v>4</v>
      </c>
      <c r="B11" s="4">
        <f>SUM(B7:B9)</f>
        <v>120000</v>
      </c>
      <c r="C11" s="4">
        <f t="shared" ref="C11:E11" si="2">SUM(C7:C9)</f>
        <v>200000</v>
      </c>
      <c r="D11" s="4">
        <f t="shared" si="2"/>
        <v>334600</v>
      </c>
      <c r="E11" s="4">
        <f t="shared" si="2"/>
        <v>476400</v>
      </c>
      <c r="F11" s="37">
        <f>0.2-F10</f>
        <v>0.18200000000000002</v>
      </c>
      <c r="G11" s="5" t="s">
        <v>29</v>
      </c>
      <c r="H11" s="4"/>
      <c r="I11" s="4"/>
      <c r="J11" s="4">
        <f>J3+J4-J10</f>
        <v>280000</v>
      </c>
      <c r="K11" s="4">
        <f>K3+K4-K10</f>
        <v>168000</v>
      </c>
      <c r="L11" s="8"/>
    </row>
    <row r="12" spans="1:12" x14ac:dyDescent="0.2">
      <c r="A12" s="11" t="s">
        <v>26</v>
      </c>
      <c r="B12" s="4"/>
      <c r="C12" s="4"/>
      <c r="D12" s="4">
        <f>$F$10*B4</f>
        <v>5400</v>
      </c>
      <c r="E12" s="4">
        <f>$F$10*C4</f>
        <v>3599.9999999999995</v>
      </c>
      <c r="F12" s="8"/>
    </row>
    <row r="13" spans="1:12" ht="15" x14ac:dyDescent="0.25">
      <c r="A13" s="5" t="s">
        <v>25</v>
      </c>
      <c r="B13" s="4"/>
      <c r="C13" s="4"/>
      <c r="D13" s="4">
        <f>D3+D4-D11-D12</f>
        <v>340000</v>
      </c>
      <c r="E13" s="4">
        <f>E3+E4-E11-E12</f>
        <v>460000</v>
      </c>
      <c r="F13" s="8"/>
    </row>
    <row r="15" spans="1:12" ht="15" thickBot="1" x14ac:dyDescent="0.25"/>
    <row r="16" spans="1:12" ht="15.75" thickBot="1" x14ac:dyDescent="0.3">
      <c r="A16" s="42" t="s">
        <v>8</v>
      </c>
      <c r="B16" s="43"/>
      <c r="C16" s="44"/>
      <c r="D16" s="6"/>
      <c r="G16" s="45" t="s">
        <v>45</v>
      </c>
      <c r="H16" s="46"/>
      <c r="I16" s="46"/>
      <c r="J16" s="47"/>
    </row>
    <row r="17" spans="1:10" x14ac:dyDescent="0.2">
      <c r="A17" s="1"/>
      <c r="B17" s="10" t="s">
        <v>2</v>
      </c>
      <c r="C17" s="10" t="s">
        <v>3</v>
      </c>
      <c r="D17" s="7"/>
      <c r="G17" s="2"/>
      <c r="H17" s="10" t="s">
        <v>1</v>
      </c>
      <c r="I17" s="10" t="s">
        <v>2</v>
      </c>
      <c r="J17" s="10" t="s">
        <v>3</v>
      </c>
    </row>
    <row r="18" spans="1:10" ht="15" x14ac:dyDescent="0.25">
      <c r="A18" s="5" t="s">
        <v>30</v>
      </c>
      <c r="B18" s="2"/>
      <c r="C18" s="2"/>
      <c r="D18" s="12"/>
      <c r="G18" s="1" t="s">
        <v>46</v>
      </c>
      <c r="H18" s="4"/>
      <c r="I18" s="4">
        <f>H22</f>
        <v>30500</v>
      </c>
      <c r="J18" s="4">
        <f>I22</f>
        <v>30800.000000000004</v>
      </c>
    </row>
    <row r="19" spans="1:10" ht="15.75" thickBot="1" x14ac:dyDescent="0.3">
      <c r="A19" s="5" t="s">
        <v>31</v>
      </c>
      <c r="B19" s="2"/>
      <c r="C19" s="2"/>
      <c r="D19" s="12"/>
      <c r="G19" s="16" t="s">
        <v>16</v>
      </c>
      <c r="H19" s="17"/>
      <c r="I19" s="17">
        <f>B44</f>
        <v>-52400</v>
      </c>
      <c r="J19" s="17">
        <f>C44</f>
        <v>253400</v>
      </c>
    </row>
    <row r="20" spans="1:10" ht="15" x14ac:dyDescent="0.25">
      <c r="A20" s="2" t="s">
        <v>32</v>
      </c>
      <c r="B20" s="24">
        <f>D11</f>
        <v>334600</v>
      </c>
      <c r="C20" s="24">
        <f>E11</f>
        <v>476400</v>
      </c>
      <c r="D20" s="12"/>
      <c r="G20" s="14" t="s">
        <v>47</v>
      </c>
      <c r="H20" s="15">
        <v>10500</v>
      </c>
      <c r="I20" s="15">
        <f>I18+I19</f>
        <v>-21900</v>
      </c>
      <c r="J20" s="15">
        <f>J18+J19</f>
        <v>284200</v>
      </c>
    </row>
    <row r="21" spans="1:10" ht="15.75" thickBot="1" x14ac:dyDescent="0.3">
      <c r="A21" s="5" t="s">
        <v>33</v>
      </c>
      <c r="B21" s="4">
        <f>B20</f>
        <v>334600</v>
      </c>
      <c r="C21" s="4">
        <f>C20</f>
        <v>476400</v>
      </c>
      <c r="D21" s="8"/>
      <c r="G21" s="16" t="s">
        <v>48</v>
      </c>
      <c r="H21" s="17">
        <f>H22-H20</f>
        <v>20000</v>
      </c>
      <c r="I21" s="17">
        <v>73000</v>
      </c>
      <c r="J21" s="17">
        <v>0</v>
      </c>
    </row>
    <row r="22" spans="1:10" ht="15" x14ac:dyDescent="0.25">
      <c r="A22" s="13"/>
      <c r="B22" s="4"/>
      <c r="C22" s="4"/>
      <c r="D22" s="8"/>
      <c r="G22" s="14" t="s">
        <v>49</v>
      </c>
      <c r="H22" s="15">
        <v>30500</v>
      </c>
      <c r="I22" s="15">
        <f>I20+I21-I23</f>
        <v>30800.000000000004</v>
      </c>
      <c r="J22" s="15">
        <f>J20+J21-J23</f>
        <v>210105</v>
      </c>
    </row>
    <row r="23" spans="1:10" ht="15" x14ac:dyDescent="0.25">
      <c r="A23" s="5" t="s">
        <v>34</v>
      </c>
      <c r="B23" s="4"/>
      <c r="C23" s="4"/>
      <c r="D23" s="8"/>
      <c r="G23" s="2" t="s">
        <v>50</v>
      </c>
      <c r="H23" s="4"/>
      <c r="I23" s="4">
        <f>H21*1.015</f>
        <v>20299.999999999996</v>
      </c>
      <c r="J23" s="4">
        <f>I21*1.015</f>
        <v>74095</v>
      </c>
    </row>
    <row r="24" spans="1:10" x14ac:dyDescent="0.2">
      <c r="A24" s="13" t="s">
        <v>9</v>
      </c>
      <c r="B24" s="4">
        <f>J10</f>
        <v>120000</v>
      </c>
      <c r="C24" s="4">
        <f>K10</f>
        <v>352000</v>
      </c>
      <c r="D24" s="8"/>
      <c r="I24" s="38">
        <f>ABS(I20)+I23+30000</f>
        <v>72200</v>
      </c>
    </row>
    <row r="25" spans="1:10" ht="15" thickBot="1" x14ac:dyDescent="0.25">
      <c r="A25" s="2" t="s">
        <v>10</v>
      </c>
      <c r="B25" s="4">
        <f>0.2*D4+30000-9000</f>
        <v>121000</v>
      </c>
      <c r="C25" s="4">
        <f>0.2*E4+30000-9000</f>
        <v>141000</v>
      </c>
      <c r="D25" s="8"/>
    </row>
    <row r="26" spans="1:10" ht="15.75" thickBot="1" x14ac:dyDescent="0.3">
      <c r="A26" s="2" t="s">
        <v>11</v>
      </c>
      <c r="B26" s="4">
        <f>0.03*C4</f>
        <v>6000</v>
      </c>
      <c r="C26" s="4">
        <f>0.03*D4</f>
        <v>15000</v>
      </c>
      <c r="D26" s="8"/>
      <c r="G26" s="45" t="s">
        <v>51</v>
      </c>
      <c r="H26" s="46"/>
      <c r="I26" s="46"/>
      <c r="J26" s="47"/>
    </row>
    <row r="27" spans="1:10" x14ac:dyDescent="0.2">
      <c r="A27" s="2" t="s">
        <v>12</v>
      </c>
      <c r="B27" s="4"/>
      <c r="C27" s="4"/>
      <c r="D27" s="8"/>
      <c r="G27" s="1"/>
      <c r="H27" s="10" t="s">
        <v>1</v>
      </c>
      <c r="I27" s="10" t="s">
        <v>2</v>
      </c>
      <c r="J27" s="10" t="s">
        <v>3</v>
      </c>
    </row>
    <row r="28" spans="1:10" ht="15.75" thickBot="1" x14ac:dyDescent="0.3">
      <c r="A28" s="5" t="s">
        <v>36</v>
      </c>
      <c r="B28" s="4">
        <f>SUM(B24:B26)</f>
        <v>247000</v>
      </c>
      <c r="C28" s="4">
        <f>SUM(C24:C26)</f>
        <v>508000</v>
      </c>
      <c r="D28" s="8"/>
      <c r="G28" s="16" t="s">
        <v>17</v>
      </c>
      <c r="H28" s="17"/>
      <c r="I28" s="17">
        <v>20000</v>
      </c>
      <c r="J28" s="17">
        <f>I34</f>
        <v>73000</v>
      </c>
    </row>
    <row r="29" spans="1:10" x14ac:dyDescent="0.2">
      <c r="A29" s="2"/>
      <c r="B29" s="4"/>
      <c r="C29" s="4"/>
      <c r="D29" s="8"/>
      <c r="G29" s="1" t="s">
        <v>18</v>
      </c>
      <c r="H29" s="15"/>
      <c r="I29" s="15">
        <v>20000</v>
      </c>
      <c r="J29" s="15">
        <f>J28</f>
        <v>73000</v>
      </c>
    </row>
    <row r="30" spans="1:10" ht="15.75" thickBot="1" x14ac:dyDescent="0.3">
      <c r="A30" s="5" t="s">
        <v>37</v>
      </c>
      <c r="B30" s="4">
        <f>B21-B28</f>
        <v>87600</v>
      </c>
      <c r="C30" s="4">
        <f>C21-C28</f>
        <v>-31600</v>
      </c>
      <c r="D30" s="8"/>
      <c r="G30" s="16" t="s">
        <v>52</v>
      </c>
      <c r="H30" s="17"/>
      <c r="I30" s="17">
        <f>I23-I29</f>
        <v>299.99999999999636</v>
      </c>
      <c r="J30" s="17">
        <f>J23-J29</f>
        <v>1095</v>
      </c>
    </row>
    <row r="31" spans="1:10" x14ac:dyDescent="0.2">
      <c r="A31" s="2"/>
      <c r="B31" s="4"/>
      <c r="C31" s="4"/>
      <c r="D31" s="8"/>
      <c r="G31" s="1" t="s">
        <v>53</v>
      </c>
      <c r="H31" s="15"/>
      <c r="I31" s="15">
        <f>I29+I30</f>
        <v>20299.999999999996</v>
      </c>
      <c r="J31" s="15">
        <f>J29+J30</f>
        <v>74095</v>
      </c>
    </row>
    <row r="32" spans="1:10" ht="15" x14ac:dyDescent="0.25">
      <c r="A32" s="5" t="s">
        <v>38</v>
      </c>
      <c r="B32" s="4"/>
      <c r="C32" s="4"/>
      <c r="D32" s="8"/>
      <c r="G32" s="2" t="s">
        <v>54</v>
      </c>
      <c r="H32" s="4"/>
      <c r="I32" s="4">
        <v>-20300</v>
      </c>
      <c r="J32" s="4">
        <v>-74095</v>
      </c>
    </row>
    <row r="33" spans="1:10" ht="15" thickBot="1" x14ac:dyDescent="0.25">
      <c r="A33" s="11" t="s">
        <v>43</v>
      </c>
      <c r="B33" s="4">
        <v>-140000</v>
      </c>
      <c r="C33" s="4">
        <v>-50000</v>
      </c>
      <c r="D33" s="8"/>
      <c r="G33" s="16" t="s">
        <v>55</v>
      </c>
      <c r="H33" s="17"/>
      <c r="I33" s="17">
        <f>I21</f>
        <v>73000</v>
      </c>
      <c r="J33" s="17">
        <v>0</v>
      </c>
    </row>
    <row r="34" spans="1:10" ht="15" x14ac:dyDescent="0.25">
      <c r="A34" s="11" t="s">
        <v>44</v>
      </c>
      <c r="B34" s="4"/>
      <c r="C34" s="4">
        <v>340000</v>
      </c>
      <c r="D34" s="8"/>
      <c r="G34" s="14" t="s">
        <v>19</v>
      </c>
      <c r="H34" s="15"/>
      <c r="I34" s="15">
        <f>I33</f>
        <v>73000</v>
      </c>
      <c r="J34" s="15">
        <v>0</v>
      </c>
    </row>
    <row r="35" spans="1:10" x14ac:dyDescent="0.2">
      <c r="A35" s="2"/>
      <c r="B35" s="4"/>
      <c r="C35" s="4"/>
      <c r="D35" s="8"/>
    </row>
    <row r="36" spans="1:10" ht="15" x14ac:dyDescent="0.25">
      <c r="A36" s="5" t="s">
        <v>39</v>
      </c>
      <c r="B36" s="4">
        <f>B33+B34</f>
        <v>-140000</v>
      </c>
      <c r="C36" s="4">
        <f>C33+C34</f>
        <v>290000</v>
      </c>
      <c r="D36" s="8"/>
    </row>
    <row r="37" spans="1:10" x14ac:dyDescent="0.2">
      <c r="A37" s="2"/>
      <c r="B37" s="4"/>
      <c r="C37" s="4"/>
      <c r="D37" s="8"/>
      <c r="E37" s="39">
        <v>37987</v>
      </c>
      <c r="F37">
        <v>30000</v>
      </c>
    </row>
    <row r="38" spans="1:10" ht="15" x14ac:dyDescent="0.25">
      <c r="A38" s="5" t="s">
        <v>40</v>
      </c>
      <c r="B38" s="4"/>
      <c r="C38" s="4"/>
      <c r="D38" s="8"/>
      <c r="E38" s="40" t="s">
        <v>94</v>
      </c>
      <c r="F38">
        <f>0.1*F37</f>
        <v>3000</v>
      </c>
    </row>
    <row r="39" spans="1:10" x14ac:dyDescent="0.2">
      <c r="A39" s="2" t="s">
        <v>13</v>
      </c>
      <c r="B39" s="4"/>
      <c r="C39" s="4">
        <v>14000</v>
      </c>
      <c r="D39" s="8"/>
      <c r="E39" s="40" t="s">
        <v>95</v>
      </c>
      <c r="F39" s="40">
        <f>0.1*F37</f>
        <v>3000</v>
      </c>
    </row>
    <row r="40" spans="1:10" x14ac:dyDescent="0.2">
      <c r="A40" s="2" t="s">
        <v>14</v>
      </c>
      <c r="B40" s="4"/>
      <c r="C40" s="4">
        <v>-3000</v>
      </c>
      <c r="D40" s="8"/>
      <c r="E40" s="40" t="s">
        <v>96</v>
      </c>
      <c r="F40">
        <f>30000+0.1*F37</f>
        <v>33000</v>
      </c>
    </row>
    <row r="41" spans="1:10" x14ac:dyDescent="0.2">
      <c r="A41" s="13" t="s">
        <v>15</v>
      </c>
      <c r="B41" s="13"/>
      <c r="C41" s="13">
        <v>-16000</v>
      </c>
      <c r="D41" s="8"/>
    </row>
    <row r="42" spans="1:10" ht="15" x14ac:dyDescent="0.25">
      <c r="A42" s="5" t="s">
        <v>41</v>
      </c>
      <c r="B42" s="4">
        <f>SUM(B39:B41)</f>
        <v>0</v>
      </c>
      <c r="C42" s="4">
        <f>SUM(C39:C41)</f>
        <v>-5000</v>
      </c>
      <c r="D42" s="8"/>
    </row>
    <row r="43" spans="1:10" x14ac:dyDescent="0.2">
      <c r="A43" s="2"/>
      <c r="B43" s="4"/>
      <c r="C43" s="4"/>
      <c r="D43" s="8"/>
    </row>
    <row r="44" spans="1:10" ht="15" x14ac:dyDescent="0.25">
      <c r="A44" s="5" t="s">
        <v>42</v>
      </c>
      <c r="B44" s="4">
        <f>B42+B36+B30</f>
        <v>-52400</v>
      </c>
      <c r="C44" s="4">
        <f>C42+C36+C30</f>
        <v>253400</v>
      </c>
    </row>
    <row r="46" spans="1:10" ht="15" thickBot="1" x14ac:dyDescent="0.25"/>
    <row r="47" spans="1:10" ht="15.75" thickBot="1" x14ac:dyDescent="0.3">
      <c r="A47" s="45" t="s">
        <v>56</v>
      </c>
      <c r="B47" s="46"/>
      <c r="C47" s="46"/>
      <c r="D47" s="47"/>
      <c r="E47" s="6"/>
      <c r="G47" s="45" t="s">
        <v>88</v>
      </c>
      <c r="H47" s="46"/>
      <c r="I47" s="46"/>
      <c r="J47" s="47"/>
    </row>
    <row r="48" spans="1:10" ht="15" x14ac:dyDescent="0.25">
      <c r="A48" s="1"/>
      <c r="B48" s="10" t="s">
        <v>2</v>
      </c>
      <c r="C48" s="10" t="s">
        <v>3</v>
      </c>
      <c r="D48" s="28" t="s">
        <v>57</v>
      </c>
      <c r="G48" s="18" t="s">
        <v>70</v>
      </c>
      <c r="H48" s="1"/>
      <c r="I48" s="29" t="s">
        <v>71</v>
      </c>
      <c r="J48" s="1"/>
    </row>
    <row r="49" spans="1:10" ht="15" thickBot="1" x14ac:dyDescent="0.25">
      <c r="A49" s="19" t="s">
        <v>20</v>
      </c>
      <c r="B49" s="20">
        <v>500000</v>
      </c>
      <c r="C49" s="20">
        <v>600000</v>
      </c>
      <c r="D49" s="20"/>
      <c r="G49" s="3" t="s">
        <v>72</v>
      </c>
      <c r="H49" s="4">
        <f>J22</f>
        <v>210105</v>
      </c>
      <c r="I49" s="30" t="s">
        <v>73</v>
      </c>
      <c r="J49" s="4">
        <f>J34</f>
        <v>0</v>
      </c>
    </row>
    <row r="50" spans="1:10" ht="15" thickBot="1" x14ac:dyDescent="0.25">
      <c r="A50" s="21" t="s">
        <v>58</v>
      </c>
      <c r="B50" s="22">
        <f>0.4*B49</f>
        <v>200000</v>
      </c>
      <c r="C50" s="22">
        <f>0.4*C49</f>
        <v>240000</v>
      </c>
      <c r="D50" s="22">
        <f>B50+C50</f>
        <v>440000</v>
      </c>
      <c r="G50" s="3" t="s">
        <v>74</v>
      </c>
      <c r="H50" s="4">
        <f>E13</f>
        <v>460000</v>
      </c>
      <c r="I50" s="30" t="s">
        <v>75</v>
      </c>
      <c r="J50" s="4">
        <f>K11</f>
        <v>168000</v>
      </c>
    </row>
    <row r="51" spans="1:10" ht="15" x14ac:dyDescent="0.25">
      <c r="A51" s="18" t="s">
        <v>59</v>
      </c>
      <c r="B51" s="15">
        <f>B49-B50</f>
        <v>300000</v>
      </c>
      <c r="C51" s="15">
        <f>C49-C50</f>
        <v>360000</v>
      </c>
      <c r="D51" s="15"/>
      <c r="G51" s="3" t="s">
        <v>76</v>
      </c>
      <c r="H51" s="4">
        <f>I63</f>
        <v>200000</v>
      </c>
      <c r="I51" s="30" t="s">
        <v>77</v>
      </c>
      <c r="J51" s="4">
        <f>D62</f>
        <v>75621</v>
      </c>
    </row>
    <row r="52" spans="1:10" ht="15" x14ac:dyDescent="0.25">
      <c r="A52" s="2" t="s">
        <v>35</v>
      </c>
      <c r="B52" s="4">
        <f>-B25</f>
        <v>-121000</v>
      </c>
      <c r="C52" s="4">
        <f>-C25</f>
        <v>-141000</v>
      </c>
      <c r="D52" s="4"/>
      <c r="G52" s="3" t="s">
        <v>85</v>
      </c>
      <c r="H52" s="4">
        <f>I68</f>
        <v>21000</v>
      </c>
      <c r="I52" s="34"/>
      <c r="J52" s="4"/>
    </row>
    <row r="53" spans="1:10" ht="15.75" thickBot="1" x14ac:dyDescent="0.3">
      <c r="A53" s="19" t="s">
        <v>60</v>
      </c>
      <c r="B53" s="20">
        <f>-D12</f>
        <v>-5400</v>
      </c>
      <c r="C53" s="20">
        <f>-E12</f>
        <v>-3599.9999999999995</v>
      </c>
      <c r="D53" s="20"/>
      <c r="G53" s="3"/>
      <c r="H53" s="4"/>
      <c r="I53" s="33" t="s">
        <v>78</v>
      </c>
      <c r="J53" s="4"/>
    </row>
    <row r="54" spans="1:10" ht="15" thickBot="1" x14ac:dyDescent="0.25">
      <c r="A54" s="21" t="s">
        <v>61</v>
      </c>
      <c r="B54" s="22">
        <v>-9000</v>
      </c>
      <c r="C54" s="22">
        <v>-9000</v>
      </c>
      <c r="D54" s="22">
        <f>ABS(B54+C54)</f>
        <v>18000</v>
      </c>
      <c r="G54" s="2"/>
      <c r="H54" s="4"/>
      <c r="I54" s="35" t="s">
        <v>86</v>
      </c>
      <c r="J54" s="4">
        <v>30000</v>
      </c>
    </row>
    <row r="55" spans="1:10" ht="15" x14ac:dyDescent="0.25">
      <c r="A55" s="18" t="s">
        <v>62</v>
      </c>
      <c r="B55" s="15">
        <f>SUM(B51:B54)</f>
        <v>164600</v>
      </c>
      <c r="C55" s="15">
        <f>SUM(C51:C54)</f>
        <v>206400</v>
      </c>
      <c r="D55" s="15"/>
      <c r="G55" s="3" t="s">
        <v>79</v>
      </c>
      <c r="H55" s="4">
        <f>I73</f>
        <v>223000</v>
      </c>
      <c r="I55" s="30" t="s">
        <v>80</v>
      </c>
      <c r="J55" s="4">
        <f>I83</f>
        <v>414000</v>
      </c>
    </row>
    <row r="56" spans="1:10" x14ac:dyDescent="0.2">
      <c r="A56" s="2" t="s">
        <v>63</v>
      </c>
      <c r="B56" s="4"/>
      <c r="C56" s="4"/>
      <c r="D56" s="4"/>
      <c r="G56" s="36" t="s">
        <v>87</v>
      </c>
      <c r="H56" s="4">
        <f>-I78</f>
        <v>-77000</v>
      </c>
      <c r="I56" s="30" t="s">
        <v>81</v>
      </c>
      <c r="J56" s="4">
        <f>I88</f>
        <v>47000</v>
      </c>
    </row>
    <row r="57" spans="1:10" x14ac:dyDescent="0.2">
      <c r="A57" s="11" t="s">
        <v>67</v>
      </c>
      <c r="B57" s="4">
        <f>-I30</f>
        <v>-299.99999999999636</v>
      </c>
      <c r="C57" s="4">
        <f>-J30</f>
        <v>-1095</v>
      </c>
      <c r="D57" s="4"/>
      <c r="G57" s="2"/>
      <c r="H57" s="4"/>
      <c r="I57" s="30" t="s">
        <v>82</v>
      </c>
      <c r="J57" s="4">
        <f>D63</f>
        <v>302484</v>
      </c>
    </row>
    <row r="58" spans="1:10" ht="15" x14ac:dyDescent="0.25">
      <c r="A58" s="11" t="s">
        <v>68</v>
      </c>
      <c r="B58" s="4">
        <f>-3000/4</f>
        <v>-750</v>
      </c>
      <c r="C58" s="4">
        <f>-3000/4</f>
        <v>-750</v>
      </c>
      <c r="D58" s="4"/>
      <c r="G58" s="31" t="s">
        <v>83</v>
      </c>
      <c r="H58" s="4">
        <f>SUM(H49:H56)</f>
        <v>1037105</v>
      </c>
      <c r="I58" s="32" t="s">
        <v>84</v>
      </c>
      <c r="J58" s="4">
        <f>SUM(J49:J57)</f>
        <v>1037105</v>
      </c>
    </row>
    <row r="59" spans="1:10" ht="15" thickBot="1" x14ac:dyDescent="0.25">
      <c r="A59" s="23" t="s">
        <v>69</v>
      </c>
      <c r="B59" s="25"/>
      <c r="C59" s="17">
        <f>340000-330000</f>
        <v>10000</v>
      </c>
      <c r="D59" s="17"/>
    </row>
    <row r="60" spans="1:10" ht="15.75" thickBot="1" x14ac:dyDescent="0.3">
      <c r="A60" s="26" t="s">
        <v>64</v>
      </c>
      <c r="B60" s="27">
        <f>SUM(B57:B59)</f>
        <v>-1049.9999999999964</v>
      </c>
      <c r="C60" s="27">
        <f>SUM(C57:C59)</f>
        <v>8155</v>
      </c>
      <c r="D60" s="22"/>
      <c r="G60" s="40" t="s">
        <v>76</v>
      </c>
      <c r="H60" s="40" t="s">
        <v>46</v>
      </c>
      <c r="I60">
        <v>0</v>
      </c>
    </row>
    <row r="61" spans="1:10" ht="15" x14ac:dyDescent="0.25">
      <c r="A61" s="18" t="s">
        <v>65</v>
      </c>
      <c r="B61" s="15">
        <f>B55+B60</f>
        <v>163550</v>
      </c>
      <c r="C61" s="15">
        <f>C55+C60</f>
        <v>214555</v>
      </c>
      <c r="D61" s="15"/>
      <c r="H61" s="40" t="s">
        <v>98</v>
      </c>
      <c r="I61" s="38">
        <f>J4+K4</f>
        <v>640000</v>
      </c>
    </row>
    <row r="62" spans="1:10" ht="15" thickBot="1" x14ac:dyDescent="0.25">
      <c r="A62" s="23" t="s">
        <v>97</v>
      </c>
      <c r="B62" s="17">
        <f>0.2*B61</f>
        <v>32710</v>
      </c>
      <c r="C62" s="17">
        <f>0.2*C61</f>
        <v>42911</v>
      </c>
      <c r="D62" s="17">
        <f>B62+C62</f>
        <v>75621</v>
      </c>
      <c r="H62" s="40" t="s">
        <v>99</v>
      </c>
      <c r="I62" s="38">
        <f>D50</f>
        <v>440000</v>
      </c>
    </row>
    <row r="63" spans="1:10" ht="15.75" thickBot="1" x14ac:dyDescent="0.3">
      <c r="A63" s="18" t="s">
        <v>66</v>
      </c>
      <c r="B63" s="15">
        <f>B61-B62</f>
        <v>130840</v>
      </c>
      <c r="C63" s="15">
        <f>C61-C62</f>
        <v>171644</v>
      </c>
      <c r="D63" s="17">
        <f>B63+C63</f>
        <v>302484</v>
      </c>
      <c r="H63" s="41" t="s">
        <v>100</v>
      </c>
      <c r="I63" s="38">
        <f>I60+I61-I62</f>
        <v>200000</v>
      </c>
    </row>
    <row r="65" spans="7:9" x14ac:dyDescent="0.2">
      <c r="G65" s="40" t="s">
        <v>85</v>
      </c>
      <c r="H65" s="40" t="s">
        <v>46</v>
      </c>
      <c r="I65">
        <v>0</v>
      </c>
    </row>
    <row r="66" spans="7:9" x14ac:dyDescent="0.2">
      <c r="H66" s="40" t="s">
        <v>101</v>
      </c>
      <c r="I66" s="38">
        <f>B26+C26</f>
        <v>21000</v>
      </c>
    </row>
    <row r="67" spans="7:9" x14ac:dyDescent="0.2">
      <c r="H67" s="40" t="s">
        <v>102</v>
      </c>
      <c r="I67">
        <v>0</v>
      </c>
    </row>
    <row r="68" spans="7:9" x14ac:dyDescent="0.2">
      <c r="H68" s="40" t="s">
        <v>100</v>
      </c>
      <c r="I68" s="38">
        <f>I65+I66-I67</f>
        <v>21000</v>
      </c>
    </row>
    <row r="70" spans="7:9" x14ac:dyDescent="0.2">
      <c r="G70" s="40" t="s">
        <v>103</v>
      </c>
      <c r="H70" s="40" t="s">
        <v>46</v>
      </c>
      <c r="I70">
        <v>433000</v>
      </c>
    </row>
    <row r="71" spans="7:9" x14ac:dyDescent="0.2">
      <c r="H71" s="40" t="s">
        <v>104</v>
      </c>
      <c r="I71">
        <f>ABS(B33+C33)</f>
        <v>190000</v>
      </c>
    </row>
    <row r="72" spans="7:9" x14ac:dyDescent="0.2">
      <c r="H72" s="40" t="s">
        <v>105</v>
      </c>
      <c r="I72">
        <f>400000</f>
        <v>400000</v>
      </c>
    </row>
    <row r="73" spans="7:9" x14ac:dyDescent="0.2">
      <c r="H73" s="40" t="s">
        <v>100</v>
      </c>
      <c r="I73">
        <f>I70+I71-I72</f>
        <v>223000</v>
      </c>
    </row>
    <row r="75" spans="7:9" x14ac:dyDescent="0.2">
      <c r="G75" s="40" t="s">
        <v>87</v>
      </c>
      <c r="H75" s="40" t="s">
        <v>46</v>
      </c>
      <c r="I75">
        <v>129000</v>
      </c>
    </row>
    <row r="76" spans="7:9" x14ac:dyDescent="0.2">
      <c r="H76" s="40" t="s">
        <v>106</v>
      </c>
      <c r="I76" s="38">
        <f>D54</f>
        <v>18000</v>
      </c>
    </row>
    <row r="77" spans="7:9" x14ac:dyDescent="0.2">
      <c r="H77" s="40" t="s">
        <v>107</v>
      </c>
      <c r="I77">
        <f>70000</f>
        <v>70000</v>
      </c>
    </row>
    <row r="78" spans="7:9" x14ac:dyDescent="0.2">
      <c r="H78" s="40" t="s">
        <v>100</v>
      </c>
      <c r="I78" s="38">
        <f>I75+I76-I77</f>
        <v>77000</v>
      </c>
    </row>
    <row r="80" spans="7:9" x14ac:dyDescent="0.2">
      <c r="G80" s="40" t="s">
        <v>108</v>
      </c>
      <c r="H80" s="40" t="s">
        <v>109</v>
      </c>
      <c r="I80">
        <v>400000</v>
      </c>
    </row>
    <row r="81" spans="7:9" x14ac:dyDescent="0.2">
      <c r="H81" s="40" t="s">
        <v>110</v>
      </c>
      <c r="I81">
        <v>14000</v>
      </c>
    </row>
    <row r="82" spans="7:9" x14ac:dyDescent="0.2">
      <c r="H82" s="40" t="s">
        <v>111</v>
      </c>
      <c r="I82">
        <v>0</v>
      </c>
    </row>
    <row r="83" spans="7:9" x14ac:dyDescent="0.2">
      <c r="H83" s="40" t="s">
        <v>100</v>
      </c>
      <c r="I83">
        <f>I80+I81-I82</f>
        <v>414000</v>
      </c>
    </row>
    <row r="85" spans="7:9" x14ac:dyDescent="0.2">
      <c r="G85" s="40" t="s">
        <v>81</v>
      </c>
      <c r="H85" s="40" t="s">
        <v>46</v>
      </c>
      <c r="I85">
        <v>63000</v>
      </c>
    </row>
    <row r="86" spans="7:9" x14ac:dyDescent="0.2">
      <c r="H86" s="40" t="s">
        <v>112</v>
      </c>
      <c r="I86">
        <v>0</v>
      </c>
    </row>
    <row r="87" spans="7:9" x14ac:dyDescent="0.2">
      <c r="H87" s="40" t="s">
        <v>113</v>
      </c>
      <c r="I87">
        <v>16000</v>
      </c>
    </row>
    <row r="88" spans="7:9" x14ac:dyDescent="0.2">
      <c r="H88" s="40" t="s">
        <v>100</v>
      </c>
      <c r="I88">
        <f>I85+I86-I87</f>
        <v>47000</v>
      </c>
    </row>
  </sheetData>
  <mergeCells count="7">
    <mergeCell ref="A47:D47"/>
    <mergeCell ref="G47:J47"/>
    <mergeCell ref="A1:E1"/>
    <mergeCell ref="G1:K1"/>
    <mergeCell ref="A16:C16"/>
    <mergeCell ref="G16:J16"/>
    <mergeCell ref="G26:J26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Francisca Ibarra Carvajal</dc:creator>
  <cp:lastModifiedBy>gabriel haensgen</cp:lastModifiedBy>
  <dcterms:created xsi:type="dcterms:W3CDTF">2020-07-01T22:03:16Z</dcterms:created>
  <dcterms:modified xsi:type="dcterms:W3CDTF">2020-11-30T23:59:29Z</dcterms:modified>
</cp:coreProperties>
</file>