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haensgen\Desktop\"/>
    </mc:Choice>
  </mc:AlternateContent>
  <xr:revisionPtr revIDLastSave="0" documentId="13_ncr:1_{C7C30470-D454-40D4-B25A-FF353B4F4AC1}" xr6:coauthVersionLast="44" xr6:coauthVersionMax="44" xr10:uidLastSave="{00000000-0000-0000-0000-000000000000}"/>
  <bookViews>
    <workbookView xWindow="-120" yWindow="-120" windowWidth="29040" windowHeight="15840" xr2:uid="{1FC95ACC-4A77-4451-B709-C4541C1EB68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J6" i="1"/>
  <c r="J7" i="1" s="1"/>
  <c r="J11" i="1"/>
  <c r="O17" i="1"/>
  <c r="O16" i="1"/>
  <c r="N17" i="1"/>
  <c r="M17" i="1"/>
  <c r="N16" i="1"/>
  <c r="M16" i="1"/>
  <c r="N15" i="1"/>
  <c r="M15" i="1"/>
  <c r="N14" i="1"/>
  <c r="M14" i="1"/>
  <c r="H12" i="1"/>
  <c r="H6" i="1"/>
  <c r="H3" i="1"/>
  <c r="V32" i="1"/>
  <c r="V30" i="1"/>
  <c r="V29" i="1"/>
  <c r="V28" i="1"/>
  <c r="V27" i="1"/>
  <c r="V25" i="1"/>
  <c r="U31" i="1"/>
  <c r="U30" i="1"/>
  <c r="U29" i="1"/>
  <c r="U28" i="1"/>
  <c r="U27" i="1"/>
  <c r="V26" i="1"/>
  <c r="U26" i="1"/>
  <c r="T31" i="1"/>
  <c r="H5" i="1"/>
  <c r="K39" i="1"/>
  <c r="K38" i="1"/>
  <c r="K35" i="1"/>
  <c r="N13" i="1"/>
  <c r="M13" i="1"/>
  <c r="N10" i="1"/>
  <c r="M10" i="1"/>
  <c r="T10" i="1"/>
  <c r="H9" i="1"/>
  <c r="T16" i="1"/>
  <c r="H8" i="1"/>
  <c r="K31" i="1"/>
  <c r="K30" i="1"/>
  <c r="N25" i="1"/>
  <c r="T15" i="1"/>
  <c r="S15" i="1"/>
  <c r="K27" i="1"/>
  <c r="T17" i="1" l="1"/>
  <c r="T19" i="1" s="1"/>
  <c r="S17" i="1"/>
  <c r="T12" i="1"/>
  <c r="S12" i="1"/>
  <c r="T7" i="1"/>
  <c r="S7" i="1"/>
  <c r="T4" i="1"/>
  <c r="S4" i="1"/>
  <c r="N6" i="1"/>
  <c r="N7" i="1"/>
  <c r="M6" i="1"/>
  <c r="M7" i="1" s="1"/>
  <c r="N5" i="1"/>
  <c r="M5" i="1"/>
  <c r="T5" i="1"/>
  <c r="S5" i="1"/>
  <c r="J5" i="1"/>
  <c r="D38" i="1"/>
  <c r="E31" i="1"/>
  <c r="E38" i="1" s="1"/>
  <c r="E36" i="1"/>
  <c r="D36" i="1"/>
  <c r="E34" i="1"/>
  <c r="E35" i="1"/>
  <c r="D34" i="1"/>
  <c r="N4" i="1"/>
  <c r="M4" i="1"/>
  <c r="N12" i="1"/>
  <c r="M12" i="1"/>
  <c r="H4" i="1"/>
  <c r="T6" i="1"/>
  <c r="S6" i="1"/>
  <c r="E26" i="1"/>
  <c r="E16" i="1"/>
  <c r="D26" i="1"/>
  <c r="E19" i="1"/>
  <c r="E20" i="1"/>
  <c r="E22" i="1" s="1"/>
  <c r="D19" i="1"/>
  <c r="D22" i="1" s="1"/>
  <c r="E24" i="1"/>
  <c r="E21" i="1"/>
  <c r="D20" i="1"/>
  <c r="C22" i="1"/>
  <c r="C19" i="1"/>
  <c r="D24" i="1"/>
  <c r="D21" i="1"/>
  <c r="C20" i="1"/>
  <c r="B22" i="1"/>
  <c r="B19" i="1"/>
  <c r="E17" i="1"/>
  <c r="D17" i="1"/>
  <c r="D16" i="1"/>
  <c r="C26" i="1"/>
  <c r="S19" i="1" l="1"/>
  <c r="J12" i="1"/>
</calcChain>
</file>

<file path=xl/sharedStrings.xml><?xml version="1.0" encoding="utf-8"?>
<sst xmlns="http://schemas.openxmlformats.org/spreadsheetml/2006/main" count="126" uniqueCount="94">
  <si>
    <t>balance proyectado 180 dias</t>
  </si>
  <si>
    <t>estado resultados</t>
  </si>
  <si>
    <t>ppto caja</t>
  </si>
  <si>
    <t>Activos</t>
  </si>
  <si>
    <t>Pasivos</t>
  </si>
  <si>
    <t>1 2019</t>
  </si>
  <si>
    <t>2 2019</t>
  </si>
  <si>
    <t>Caja</t>
  </si>
  <si>
    <t>Intereses por pagar</t>
  </si>
  <si>
    <t>Ventas</t>
  </si>
  <si>
    <t>operacional</t>
  </si>
  <si>
    <t>Clientes</t>
  </si>
  <si>
    <t>obligaciones bancarias</t>
  </si>
  <si>
    <t>cxv</t>
  </si>
  <si>
    <t>otros gastos</t>
  </si>
  <si>
    <t>Inventario</t>
  </si>
  <si>
    <t>Pasivos circulantes</t>
  </si>
  <si>
    <t>cxp</t>
  </si>
  <si>
    <t>mb</t>
  </si>
  <si>
    <t>pagos</t>
  </si>
  <si>
    <t>Activo circulante</t>
  </si>
  <si>
    <t>activos circulantes</t>
  </si>
  <si>
    <t>impto x pagar</t>
  </si>
  <si>
    <t>gav</t>
  </si>
  <si>
    <t>cobros</t>
  </si>
  <si>
    <t>Bonos por pagar</t>
  </si>
  <si>
    <t>ebitda</t>
  </si>
  <si>
    <t>total po</t>
  </si>
  <si>
    <t>Activo Fijo</t>
  </si>
  <si>
    <t>capital</t>
  </si>
  <si>
    <t>depreciacion</t>
  </si>
  <si>
    <t>Dep acumulada</t>
  </si>
  <si>
    <t>Reservas</t>
  </si>
  <si>
    <t>amortizacion</t>
  </si>
  <si>
    <t>ebit</t>
  </si>
  <si>
    <t>financiamiento</t>
  </si>
  <si>
    <t>Total Activos</t>
  </si>
  <si>
    <t>Total pasivos</t>
  </si>
  <si>
    <t>ut ejercicio</t>
  </si>
  <si>
    <t>gf</t>
  </si>
  <si>
    <t>amortizacion deuda</t>
  </si>
  <si>
    <t>incobrables</t>
  </si>
  <si>
    <t>total pf</t>
  </si>
  <si>
    <t>utilidad/perdida</t>
  </si>
  <si>
    <t>CXC</t>
  </si>
  <si>
    <t>3 2018</t>
  </si>
  <si>
    <t>4  2018</t>
  </si>
  <si>
    <t>intereses</t>
  </si>
  <si>
    <t>bat</t>
  </si>
  <si>
    <t>inversiones</t>
  </si>
  <si>
    <t>saldo inicial</t>
  </si>
  <si>
    <t>tax (20%)</t>
  </si>
  <si>
    <t>vta maquina</t>
  </si>
  <si>
    <t>ventas</t>
  </si>
  <si>
    <t>resultado neto</t>
  </si>
  <si>
    <t>total pi</t>
  </si>
  <si>
    <t>contado (40%)</t>
  </si>
  <si>
    <t>saldo caja</t>
  </si>
  <si>
    <t>90 dias (40%)</t>
  </si>
  <si>
    <t>180 dias (20%)</t>
  </si>
  <si>
    <t>activos fijos</t>
  </si>
  <si>
    <t>costo historico</t>
  </si>
  <si>
    <t>venta/compra</t>
  </si>
  <si>
    <t>utilidad/ pérdida</t>
  </si>
  <si>
    <t>total cobros</t>
  </si>
  <si>
    <t>maquina1</t>
  </si>
  <si>
    <t>plan financiamiento</t>
  </si>
  <si>
    <t>incobrables (3%)</t>
  </si>
  <si>
    <t>maquina2</t>
  </si>
  <si>
    <t>activo fijo</t>
  </si>
  <si>
    <t>caja inicial</t>
  </si>
  <si>
    <t>cxc final</t>
  </si>
  <si>
    <t>activo fijo inicial</t>
  </si>
  <si>
    <t>total</t>
  </si>
  <si>
    <t>CXP</t>
  </si>
  <si>
    <t>compra</t>
  </si>
  <si>
    <t>prestamo requerido</t>
  </si>
  <si>
    <t>compras</t>
  </si>
  <si>
    <t>caja final</t>
  </si>
  <si>
    <t>inventarios</t>
  </si>
  <si>
    <t>inicial</t>
  </si>
  <si>
    <t>total pagos</t>
  </si>
  <si>
    <t>saldo final</t>
  </si>
  <si>
    <t>usos</t>
  </si>
  <si>
    <t>existencia final</t>
  </si>
  <si>
    <t>3 2019</t>
  </si>
  <si>
    <t>4  2019</t>
  </si>
  <si>
    <t>1 2020</t>
  </si>
  <si>
    <t>2 2020</t>
  </si>
  <si>
    <t>balance 31-12-19</t>
  </si>
  <si>
    <t>contado (30%)</t>
  </si>
  <si>
    <t>90 dias (70%)</t>
  </si>
  <si>
    <t>esta incluido en gav</t>
  </si>
  <si>
    <t>neto entre dividendos y venta de 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</si>
</sst>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1" xfId="0" applyNumberFormat="1" applyBorder="1"/>
    <xf numFmtId="164" fontId="0" fillId="0" borderId="0" xfId="0" applyNumberFormat="1"/>
    <xf numFmtId="164" fontId="1" fillId="0" borderId="1" xfId="0" applyNumberFormat="1" applyFont="1" applyBorder="1"/>
    <xf numFmtId="164" fontId="2" fillId="0" borderId="0" xfId="1" applyNumberFormat="1"/>
    <xf numFmtId="164" fontId="0" fillId="2" borderId="1" xfId="0" applyNumberFormat="1" applyFill="1" applyBorder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1" xfId="0" applyNumberFormat="1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419357</xdr:colOff>
      <xdr:row>33</xdr:row>
      <xdr:rowOff>101918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CA2457F-BA67-4DAC-B74F-5B94262E2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91357" cy="6178868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2</xdr:row>
      <xdr:rowOff>107950</xdr:rowOff>
    </xdr:from>
    <xdr:to>
      <xdr:col>12</xdr:col>
      <xdr:colOff>647950</xdr:colOff>
      <xdr:row>25</xdr:row>
      <xdr:rowOff>152620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C26481F-FD27-412E-B7CD-2C035A444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476250"/>
          <a:ext cx="4858000" cy="4280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7E6C-0130-4F6A-87C2-2F1B84BC7122}">
  <dimension ref="A1:V39"/>
  <sheetViews>
    <sheetView tabSelected="1" topLeftCell="B1" workbookViewId="0">
      <selection activeCell="O6" sqref="O6"/>
    </sheetView>
  </sheetViews>
  <sheetFormatPr baseColWidth="10" defaultColWidth="10.85546875" defaultRowHeight="15" x14ac:dyDescent="0.25"/>
  <cols>
    <col min="1" max="9" width="10.85546875" style="2"/>
    <col min="10" max="10" width="15.42578125" style="2" bestFit="1" customWidth="1"/>
    <col min="11" max="16384" width="10.85546875" style="2"/>
  </cols>
  <sheetData>
    <row r="1" spans="1:21" x14ac:dyDescent="0.25">
      <c r="A1" s="1" t="s">
        <v>89</v>
      </c>
      <c r="B1" s="1"/>
      <c r="C1" s="1"/>
      <c r="D1" s="1"/>
      <c r="G1" s="1" t="s">
        <v>0</v>
      </c>
      <c r="H1" s="1"/>
      <c r="I1" s="1"/>
      <c r="J1" s="1"/>
      <c r="L1" s="1" t="s">
        <v>1</v>
      </c>
      <c r="M1" s="1"/>
      <c r="N1" s="1"/>
      <c r="R1" s="2" t="s">
        <v>2</v>
      </c>
    </row>
    <row r="2" spans="1:21" x14ac:dyDescent="0.25">
      <c r="A2" s="3" t="s">
        <v>3</v>
      </c>
      <c r="B2" s="3"/>
      <c r="C2" s="3" t="s">
        <v>4</v>
      </c>
      <c r="D2" s="1"/>
      <c r="G2" s="3" t="s">
        <v>3</v>
      </c>
      <c r="H2" s="1"/>
      <c r="I2" s="3" t="s">
        <v>4</v>
      </c>
      <c r="J2" s="1"/>
      <c r="L2" s="1"/>
      <c r="M2" s="1" t="s">
        <v>87</v>
      </c>
      <c r="N2" s="1" t="s">
        <v>88</v>
      </c>
      <c r="R2" s="1"/>
      <c r="S2" s="1" t="s">
        <v>87</v>
      </c>
      <c r="T2" s="1" t="s">
        <v>88</v>
      </c>
    </row>
    <row r="3" spans="1:21" x14ac:dyDescent="0.25">
      <c r="A3" s="1" t="s">
        <v>7</v>
      </c>
      <c r="B3" s="1">
        <v>15000</v>
      </c>
      <c r="C3" s="1" t="s">
        <v>8</v>
      </c>
      <c r="D3" s="1">
        <v>3000</v>
      </c>
      <c r="G3" s="1" t="s">
        <v>7</v>
      </c>
      <c r="H3" s="1">
        <f>V32</f>
        <v>134401.1</v>
      </c>
      <c r="I3" s="1" t="s">
        <v>8</v>
      </c>
      <c r="J3" s="1">
        <v>3000</v>
      </c>
      <c r="L3" s="1" t="s">
        <v>9</v>
      </c>
      <c r="M3" s="1">
        <v>400000</v>
      </c>
      <c r="N3" s="1">
        <v>700000</v>
      </c>
      <c r="R3" s="1" t="s">
        <v>10</v>
      </c>
      <c r="S3" s="1"/>
      <c r="T3" s="1"/>
    </row>
    <row r="4" spans="1:21" x14ac:dyDescent="0.25">
      <c r="A4" s="1" t="s">
        <v>11</v>
      </c>
      <c r="B4" s="1">
        <v>200000</v>
      </c>
      <c r="C4" s="1" t="s">
        <v>12</v>
      </c>
      <c r="D4" s="1">
        <v>21000</v>
      </c>
      <c r="G4" s="1" t="s">
        <v>11</v>
      </c>
      <c r="H4" s="1">
        <f>E26</f>
        <v>430500</v>
      </c>
      <c r="I4" s="1" t="s">
        <v>12</v>
      </c>
      <c r="J4" s="1">
        <v>0</v>
      </c>
      <c r="L4" s="1" t="s">
        <v>13</v>
      </c>
      <c r="M4" s="1">
        <f>-0.4*M3</f>
        <v>-160000</v>
      </c>
      <c r="N4" s="1">
        <f>-0.4*N3</f>
        <v>-280000</v>
      </c>
      <c r="R4" s="1" t="s">
        <v>14</v>
      </c>
      <c r="S4" s="1">
        <f>M6+9000</f>
        <v>-101000</v>
      </c>
      <c r="T4" s="1">
        <f>N6+9000</f>
        <v>-161000</v>
      </c>
    </row>
    <row r="5" spans="1:21" x14ac:dyDescent="0.25">
      <c r="A5" s="9" t="s">
        <v>15</v>
      </c>
      <c r="B5" s="9">
        <v>0</v>
      </c>
      <c r="C5" s="3" t="s">
        <v>16</v>
      </c>
      <c r="D5" s="3">
        <v>24000</v>
      </c>
      <c r="G5" s="1" t="s">
        <v>15</v>
      </c>
      <c r="H5" s="1">
        <f>K39</f>
        <v>360000</v>
      </c>
      <c r="I5" s="1" t="s">
        <v>17</v>
      </c>
      <c r="J5" s="1">
        <f>E38</f>
        <v>210000</v>
      </c>
      <c r="L5" s="1" t="s">
        <v>18</v>
      </c>
      <c r="M5" s="2">
        <f>SUM(M3:M4)</f>
        <v>240000</v>
      </c>
      <c r="N5" s="2">
        <f>SUM(N3:N4)</f>
        <v>420000</v>
      </c>
      <c r="R5" s="1" t="s">
        <v>19</v>
      </c>
      <c r="S5" s="1">
        <f>-D36</f>
        <v>-150000</v>
      </c>
      <c r="T5" s="1">
        <f>-E36</f>
        <v>-440000</v>
      </c>
    </row>
    <row r="6" spans="1:21" x14ac:dyDescent="0.25">
      <c r="A6" s="3" t="s">
        <v>20</v>
      </c>
      <c r="B6" s="3">
        <v>215000</v>
      </c>
      <c r="C6" s="1"/>
      <c r="D6" s="1"/>
      <c r="G6" s="3" t="s">
        <v>21</v>
      </c>
      <c r="H6" s="3">
        <f>SUM(H3:H5)</f>
        <v>924901.1</v>
      </c>
      <c r="I6" s="1" t="s">
        <v>22</v>
      </c>
      <c r="J6" s="1">
        <f>-O16</f>
        <v>70980.22</v>
      </c>
      <c r="L6" s="1" t="s">
        <v>23</v>
      </c>
      <c r="M6" s="1">
        <f>-(30000+0.2*M3)</f>
        <v>-110000</v>
      </c>
      <c r="N6" s="1">
        <f>-(30000+0.2*N3)</f>
        <v>-170000</v>
      </c>
      <c r="R6" s="1" t="s">
        <v>24</v>
      </c>
      <c r="S6" s="1">
        <f>D22</f>
        <v>350000</v>
      </c>
      <c r="T6" s="1">
        <f>E22</f>
        <v>500000</v>
      </c>
    </row>
    <row r="7" spans="1:21" x14ac:dyDescent="0.25">
      <c r="A7" s="1"/>
      <c r="B7" s="1"/>
      <c r="C7" s="1" t="s">
        <v>25</v>
      </c>
      <c r="D7" s="1">
        <v>30000</v>
      </c>
      <c r="G7" s="1"/>
      <c r="H7" s="1"/>
      <c r="I7" s="3" t="s">
        <v>16</v>
      </c>
      <c r="J7" s="3">
        <f>SUM(J3:J6)</f>
        <v>283980.21999999997</v>
      </c>
      <c r="L7" s="1" t="s">
        <v>26</v>
      </c>
      <c r="M7" s="1">
        <f>SUM(M5:M6)</f>
        <v>130000</v>
      </c>
      <c r="N7" s="1">
        <f>SUM(N5:N6)</f>
        <v>250000</v>
      </c>
      <c r="R7" s="3" t="s">
        <v>27</v>
      </c>
      <c r="S7" s="1">
        <f>SUM(S4:S6)</f>
        <v>99000</v>
      </c>
      <c r="T7" s="1">
        <f>SUM(T4:T6)</f>
        <v>-101000</v>
      </c>
    </row>
    <row r="8" spans="1:21" x14ac:dyDescent="0.25">
      <c r="A8" s="1" t="s">
        <v>28</v>
      </c>
      <c r="B8" s="1">
        <v>433000</v>
      </c>
      <c r="C8" s="1" t="s">
        <v>29</v>
      </c>
      <c r="D8" s="1">
        <v>400000</v>
      </c>
      <c r="G8" s="1" t="s">
        <v>28</v>
      </c>
      <c r="H8" s="1">
        <f>K31</f>
        <v>293000</v>
      </c>
      <c r="I8" s="1" t="s">
        <v>25</v>
      </c>
      <c r="J8" s="1">
        <v>30000</v>
      </c>
      <c r="L8" s="1" t="s">
        <v>30</v>
      </c>
      <c r="M8" s="1">
        <v>0</v>
      </c>
      <c r="N8" s="1">
        <v>0</v>
      </c>
      <c r="O8" s="2" t="s">
        <v>92</v>
      </c>
      <c r="R8" s="1"/>
      <c r="S8" s="1"/>
      <c r="T8" s="1"/>
    </row>
    <row r="9" spans="1:21" x14ac:dyDescent="0.25">
      <c r="A9" s="1" t="s">
        <v>31</v>
      </c>
      <c r="B9" s="1">
        <v>-129000</v>
      </c>
      <c r="C9" s="1" t="s">
        <v>32</v>
      </c>
      <c r="D9" s="1">
        <v>65000</v>
      </c>
      <c r="G9" s="1" t="s">
        <v>31</v>
      </c>
      <c r="H9" s="1">
        <f>-18000+B9+K29</f>
        <v>-77000</v>
      </c>
      <c r="I9" s="1" t="s">
        <v>29</v>
      </c>
      <c r="J9" s="1">
        <f>H12-662901</f>
        <v>478000.10000000009</v>
      </c>
      <c r="L9" s="1" t="s">
        <v>33</v>
      </c>
      <c r="M9" s="1">
        <v>0</v>
      </c>
      <c r="N9" s="1">
        <v>0</v>
      </c>
      <c r="R9" s="1"/>
      <c r="S9" s="1"/>
      <c r="T9" s="1"/>
    </row>
    <row r="10" spans="1:21" x14ac:dyDescent="0.25">
      <c r="A10" s="1"/>
      <c r="B10" s="1"/>
      <c r="C10" s="1"/>
      <c r="D10" s="1"/>
      <c r="G10" s="1"/>
      <c r="H10" s="1"/>
      <c r="I10" s="1" t="s">
        <v>32</v>
      </c>
      <c r="J10" s="1">
        <v>65000</v>
      </c>
      <c r="L10" s="1" t="s">
        <v>34</v>
      </c>
      <c r="M10" s="1">
        <f>M7</f>
        <v>130000</v>
      </c>
      <c r="N10" s="1">
        <f>N7</f>
        <v>250000</v>
      </c>
      <c r="R10" s="1" t="s">
        <v>35</v>
      </c>
      <c r="S10" s="1"/>
      <c r="T10" s="1">
        <f>14000-16000</f>
        <v>-2000</v>
      </c>
      <c r="U10" s="2" t="s">
        <v>93</v>
      </c>
    </row>
    <row r="11" spans="1:21" x14ac:dyDescent="0.25">
      <c r="A11" s="3" t="s">
        <v>36</v>
      </c>
      <c r="B11" s="3">
        <v>519000</v>
      </c>
      <c r="C11" s="3" t="s">
        <v>37</v>
      </c>
      <c r="D11" s="3">
        <v>519000</v>
      </c>
      <c r="G11" s="1"/>
      <c r="H11" s="1"/>
      <c r="I11" s="1" t="s">
        <v>38</v>
      </c>
      <c r="J11" s="1">
        <f>O17</f>
        <v>283920.88</v>
      </c>
      <c r="L11" s="1" t="s">
        <v>39</v>
      </c>
      <c r="M11" s="1">
        <v>-3000</v>
      </c>
      <c r="N11" s="1">
        <v>0</v>
      </c>
      <c r="R11" s="1" t="s">
        <v>40</v>
      </c>
      <c r="S11" s="1">
        <v>-3000</v>
      </c>
      <c r="T11" s="1"/>
    </row>
    <row r="12" spans="1:21" x14ac:dyDescent="0.25">
      <c r="G12" s="3" t="s">
        <v>36</v>
      </c>
      <c r="H12" s="1">
        <f>H6+H8+H9</f>
        <v>1140901.1000000001</v>
      </c>
      <c r="I12" s="3" t="s">
        <v>37</v>
      </c>
      <c r="J12" s="1">
        <f>SUM(J7+J8+J9+J10+J11)</f>
        <v>1140901.2000000002</v>
      </c>
      <c r="L12" s="1" t="s">
        <v>41</v>
      </c>
      <c r="M12" s="1">
        <f>-D24</f>
        <v>-10500</v>
      </c>
      <c r="N12" s="1">
        <f>-E24</f>
        <v>-9000</v>
      </c>
      <c r="R12" s="3" t="s">
        <v>42</v>
      </c>
      <c r="S12" s="1">
        <f>SUM(S10:S11)</f>
        <v>-3000</v>
      </c>
      <c r="T12" s="1">
        <f>SUM(T10:T11)</f>
        <v>-2000</v>
      </c>
    </row>
    <row r="13" spans="1:21" x14ac:dyDescent="0.25">
      <c r="L13" s="1" t="s">
        <v>43</v>
      </c>
      <c r="M13" s="1">
        <f>M10+SUM(M11:M12)</f>
        <v>116500</v>
      </c>
      <c r="N13" s="1">
        <f>N10+SUM(N11:N12)</f>
        <v>241000</v>
      </c>
      <c r="R13" s="1"/>
      <c r="S13" s="1"/>
      <c r="T13" s="1"/>
    </row>
    <row r="14" spans="1:21" x14ac:dyDescent="0.25">
      <c r="A14" s="1" t="s">
        <v>44</v>
      </c>
      <c r="B14" s="1" t="s">
        <v>85</v>
      </c>
      <c r="C14" s="1" t="s">
        <v>86</v>
      </c>
      <c r="D14" s="1" t="s">
        <v>87</v>
      </c>
      <c r="E14" s="1" t="s">
        <v>88</v>
      </c>
      <c r="L14" s="1" t="s">
        <v>47</v>
      </c>
      <c r="M14" s="1">
        <f>-U29</f>
        <v>-630</v>
      </c>
      <c r="N14" s="1">
        <f>-V29</f>
        <v>-1968.8999999999999</v>
      </c>
      <c r="R14" s="1"/>
      <c r="S14" s="1"/>
      <c r="T14" s="1"/>
    </row>
    <row r="15" spans="1:21" x14ac:dyDescent="0.25">
      <c r="A15" s="1"/>
      <c r="B15" s="1"/>
      <c r="C15" s="1"/>
      <c r="E15" s="1"/>
      <c r="H15" s="4"/>
      <c r="L15" s="1" t="s">
        <v>48</v>
      </c>
      <c r="M15" s="1">
        <f>M13+M14</f>
        <v>115870</v>
      </c>
      <c r="N15" s="1">
        <f>N13+N14</f>
        <v>239031.1</v>
      </c>
      <c r="R15" s="1" t="s">
        <v>49</v>
      </c>
      <c r="S15" s="1">
        <f>M23</f>
        <v>-140000</v>
      </c>
      <c r="T15" s="1">
        <f>M24</f>
        <v>-50000</v>
      </c>
    </row>
    <row r="16" spans="1:21" x14ac:dyDescent="0.25">
      <c r="A16" s="1" t="s">
        <v>50</v>
      </c>
      <c r="B16" s="1"/>
      <c r="C16" s="1"/>
      <c r="D16" s="1">
        <f>C26</f>
        <v>200000</v>
      </c>
      <c r="E16" s="1">
        <f>D26</f>
        <v>239500</v>
      </c>
      <c r="L16" s="1" t="s">
        <v>51</v>
      </c>
      <c r="M16" s="1">
        <f>-0.2*M15</f>
        <v>-23174</v>
      </c>
      <c r="N16" s="1">
        <f>-0.2*N15</f>
        <v>-47806.22</v>
      </c>
      <c r="O16" s="2">
        <f>SUM(M16:N16)</f>
        <v>-70980.22</v>
      </c>
      <c r="R16" s="1" t="s">
        <v>52</v>
      </c>
      <c r="S16" s="1"/>
      <c r="T16" s="1">
        <f>M25</f>
        <v>340000</v>
      </c>
    </row>
    <row r="17" spans="1:22" x14ac:dyDescent="0.25">
      <c r="A17" s="1" t="s">
        <v>53</v>
      </c>
      <c r="B17" s="1">
        <v>350000</v>
      </c>
      <c r="C17" s="1">
        <v>300000</v>
      </c>
      <c r="D17" s="1">
        <f>M3</f>
        <v>400000</v>
      </c>
      <c r="E17" s="1">
        <f>N3</f>
        <v>700000</v>
      </c>
      <c r="L17" s="1" t="s">
        <v>54</v>
      </c>
      <c r="M17" s="1">
        <f>SUM(M15:M16)</f>
        <v>92696</v>
      </c>
      <c r="N17" s="1">
        <f>SUM(N15:N16)</f>
        <v>191224.88</v>
      </c>
      <c r="O17" s="2">
        <f>SUM(M17:N17)</f>
        <v>283920.88</v>
      </c>
      <c r="R17" s="3" t="s">
        <v>55</v>
      </c>
      <c r="S17" s="1">
        <f>SUM(S15:S16)</f>
        <v>-140000</v>
      </c>
      <c r="T17" s="1">
        <f>SUM(T15:T16)</f>
        <v>290000</v>
      </c>
    </row>
    <row r="18" spans="1:22" x14ac:dyDescent="0.25">
      <c r="A18" s="1" t="s">
        <v>24</v>
      </c>
      <c r="B18" s="1"/>
      <c r="C18" s="1"/>
      <c r="D18" s="1"/>
      <c r="E18" s="1"/>
      <c r="R18" s="1"/>
      <c r="S18" s="1"/>
      <c r="T18" s="1"/>
    </row>
    <row r="19" spans="1:22" x14ac:dyDescent="0.25">
      <c r="A19" s="1" t="s">
        <v>56</v>
      </c>
      <c r="B19" s="1">
        <f>0.4*B17</f>
        <v>140000</v>
      </c>
      <c r="C19" s="1">
        <f>0.4*C17</f>
        <v>120000</v>
      </c>
      <c r="D19" s="1">
        <f>0.4*D17</f>
        <v>160000</v>
      </c>
      <c r="E19" s="1">
        <f>0.4*E17</f>
        <v>280000</v>
      </c>
      <c r="R19" s="5" t="s">
        <v>57</v>
      </c>
      <c r="S19" s="1">
        <f>S17+S12+S7</f>
        <v>-44000</v>
      </c>
      <c r="T19" s="1">
        <f>T17+T12+T7</f>
        <v>187000</v>
      </c>
    </row>
    <row r="20" spans="1:22" x14ac:dyDescent="0.25">
      <c r="A20" s="1" t="s">
        <v>58</v>
      </c>
      <c r="B20" s="1"/>
      <c r="C20" s="1">
        <f>0.4*B17</f>
        <v>140000</v>
      </c>
      <c r="D20" s="1">
        <f>0.4*C17</f>
        <v>120000</v>
      </c>
      <c r="E20" s="1">
        <f>0.4*D17</f>
        <v>160000</v>
      </c>
    </row>
    <row r="21" spans="1:22" x14ac:dyDescent="0.25">
      <c r="A21" s="1" t="s">
        <v>59</v>
      </c>
      <c r="B21" s="1"/>
      <c r="C21" s="1"/>
      <c r="D21" s="1">
        <f>0.2*B17</f>
        <v>70000</v>
      </c>
      <c r="E21" s="1">
        <f>0.2*C17</f>
        <v>60000</v>
      </c>
      <c r="J21" s="1" t="s">
        <v>60</v>
      </c>
      <c r="K21" s="6" t="s">
        <v>61</v>
      </c>
      <c r="L21" s="6" t="s">
        <v>30</v>
      </c>
      <c r="M21" s="6" t="s">
        <v>62</v>
      </c>
      <c r="N21" s="6" t="s">
        <v>63</v>
      </c>
    </row>
    <row r="22" spans="1:22" x14ac:dyDescent="0.25">
      <c r="A22" s="1" t="s">
        <v>64</v>
      </c>
      <c r="B22" s="1">
        <f>SUM(B19:B21)</f>
        <v>140000</v>
      </c>
      <c r="C22" s="1">
        <f>SUM(C19:C21)</f>
        <v>260000</v>
      </c>
      <c r="D22" s="1">
        <f t="shared" ref="D22:E22" si="0">SUM(D19:D21)</f>
        <v>350000</v>
      </c>
      <c r="E22" s="1">
        <f t="shared" si="0"/>
        <v>500000</v>
      </c>
      <c r="J22" s="1"/>
      <c r="K22" s="1"/>
      <c r="L22" s="1"/>
      <c r="M22" s="1"/>
      <c r="N22" s="1"/>
    </row>
    <row r="23" spans="1:22" x14ac:dyDescent="0.25">
      <c r="A23" s="1"/>
      <c r="B23" s="1"/>
      <c r="C23" s="1"/>
      <c r="D23" s="1"/>
      <c r="E23" s="1"/>
      <c r="J23" s="1" t="s">
        <v>65</v>
      </c>
      <c r="K23" s="1"/>
      <c r="L23" s="1"/>
      <c r="M23" s="1">
        <v>-140000</v>
      </c>
      <c r="N23" s="1"/>
      <c r="R23" s="1" t="s">
        <v>66</v>
      </c>
      <c r="S23" s="1"/>
      <c r="T23" s="1"/>
      <c r="U23" s="1"/>
      <c r="V23" s="1"/>
    </row>
    <row r="24" spans="1:22" x14ac:dyDescent="0.25">
      <c r="A24" s="1" t="s">
        <v>67</v>
      </c>
      <c r="B24" s="1"/>
      <c r="C24" s="1"/>
      <c r="D24" s="1">
        <f>0.03*B17</f>
        <v>10500</v>
      </c>
      <c r="E24" s="1">
        <f>0.03*C17</f>
        <v>9000</v>
      </c>
      <c r="J24" s="1" t="s">
        <v>68</v>
      </c>
      <c r="K24" s="1"/>
      <c r="L24" s="1"/>
      <c r="M24" s="1">
        <v>-50000</v>
      </c>
      <c r="N24" s="1"/>
      <c r="R24" s="1"/>
      <c r="S24" s="1" t="s">
        <v>45</v>
      </c>
      <c r="T24" s="1" t="s">
        <v>46</v>
      </c>
      <c r="U24" s="1" t="s">
        <v>5</v>
      </c>
      <c r="V24" s="1" t="s">
        <v>6</v>
      </c>
    </row>
    <row r="25" spans="1:22" x14ac:dyDescent="0.25">
      <c r="A25" s="1"/>
      <c r="B25" s="1"/>
      <c r="C25" s="1"/>
      <c r="D25" s="1"/>
      <c r="E25" s="1"/>
      <c r="J25" s="1" t="s">
        <v>69</v>
      </c>
      <c r="K25" s="2">
        <v>400000</v>
      </c>
      <c r="L25" s="1">
        <v>-70000</v>
      </c>
      <c r="M25" s="1">
        <v>340000</v>
      </c>
      <c r="N25" s="1">
        <f>M25-(K25+L25)</f>
        <v>10000</v>
      </c>
      <c r="R25" s="1" t="s">
        <v>70</v>
      </c>
      <c r="S25" s="1"/>
      <c r="T25" s="1">
        <v>-6000</v>
      </c>
      <c r="U25" s="1">
        <v>15000</v>
      </c>
      <c r="V25" s="1">
        <f>U32</f>
        <v>15000</v>
      </c>
    </row>
    <row r="26" spans="1:22" x14ac:dyDescent="0.25">
      <c r="A26" s="7" t="s">
        <v>71</v>
      </c>
      <c r="B26" s="7"/>
      <c r="C26" s="7">
        <f>B4</f>
        <v>200000</v>
      </c>
      <c r="D26" s="7">
        <f>D16+D17-D22-D24</f>
        <v>239500</v>
      </c>
      <c r="E26" s="7">
        <f>E16+E17-E22-E24</f>
        <v>430500</v>
      </c>
      <c r="R26" s="1" t="s">
        <v>57</v>
      </c>
      <c r="S26" s="1"/>
      <c r="T26" s="1"/>
      <c r="U26" s="1">
        <f>S19</f>
        <v>-44000</v>
      </c>
      <c r="V26" s="1">
        <f>T19</f>
        <v>187000</v>
      </c>
    </row>
    <row r="27" spans="1:22" x14ac:dyDescent="0.25">
      <c r="J27" s="1" t="s">
        <v>72</v>
      </c>
      <c r="K27" s="1">
        <f>B8</f>
        <v>433000</v>
      </c>
      <c r="R27" s="1" t="s">
        <v>73</v>
      </c>
      <c r="S27" s="1"/>
      <c r="T27" s="1"/>
      <c r="U27" s="1">
        <f>SUM(U25:U26)</f>
        <v>-29000</v>
      </c>
      <c r="V27" s="1">
        <f>SUM(V25:V26)</f>
        <v>202000</v>
      </c>
    </row>
    <row r="28" spans="1:22" x14ac:dyDescent="0.25">
      <c r="J28" s="1" t="s">
        <v>53</v>
      </c>
      <c r="K28" s="1">
        <v>400000</v>
      </c>
      <c r="R28" s="1" t="s">
        <v>40</v>
      </c>
      <c r="S28" s="1"/>
      <c r="T28" s="1"/>
      <c r="U28" s="1">
        <f>T31</f>
        <v>21000</v>
      </c>
      <c r="V28" s="1">
        <f>U31</f>
        <v>65630</v>
      </c>
    </row>
    <row r="29" spans="1:22" x14ac:dyDescent="0.25">
      <c r="A29" s="8" t="s">
        <v>74</v>
      </c>
      <c r="B29" s="8"/>
      <c r="C29" s="8"/>
      <c r="D29" s="8"/>
      <c r="E29" s="8"/>
      <c r="J29" s="1" t="s">
        <v>30</v>
      </c>
      <c r="K29" s="1">
        <v>70000</v>
      </c>
      <c r="R29" s="1" t="s">
        <v>47</v>
      </c>
      <c r="S29" s="1"/>
      <c r="T29" s="1"/>
      <c r="U29" s="1">
        <f>0.03*U28</f>
        <v>630</v>
      </c>
      <c r="V29" s="1">
        <f>0.03*V28</f>
        <v>1968.8999999999999</v>
      </c>
    </row>
    <row r="30" spans="1:22" x14ac:dyDescent="0.25">
      <c r="A30" s="1"/>
      <c r="B30" s="1"/>
      <c r="C30" s="1"/>
      <c r="D30" s="1"/>
      <c r="E30" s="1"/>
      <c r="J30" s="1" t="s">
        <v>75</v>
      </c>
      <c r="K30" s="1">
        <f>SUM(M23:M24)</f>
        <v>-190000</v>
      </c>
      <c r="R30" s="1" t="s">
        <v>73</v>
      </c>
      <c r="S30" s="1"/>
      <c r="T30" s="1"/>
      <c r="U30" s="1">
        <f>U27-U28-U29</f>
        <v>-50630</v>
      </c>
      <c r="V30" s="1">
        <f>V27-V28-V29</f>
        <v>134401.1</v>
      </c>
    </row>
    <row r="31" spans="1:22" x14ac:dyDescent="0.25">
      <c r="A31" s="1" t="s">
        <v>50</v>
      </c>
      <c r="B31" s="1"/>
      <c r="C31" s="1"/>
      <c r="D31" s="1">
        <v>0</v>
      </c>
      <c r="E31" s="1">
        <f>D38</f>
        <v>350000</v>
      </c>
      <c r="J31" s="1" t="s">
        <v>73</v>
      </c>
      <c r="K31" s="1">
        <f>K27-(K28-K29)-K30</f>
        <v>293000</v>
      </c>
      <c r="R31" s="1" t="s">
        <v>76</v>
      </c>
      <c r="S31" s="1"/>
      <c r="T31" s="1">
        <f>T32-T25</f>
        <v>21000</v>
      </c>
      <c r="U31" s="1">
        <f>U32-U30</f>
        <v>65630</v>
      </c>
      <c r="V31" s="1">
        <v>0</v>
      </c>
    </row>
    <row r="32" spans="1:22" x14ac:dyDescent="0.25">
      <c r="A32" s="1" t="s">
        <v>77</v>
      </c>
      <c r="B32" s="1"/>
      <c r="C32" s="1"/>
      <c r="D32" s="1">
        <v>500000</v>
      </c>
      <c r="E32" s="1">
        <v>300000</v>
      </c>
      <c r="R32" s="1" t="s">
        <v>78</v>
      </c>
      <c r="S32" s="1"/>
      <c r="T32" s="1">
        <v>15000</v>
      </c>
      <c r="U32" s="1">
        <v>15000</v>
      </c>
      <c r="V32" s="1">
        <f>V30</f>
        <v>134401.1</v>
      </c>
    </row>
    <row r="33" spans="1:11" x14ac:dyDescent="0.25">
      <c r="A33" s="1" t="s">
        <v>19</v>
      </c>
      <c r="B33" s="1"/>
      <c r="C33" s="1"/>
      <c r="D33" s="1"/>
      <c r="E33" s="1"/>
      <c r="J33" s="1" t="s">
        <v>79</v>
      </c>
      <c r="K33" s="1"/>
    </row>
    <row r="34" spans="1:11" x14ac:dyDescent="0.25">
      <c r="A34" s="1" t="s">
        <v>90</v>
      </c>
      <c r="B34" s="1"/>
      <c r="C34" s="1"/>
      <c r="D34" s="1">
        <f>0.3*D32</f>
        <v>150000</v>
      </c>
      <c r="E34" s="1">
        <f>0.3*E32</f>
        <v>90000</v>
      </c>
      <c r="J34" s="1" t="s">
        <v>80</v>
      </c>
      <c r="K34" s="1">
        <v>0</v>
      </c>
    </row>
    <row r="35" spans="1:11" x14ac:dyDescent="0.25">
      <c r="A35" s="1" t="s">
        <v>91</v>
      </c>
      <c r="B35" s="1"/>
      <c r="C35" s="1"/>
      <c r="D35" s="1"/>
      <c r="E35" s="1">
        <f>0.7*D32</f>
        <v>350000</v>
      </c>
      <c r="J35" s="1" t="s">
        <v>77</v>
      </c>
      <c r="K35" s="1">
        <f>SUM(D32:E32)</f>
        <v>800000</v>
      </c>
    </row>
    <row r="36" spans="1:11" x14ac:dyDescent="0.25">
      <c r="A36" s="1" t="s">
        <v>81</v>
      </c>
      <c r="B36" s="1"/>
      <c r="C36" s="1"/>
      <c r="D36" s="1">
        <f>SUM(D34:D35)</f>
        <v>150000</v>
      </c>
      <c r="E36" s="1">
        <f>SUM(E34:E35)</f>
        <v>440000</v>
      </c>
      <c r="J36" s="1" t="s">
        <v>73</v>
      </c>
      <c r="K36" s="1">
        <v>800000</v>
      </c>
    </row>
    <row r="37" spans="1:11" x14ac:dyDescent="0.25">
      <c r="A37" s="1"/>
      <c r="B37" s="1"/>
      <c r="C37" s="1"/>
      <c r="D37" s="1"/>
      <c r="E37" s="1"/>
      <c r="J37" s="1"/>
      <c r="K37" s="1"/>
    </row>
    <row r="38" spans="1:11" x14ac:dyDescent="0.25">
      <c r="A38" s="1" t="s">
        <v>82</v>
      </c>
      <c r="B38" s="1"/>
      <c r="C38" s="1">
        <v>0</v>
      </c>
      <c r="D38" s="1">
        <f>D31+D32-D36</f>
        <v>350000</v>
      </c>
      <c r="E38" s="1">
        <f>E31+E32-E36</f>
        <v>210000</v>
      </c>
      <c r="J38" s="1" t="s">
        <v>83</v>
      </c>
      <c r="K38" s="1">
        <f>SUM(M4:N4)</f>
        <v>-440000</v>
      </c>
    </row>
    <row r="39" spans="1:11" x14ac:dyDescent="0.25">
      <c r="J39" s="1" t="s">
        <v>84</v>
      </c>
      <c r="K39" s="1">
        <f>K38+K36</f>
        <v>360000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D512-3794-4EBD-A607-F00E23BA8F94}">
  <dimension ref="A1"/>
  <sheetViews>
    <sheetView zoomScale="130" zoomScaleNormal="130" workbookViewId="0">
      <selection activeCell="M10" sqref="M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haensgen</dc:creator>
  <cp:lastModifiedBy>gabriel haensgen</cp:lastModifiedBy>
  <dcterms:created xsi:type="dcterms:W3CDTF">2020-06-16T22:05:25Z</dcterms:created>
  <dcterms:modified xsi:type="dcterms:W3CDTF">2020-06-24T13:29:47Z</dcterms:modified>
</cp:coreProperties>
</file>