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E:\BI Portfolio projects\Excel Financial Models\"/>
    </mc:Choice>
  </mc:AlternateContent>
  <xr:revisionPtr revIDLastSave="0" documentId="13_ncr:1_{94FB5237-DEC7-44EC-93EF-1EFDCEAB1FC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ver Page" sheetId="7" r:id="rId1"/>
    <sheet name="Deal Assumptions &amp; Analysis" sheetId="9" r:id="rId2"/>
    <sheet name="Pro Forma Model" sheetId="10" r:id="rId3"/>
    <sheet name="Acquirer Model" sheetId="6" r:id="rId4"/>
    <sheet name="Target Model" sheetId="8" r:id="rId5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43412.7003240741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3">'Acquirer Model'!$A$1:$P$188</definedName>
    <definedName name="_xlnm.Print_Area" localSheetId="0">'Cover Page'!$B$3:$O$25</definedName>
    <definedName name="_xlnm.Print_Area" localSheetId="4">'Target Model'!$A$1:$P$186</definedName>
    <definedName name="_xlnm.Print_Titles" localSheetId="3">'Acquirer Model'!$1:$1</definedName>
    <definedName name="_xlnm.Print_Titles" localSheetId="1">'Deal Assumptions &amp; Analysis'!$1:$1</definedName>
    <definedName name="_xlnm.Print_Titles" localSheetId="2">'Pro Forma Model'!$1:$1</definedName>
    <definedName name="_xlnm.Print_Titles" localSheetId="4">'Target Model'!$1:$1</definedName>
  </definedNames>
  <calcPr calcId="191029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J202" i="10"/>
  <c r="K202" i="10"/>
  <c r="L202" i="10"/>
  <c r="M202" i="10"/>
  <c r="N202" i="10"/>
  <c r="I202" i="10"/>
  <c r="C18" i="7"/>
  <c r="C17" i="7"/>
  <c r="C16" i="7"/>
  <c r="H99" i="10" l="1"/>
  <c r="H74" i="10"/>
  <c r="H48" i="10"/>
  <c r="H31" i="10"/>
  <c r="N129" i="6"/>
  <c r="M129" i="6"/>
  <c r="L129" i="6"/>
  <c r="K129" i="6"/>
  <c r="J129" i="6"/>
  <c r="I129" i="6"/>
  <c r="H129" i="6"/>
  <c r="G129" i="6"/>
  <c r="F129" i="6"/>
  <c r="E129" i="6"/>
  <c r="D129" i="6"/>
  <c r="N104" i="6"/>
  <c r="M104" i="6"/>
  <c r="L104" i="6"/>
  <c r="K104" i="6"/>
  <c r="J104" i="6"/>
  <c r="I104" i="6"/>
  <c r="H104" i="6"/>
  <c r="G104" i="6"/>
  <c r="F104" i="6"/>
  <c r="E104" i="6"/>
  <c r="D104" i="6"/>
  <c r="N78" i="6"/>
  <c r="M78" i="6"/>
  <c r="L78" i="6"/>
  <c r="K78" i="6"/>
  <c r="J78" i="6"/>
  <c r="I78" i="6"/>
  <c r="H78" i="6"/>
  <c r="G78" i="6"/>
  <c r="F78" i="6"/>
  <c r="E78" i="6"/>
  <c r="D78" i="6"/>
  <c r="N61" i="6"/>
  <c r="M61" i="6"/>
  <c r="L61" i="6"/>
  <c r="K61" i="6"/>
  <c r="J61" i="6"/>
  <c r="I61" i="6"/>
  <c r="H61" i="6"/>
  <c r="G61" i="6"/>
  <c r="F61" i="6"/>
  <c r="E61" i="6"/>
  <c r="D61" i="6"/>
  <c r="E129" i="8"/>
  <c r="D129" i="8"/>
  <c r="F104" i="8"/>
  <c r="E104" i="8"/>
  <c r="D104" i="8"/>
  <c r="E78" i="8"/>
  <c r="D78" i="8"/>
  <c r="E61" i="8"/>
  <c r="D61" i="8"/>
  <c r="C164" i="8"/>
  <c r="C160" i="8"/>
  <c r="C159" i="8"/>
  <c r="G186" i="8" s="1"/>
  <c r="H147" i="8"/>
  <c r="G147" i="8"/>
  <c r="F147" i="8"/>
  <c r="E147" i="8"/>
  <c r="D147" i="8"/>
  <c r="O145" i="8"/>
  <c r="I145" i="8"/>
  <c r="H142" i="8"/>
  <c r="G142" i="8"/>
  <c r="F142" i="8"/>
  <c r="E142" i="8"/>
  <c r="D142" i="8"/>
  <c r="O139" i="8"/>
  <c r="I139" i="8"/>
  <c r="H136" i="8"/>
  <c r="G136" i="8"/>
  <c r="F136" i="8"/>
  <c r="E136" i="8"/>
  <c r="D136" i="8"/>
  <c r="H135" i="8"/>
  <c r="G135" i="8"/>
  <c r="F135" i="8"/>
  <c r="E135" i="8"/>
  <c r="D135" i="8"/>
  <c r="H125" i="8"/>
  <c r="G125" i="8"/>
  <c r="F125" i="8"/>
  <c r="E125" i="8"/>
  <c r="D125" i="8"/>
  <c r="O124" i="8"/>
  <c r="I124" i="8"/>
  <c r="H124" i="8"/>
  <c r="G124" i="8"/>
  <c r="F124" i="8"/>
  <c r="E124" i="8"/>
  <c r="H123" i="8"/>
  <c r="G123" i="8"/>
  <c r="F123" i="8"/>
  <c r="E123" i="8"/>
  <c r="D123" i="8"/>
  <c r="H121" i="8"/>
  <c r="G121" i="8"/>
  <c r="F121" i="8"/>
  <c r="E121" i="8"/>
  <c r="D121" i="8"/>
  <c r="H115" i="8"/>
  <c r="G115" i="8"/>
  <c r="F115" i="8"/>
  <c r="E115" i="8"/>
  <c r="D115" i="8"/>
  <c r="H110" i="8"/>
  <c r="G110" i="8"/>
  <c r="F110" i="8"/>
  <c r="E110" i="8"/>
  <c r="D110" i="8"/>
  <c r="H109" i="8"/>
  <c r="G109" i="8"/>
  <c r="F109" i="8"/>
  <c r="E109" i="8"/>
  <c r="H108" i="8"/>
  <c r="G108" i="8"/>
  <c r="F108" i="8"/>
  <c r="E108" i="8"/>
  <c r="D108" i="8"/>
  <c r="H107" i="8"/>
  <c r="G107" i="8"/>
  <c r="F107" i="8"/>
  <c r="E107" i="8"/>
  <c r="D107" i="8"/>
  <c r="H101" i="8"/>
  <c r="G101" i="8"/>
  <c r="F101" i="8"/>
  <c r="E101" i="8"/>
  <c r="D101" i="8"/>
  <c r="H99" i="8"/>
  <c r="G99" i="8"/>
  <c r="F99" i="8"/>
  <c r="E99" i="8"/>
  <c r="D99" i="8"/>
  <c r="H98" i="8"/>
  <c r="G98" i="8"/>
  <c r="F98" i="8"/>
  <c r="E98" i="8"/>
  <c r="D98" i="8"/>
  <c r="H97" i="8"/>
  <c r="G97" i="8"/>
  <c r="F97" i="8"/>
  <c r="E97" i="8"/>
  <c r="H94" i="8"/>
  <c r="G94" i="8"/>
  <c r="F94" i="8"/>
  <c r="E94" i="8"/>
  <c r="D94" i="8"/>
  <c r="H92" i="8"/>
  <c r="G92" i="8"/>
  <c r="F92" i="8"/>
  <c r="E92" i="8"/>
  <c r="D92" i="8"/>
  <c r="P90" i="8"/>
  <c r="H87" i="8"/>
  <c r="G87" i="8"/>
  <c r="F87" i="8"/>
  <c r="E87" i="8"/>
  <c r="D87" i="8"/>
  <c r="P86" i="8"/>
  <c r="H84" i="8"/>
  <c r="G84" i="8"/>
  <c r="F84" i="8"/>
  <c r="E84" i="8"/>
  <c r="D84" i="8"/>
  <c r="H81" i="8"/>
  <c r="G81" i="8"/>
  <c r="F81" i="8"/>
  <c r="E81" i="8"/>
  <c r="D81" i="8"/>
  <c r="H75" i="8"/>
  <c r="G75" i="8"/>
  <c r="F75" i="8"/>
  <c r="E75" i="8"/>
  <c r="D75" i="8"/>
  <c r="H72" i="8"/>
  <c r="G72" i="8"/>
  <c r="F72" i="8"/>
  <c r="E72" i="8"/>
  <c r="D72" i="8"/>
  <c r="H71" i="8"/>
  <c r="G71" i="8"/>
  <c r="F71" i="8"/>
  <c r="E71" i="8"/>
  <c r="D71" i="8"/>
  <c r="H65" i="8"/>
  <c r="G65" i="8"/>
  <c r="F65" i="8"/>
  <c r="E65" i="8"/>
  <c r="D65" i="8"/>
  <c r="P58" i="8"/>
  <c r="P120" i="8" s="1"/>
  <c r="O58" i="8"/>
  <c r="O120" i="8" s="1"/>
  <c r="N58" i="8"/>
  <c r="N120" i="8" s="1"/>
  <c r="M58" i="8"/>
  <c r="M120" i="8" s="1"/>
  <c r="L58" i="8"/>
  <c r="L120" i="8" s="1"/>
  <c r="K58" i="8"/>
  <c r="K120" i="8" s="1"/>
  <c r="J58" i="8"/>
  <c r="J120" i="8" s="1"/>
  <c r="I58" i="8"/>
  <c r="I120" i="8" s="1"/>
  <c r="P57" i="8"/>
  <c r="P119" i="8" s="1"/>
  <c r="O57" i="8"/>
  <c r="O96" i="8" s="1"/>
  <c r="N57" i="8"/>
  <c r="N119" i="8" s="1"/>
  <c r="M57" i="8"/>
  <c r="M119" i="8" s="1"/>
  <c r="L57" i="8"/>
  <c r="L119" i="8" s="1"/>
  <c r="K57" i="8"/>
  <c r="K119" i="8" s="1"/>
  <c r="J57" i="8"/>
  <c r="J119" i="8" s="1"/>
  <c r="I57" i="8"/>
  <c r="P56" i="8"/>
  <c r="O56" i="8"/>
  <c r="N56" i="8"/>
  <c r="N146" i="8" s="1"/>
  <c r="N118" i="8" s="1"/>
  <c r="N121" i="8" s="1"/>
  <c r="M56" i="8"/>
  <c r="M146" i="8" s="1"/>
  <c r="M118" i="8" s="1"/>
  <c r="L56" i="8"/>
  <c r="L146" i="8" s="1"/>
  <c r="L118" i="8" s="1"/>
  <c r="L121" i="8" s="1"/>
  <c r="K56" i="8"/>
  <c r="K146" i="8" s="1"/>
  <c r="K118" i="8" s="1"/>
  <c r="K121" i="8" s="1"/>
  <c r="J56" i="8"/>
  <c r="J146" i="8" s="1"/>
  <c r="J118" i="8" s="1"/>
  <c r="I56" i="8"/>
  <c r="I146" i="8" s="1"/>
  <c r="P55" i="8"/>
  <c r="O55" i="8"/>
  <c r="N55" i="8"/>
  <c r="N140" i="8" s="1"/>
  <c r="N113" i="8" s="1"/>
  <c r="I172" i="8" s="1"/>
  <c r="M55" i="8"/>
  <c r="M140" i="8" s="1"/>
  <c r="L55" i="8"/>
  <c r="L140" i="8" s="1"/>
  <c r="L113" i="8" s="1"/>
  <c r="K55" i="8"/>
  <c r="K140" i="8" s="1"/>
  <c r="J55" i="8"/>
  <c r="J140" i="8" s="1"/>
  <c r="J113" i="8" s="1"/>
  <c r="I55" i="8"/>
  <c r="I140" i="8" s="1"/>
  <c r="P54" i="8"/>
  <c r="O54" i="8"/>
  <c r="N54" i="8"/>
  <c r="M54" i="8"/>
  <c r="L54" i="8"/>
  <c r="K54" i="8"/>
  <c r="J54" i="8"/>
  <c r="I54" i="8"/>
  <c r="P53" i="8"/>
  <c r="O53" i="8"/>
  <c r="N53" i="8"/>
  <c r="M53" i="8"/>
  <c r="L53" i="8"/>
  <c r="K53" i="8"/>
  <c r="J53" i="8"/>
  <c r="I53" i="8"/>
  <c r="P52" i="8"/>
  <c r="O52" i="8"/>
  <c r="N52" i="8"/>
  <c r="M52" i="8"/>
  <c r="L52" i="8"/>
  <c r="K52" i="8"/>
  <c r="J52" i="8"/>
  <c r="I52" i="8"/>
  <c r="P51" i="8"/>
  <c r="O51" i="8"/>
  <c r="N51" i="8"/>
  <c r="M51" i="8"/>
  <c r="L51" i="8"/>
  <c r="K51" i="8"/>
  <c r="J51" i="8"/>
  <c r="I51" i="8"/>
  <c r="P50" i="8"/>
  <c r="O50" i="8"/>
  <c r="N50" i="8"/>
  <c r="M50" i="8"/>
  <c r="M151" i="10" s="1"/>
  <c r="L50" i="8"/>
  <c r="L151" i="10" s="1"/>
  <c r="K50" i="8"/>
  <c r="J50" i="8"/>
  <c r="J151" i="10" s="1"/>
  <c r="I50" i="8"/>
  <c r="I151" i="10" s="1"/>
  <c r="P49" i="8"/>
  <c r="O49" i="8"/>
  <c r="N49" i="8"/>
  <c r="M49" i="8"/>
  <c r="L49" i="8"/>
  <c r="K49" i="8"/>
  <c r="J49" i="8"/>
  <c r="I49" i="8"/>
  <c r="I141" i="8" s="1"/>
  <c r="I69" i="8" s="1"/>
  <c r="I108" i="8" s="1"/>
  <c r="D170" i="8" s="1"/>
  <c r="P48" i="8"/>
  <c r="O48" i="8"/>
  <c r="N48" i="8"/>
  <c r="N68" i="8" s="1"/>
  <c r="N224" i="10" s="1"/>
  <c r="M48" i="8"/>
  <c r="M68" i="8" s="1"/>
  <c r="M224" i="10" s="1"/>
  <c r="L48" i="8"/>
  <c r="L68" i="8" s="1"/>
  <c r="L224" i="10" s="1"/>
  <c r="K48" i="8"/>
  <c r="K68" i="8" s="1"/>
  <c r="K224" i="10" s="1"/>
  <c r="J48" i="8"/>
  <c r="J68" i="8" s="1"/>
  <c r="I48" i="8"/>
  <c r="I68" i="8" s="1"/>
  <c r="I224" i="10" s="1"/>
  <c r="P47" i="8"/>
  <c r="O47" i="8"/>
  <c r="N47" i="8"/>
  <c r="M47" i="8"/>
  <c r="L47" i="8"/>
  <c r="K47" i="8"/>
  <c r="J47" i="8"/>
  <c r="I47" i="8"/>
  <c r="P46" i="8"/>
  <c r="O46" i="8"/>
  <c r="N46" i="8"/>
  <c r="M46" i="8"/>
  <c r="L46" i="8"/>
  <c r="K46" i="8"/>
  <c r="J46" i="8"/>
  <c r="I46" i="8"/>
  <c r="P45" i="8"/>
  <c r="O45" i="8"/>
  <c r="N45" i="8"/>
  <c r="M45" i="8"/>
  <c r="L45" i="8"/>
  <c r="K45" i="8"/>
  <c r="J45" i="8"/>
  <c r="I45" i="8"/>
  <c r="I63" i="8" s="1"/>
  <c r="N6" i="8"/>
  <c r="M6" i="8"/>
  <c r="L6" i="8"/>
  <c r="K6" i="8"/>
  <c r="J6" i="8"/>
  <c r="I6" i="8"/>
  <c r="H6" i="8"/>
  <c r="G6" i="8"/>
  <c r="F6" i="8"/>
  <c r="E6" i="8"/>
  <c r="N5" i="8"/>
  <c r="M5" i="8"/>
  <c r="L5" i="8"/>
  <c r="K5" i="8"/>
  <c r="J5" i="8"/>
  <c r="I5" i="8"/>
  <c r="H5" i="8"/>
  <c r="G5" i="8"/>
  <c r="F5" i="8"/>
  <c r="E5" i="8"/>
  <c r="O4" i="8"/>
  <c r="O2" i="8" s="1"/>
  <c r="O78" i="8" s="1"/>
  <c r="N4" i="8"/>
  <c r="M4" i="8"/>
  <c r="L4" i="8"/>
  <c r="K4" i="8"/>
  <c r="J4" i="8"/>
  <c r="I4" i="8"/>
  <c r="H4" i="8"/>
  <c r="G4" i="8"/>
  <c r="F4" i="8"/>
  <c r="E4" i="8"/>
  <c r="H3" i="8"/>
  <c r="G3" i="8"/>
  <c r="F3" i="8"/>
  <c r="E3" i="8"/>
  <c r="D3" i="8"/>
  <c r="F2" i="8"/>
  <c r="F129" i="8" s="1"/>
  <c r="E2" i="8"/>
  <c r="D1" i="8"/>
  <c r="C164" i="6"/>
  <c r="C160" i="6"/>
  <c r="C159" i="6"/>
  <c r="H147" i="6"/>
  <c r="G147" i="6"/>
  <c r="F147" i="6"/>
  <c r="E147" i="6"/>
  <c r="D147" i="6"/>
  <c r="O145" i="6"/>
  <c r="I145" i="6"/>
  <c r="H142" i="6"/>
  <c r="G142" i="6"/>
  <c r="F142" i="6"/>
  <c r="E142" i="6"/>
  <c r="D142" i="6"/>
  <c r="O139" i="6"/>
  <c r="I139" i="6"/>
  <c r="H136" i="6"/>
  <c r="G136" i="6"/>
  <c r="F136" i="6"/>
  <c r="E136" i="6"/>
  <c r="D136" i="6"/>
  <c r="H135" i="6"/>
  <c r="G135" i="6"/>
  <c r="F135" i="6"/>
  <c r="E135" i="6"/>
  <c r="D135" i="6"/>
  <c r="H125" i="6"/>
  <c r="G125" i="6"/>
  <c r="F125" i="6"/>
  <c r="E125" i="6"/>
  <c r="D125" i="6"/>
  <c r="O124" i="6"/>
  <c r="I124" i="6"/>
  <c r="H123" i="6"/>
  <c r="G123" i="6"/>
  <c r="F123" i="6"/>
  <c r="E123" i="6"/>
  <c r="D123" i="6"/>
  <c r="H121" i="6"/>
  <c r="G121" i="6"/>
  <c r="F121" i="6"/>
  <c r="E121" i="6"/>
  <c r="D121" i="6"/>
  <c r="I118" i="6"/>
  <c r="I121" i="6" s="1"/>
  <c r="H115" i="6"/>
  <c r="G115" i="6"/>
  <c r="F115" i="6"/>
  <c r="E115" i="6"/>
  <c r="D115" i="6"/>
  <c r="H110" i="6"/>
  <c r="G110" i="6"/>
  <c r="F110" i="6"/>
  <c r="E110" i="6"/>
  <c r="D110" i="6"/>
  <c r="H107" i="6"/>
  <c r="G107" i="6"/>
  <c r="F107" i="6"/>
  <c r="E107" i="6"/>
  <c r="D107" i="6"/>
  <c r="H101" i="6"/>
  <c r="G101" i="6"/>
  <c r="F101" i="6"/>
  <c r="E101" i="6"/>
  <c r="D101" i="6"/>
  <c r="H99" i="6"/>
  <c r="G99" i="6"/>
  <c r="F99" i="6"/>
  <c r="E99" i="6"/>
  <c r="D99" i="6"/>
  <c r="H98" i="6"/>
  <c r="G98" i="6"/>
  <c r="F98" i="6"/>
  <c r="E98" i="6"/>
  <c r="D98" i="6"/>
  <c r="H94" i="6"/>
  <c r="G94" i="6"/>
  <c r="F94" i="6"/>
  <c r="E94" i="6"/>
  <c r="D94" i="6"/>
  <c r="H92" i="6"/>
  <c r="G92" i="6"/>
  <c r="F92" i="6"/>
  <c r="E92" i="6"/>
  <c r="D92" i="6"/>
  <c r="P90" i="6"/>
  <c r="H87" i="6"/>
  <c r="G87" i="6"/>
  <c r="F87" i="6"/>
  <c r="E87" i="6"/>
  <c r="D87" i="6"/>
  <c r="P86" i="6"/>
  <c r="H84" i="6"/>
  <c r="G84" i="6"/>
  <c r="F84" i="6"/>
  <c r="E84" i="6"/>
  <c r="D84" i="6"/>
  <c r="H81" i="6"/>
  <c r="G81" i="6"/>
  <c r="F81" i="6"/>
  <c r="E81" i="6"/>
  <c r="D81" i="6"/>
  <c r="H75" i="6"/>
  <c r="G75" i="6"/>
  <c r="F75" i="6"/>
  <c r="E75" i="6"/>
  <c r="D75" i="6"/>
  <c r="H72" i="6"/>
  <c r="G72" i="6"/>
  <c r="F72" i="6"/>
  <c r="E72" i="6"/>
  <c r="D72" i="6"/>
  <c r="H71" i="6"/>
  <c r="G71" i="6"/>
  <c r="F71" i="6"/>
  <c r="E71" i="6"/>
  <c r="D71" i="6"/>
  <c r="H65" i="6"/>
  <c r="G65" i="6"/>
  <c r="F65" i="6"/>
  <c r="E65" i="6"/>
  <c r="D65" i="6"/>
  <c r="P58" i="6"/>
  <c r="P120" i="6" s="1"/>
  <c r="O58" i="6"/>
  <c r="O120" i="6" s="1"/>
  <c r="N58" i="6"/>
  <c r="N120" i="6" s="1"/>
  <c r="M58" i="6"/>
  <c r="M120" i="6" s="1"/>
  <c r="L58" i="6"/>
  <c r="L120" i="6" s="1"/>
  <c r="K58" i="6"/>
  <c r="K120" i="6" s="1"/>
  <c r="J58" i="6"/>
  <c r="J120" i="6" s="1"/>
  <c r="I58" i="6"/>
  <c r="I120" i="6" s="1"/>
  <c r="P57" i="6"/>
  <c r="P119" i="6" s="1"/>
  <c r="O57" i="6"/>
  <c r="O96" i="6" s="1"/>
  <c r="D80" i="9" s="1"/>
  <c r="N57" i="6"/>
  <c r="N119" i="6" s="1"/>
  <c r="M57" i="6"/>
  <c r="M119" i="6" s="1"/>
  <c r="L57" i="6"/>
  <c r="L119" i="6" s="1"/>
  <c r="K57" i="6"/>
  <c r="K119" i="6" s="1"/>
  <c r="J57" i="6"/>
  <c r="J119" i="6" s="1"/>
  <c r="I57" i="6"/>
  <c r="I119" i="6" s="1"/>
  <c r="P56" i="6"/>
  <c r="O56" i="6"/>
  <c r="N56" i="6"/>
  <c r="N146" i="6" s="1"/>
  <c r="N118" i="6" s="1"/>
  <c r="N121" i="6" s="1"/>
  <c r="M56" i="6"/>
  <c r="M146" i="6" s="1"/>
  <c r="M118" i="6" s="1"/>
  <c r="M121" i="6" s="1"/>
  <c r="L56" i="6"/>
  <c r="L146" i="6" s="1"/>
  <c r="L118" i="6" s="1"/>
  <c r="L121" i="6" s="1"/>
  <c r="K56" i="6"/>
  <c r="K146" i="6" s="1"/>
  <c r="K118" i="6" s="1"/>
  <c r="J56" i="6"/>
  <c r="J146" i="6" s="1"/>
  <c r="J118" i="6" s="1"/>
  <c r="J121" i="6" s="1"/>
  <c r="I56" i="6"/>
  <c r="I146" i="6" s="1"/>
  <c r="I147" i="6" s="1"/>
  <c r="P55" i="6"/>
  <c r="O55" i="6"/>
  <c r="N55" i="6"/>
  <c r="N140" i="6" s="1"/>
  <c r="N113" i="6" s="1"/>
  <c r="M55" i="6"/>
  <c r="M140" i="6" s="1"/>
  <c r="M113" i="6" s="1"/>
  <c r="M115" i="6" s="1"/>
  <c r="L55" i="6"/>
  <c r="L140" i="6" s="1"/>
  <c r="L113" i="6" s="1"/>
  <c r="K55" i="6"/>
  <c r="K140" i="6" s="1"/>
  <c r="K113" i="6" s="1"/>
  <c r="F172" i="6" s="1"/>
  <c r="J55" i="6"/>
  <c r="J140" i="6" s="1"/>
  <c r="J113" i="6" s="1"/>
  <c r="I55" i="6"/>
  <c r="I140" i="6" s="1"/>
  <c r="P54" i="6"/>
  <c r="O54" i="6"/>
  <c r="N54" i="6"/>
  <c r="M54" i="6"/>
  <c r="L54" i="6"/>
  <c r="K54" i="6"/>
  <c r="J54" i="6"/>
  <c r="I54" i="6"/>
  <c r="P53" i="6"/>
  <c r="O53" i="6"/>
  <c r="N53" i="6"/>
  <c r="M53" i="6"/>
  <c r="L53" i="6"/>
  <c r="K53" i="6"/>
  <c r="J53" i="6"/>
  <c r="I53" i="6"/>
  <c r="P52" i="6"/>
  <c r="O52" i="6"/>
  <c r="N52" i="6"/>
  <c r="M52" i="6"/>
  <c r="L52" i="6"/>
  <c r="K52" i="6"/>
  <c r="J52" i="6"/>
  <c r="I52" i="6"/>
  <c r="P51" i="6"/>
  <c r="O51" i="6"/>
  <c r="N51" i="6"/>
  <c r="M51" i="6"/>
  <c r="L51" i="6"/>
  <c r="K51" i="6"/>
  <c r="J51" i="6"/>
  <c r="I51" i="6"/>
  <c r="P50" i="6"/>
  <c r="O50" i="6"/>
  <c r="N50" i="6"/>
  <c r="M50" i="6"/>
  <c r="L50" i="6"/>
  <c r="K50" i="6"/>
  <c r="J50" i="6"/>
  <c r="I50" i="6"/>
  <c r="P49" i="6"/>
  <c r="O49" i="6"/>
  <c r="N49" i="6"/>
  <c r="M49" i="6"/>
  <c r="L49" i="6"/>
  <c r="K49" i="6"/>
  <c r="J49" i="6"/>
  <c r="I49" i="6"/>
  <c r="I141" i="6" s="1"/>
  <c r="I69" i="6" s="1"/>
  <c r="I108" i="6" s="1"/>
  <c r="D170" i="6" s="1"/>
  <c r="P48" i="6"/>
  <c r="O48" i="6"/>
  <c r="N48" i="6"/>
  <c r="N68" i="6" s="1"/>
  <c r="N223" i="10" s="1"/>
  <c r="M48" i="6"/>
  <c r="M68" i="6" s="1"/>
  <c r="L48" i="6"/>
  <c r="L68" i="6" s="1"/>
  <c r="K48" i="6"/>
  <c r="K68" i="6" s="1"/>
  <c r="K223" i="10" s="1"/>
  <c r="J48" i="6"/>
  <c r="J68" i="6" s="1"/>
  <c r="J223" i="10" s="1"/>
  <c r="I48" i="6"/>
  <c r="I68" i="6" s="1"/>
  <c r="P47" i="6"/>
  <c r="O47" i="6"/>
  <c r="N47" i="6"/>
  <c r="M47" i="6"/>
  <c r="L47" i="6"/>
  <c r="K47" i="6"/>
  <c r="J47" i="6"/>
  <c r="I47" i="6"/>
  <c r="P46" i="6"/>
  <c r="O46" i="6"/>
  <c r="N46" i="6"/>
  <c r="M46" i="6"/>
  <c r="L46" i="6"/>
  <c r="K46" i="6"/>
  <c r="J46" i="6"/>
  <c r="I46" i="6"/>
  <c r="P45" i="6"/>
  <c r="O45" i="6"/>
  <c r="N45" i="6"/>
  <c r="M45" i="6"/>
  <c r="L45" i="6"/>
  <c r="K45" i="6"/>
  <c r="J45" i="6"/>
  <c r="I45" i="6"/>
  <c r="I63" i="6" s="1"/>
  <c r="I64" i="6" s="1"/>
  <c r="I211" i="10" s="1"/>
  <c r="N6" i="6"/>
  <c r="M6" i="6"/>
  <c r="L6" i="6"/>
  <c r="K6" i="6"/>
  <c r="J6" i="6"/>
  <c r="I6" i="6"/>
  <c r="H6" i="6"/>
  <c r="G6" i="6"/>
  <c r="F6" i="6"/>
  <c r="E6" i="6"/>
  <c r="N5" i="6"/>
  <c r="M5" i="6"/>
  <c r="L5" i="6"/>
  <c r="K5" i="6"/>
  <c r="J5" i="6"/>
  <c r="I5" i="6"/>
  <c r="H5" i="6"/>
  <c r="G5" i="6"/>
  <c r="F5" i="6"/>
  <c r="E5" i="6"/>
  <c r="O4" i="6"/>
  <c r="O2" i="6" s="1"/>
  <c r="O61" i="6" s="1"/>
  <c r="N4" i="6"/>
  <c r="M4" i="6"/>
  <c r="L4" i="6"/>
  <c r="K4" i="6"/>
  <c r="J4" i="6"/>
  <c r="I4" i="6"/>
  <c r="H4" i="6"/>
  <c r="G4" i="6"/>
  <c r="F4" i="6"/>
  <c r="E4" i="6"/>
  <c r="H3" i="6"/>
  <c r="G3" i="6"/>
  <c r="F3" i="6"/>
  <c r="E3" i="6"/>
  <c r="D3" i="6"/>
  <c r="E2" i="6"/>
  <c r="F2" i="6" s="1"/>
  <c r="G2" i="6" s="1"/>
  <c r="H2" i="6" s="1"/>
  <c r="I2" i="6" s="1"/>
  <c r="D1" i="6"/>
  <c r="J224" i="10"/>
  <c r="M223" i="10"/>
  <c r="L223" i="10"/>
  <c r="I223" i="10"/>
  <c r="I205" i="10"/>
  <c r="C176" i="10"/>
  <c r="C171" i="10"/>
  <c r="N152" i="10"/>
  <c r="M152" i="10"/>
  <c r="L152" i="10"/>
  <c r="K152" i="10"/>
  <c r="J152" i="10"/>
  <c r="I152" i="10"/>
  <c r="N151" i="10"/>
  <c r="N90" i="10"/>
  <c r="M90" i="10"/>
  <c r="L90" i="10"/>
  <c r="K90" i="10"/>
  <c r="J90" i="10"/>
  <c r="I90" i="10"/>
  <c r="N89" i="10"/>
  <c r="M89" i="10"/>
  <c r="L89" i="10"/>
  <c r="K89" i="10"/>
  <c r="J89" i="10"/>
  <c r="I89" i="10"/>
  <c r="G14" i="10"/>
  <c r="G13" i="10"/>
  <c r="G12" i="10"/>
  <c r="I140" i="9"/>
  <c r="I141" i="9" s="1"/>
  <c r="I142" i="9" s="1"/>
  <c r="I143" i="9" s="1"/>
  <c r="I144" i="9" s="1"/>
  <c r="B140" i="9"/>
  <c r="B141" i="9" s="1"/>
  <c r="B142" i="9" s="1"/>
  <c r="B143" i="9" s="1"/>
  <c r="B144" i="9" s="1"/>
  <c r="K138" i="9"/>
  <c r="L138" i="9" s="1"/>
  <c r="M138" i="9" s="1"/>
  <c r="D138" i="9"/>
  <c r="E138" i="9" s="1"/>
  <c r="F138" i="9" s="1"/>
  <c r="K132" i="9"/>
  <c r="E129" i="9"/>
  <c r="E127" i="9"/>
  <c r="M113" i="9"/>
  <c r="L113" i="9"/>
  <c r="K113" i="9"/>
  <c r="J113" i="9"/>
  <c r="I113" i="9"/>
  <c r="M112" i="9"/>
  <c r="L112" i="9"/>
  <c r="K112" i="9"/>
  <c r="J112" i="9"/>
  <c r="I112" i="9"/>
  <c r="M98" i="9"/>
  <c r="L98" i="9"/>
  <c r="K98" i="9"/>
  <c r="J98" i="9"/>
  <c r="I98" i="9"/>
  <c r="M97" i="9"/>
  <c r="L97" i="9"/>
  <c r="K97" i="9"/>
  <c r="J97" i="9"/>
  <c r="I97" i="9"/>
  <c r="E80" i="9"/>
  <c r="G80" i="9" s="1"/>
  <c r="H80" i="9" s="1"/>
  <c r="E74" i="9"/>
  <c r="G74" i="9" s="1"/>
  <c r="L74" i="9" s="1"/>
  <c r="D74" i="9"/>
  <c r="E70" i="9"/>
  <c r="G70" i="9" s="1"/>
  <c r="D70" i="9"/>
  <c r="M63" i="9"/>
  <c r="E63" i="9"/>
  <c r="E61" i="9"/>
  <c r="F61" i="9" s="1"/>
  <c r="G61" i="9" s="1"/>
  <c r="H61" i="9" s="1"/>
  <c r="I61" i="9" s="1"/>
  <c r="J61" i="9" s="1"/>
  <c r="K61" i="9" s="1"/>
  <c r="L61" i="9" s="1"/>
  <c r="M61" i="9" s="1"/>
  <c r="E52" i="9"/>
  <c r="F51" i="9"/>
  <c r="M42" i="9"/>
  <c r="M39" i="9"/>
  <c r="D38" i="9"/>
  <c r="D35" i="9"/>
  <c r="D31" i="9"/>
  <c r="D27" i="9"/>
  <c r="D1" i="9"/>
  <c r="C7" i="7"/>
  <c r="I148" i="6" l="1"/>
  <c r="I70" i="6" s="1"/>
  <c r="G172" i="6"/>
  <c r="L115" i="6"/>
  <c r="J115" i="6"/>
  <c r="E172" i="6"/>
  <c r="N115" i="6"/>
  <c r="I172" i="6"/>
  <c r="N110" i="10"/>
  <c r="N83" i="10" s="1"/>
  <c r="N85" i="10" s="1"/>
  <c r="K121" i="6"/>
  <c r="H172" i="6"/>
  <c r="I91" i="6"/>
  <c r="I83" i="6"/>
  <c r="I82" i="6"/>
  <c r="I65" i="6"/>
  <c r="J63" i="6"/>
  <c r="I67" i="6"/>
  <c r="I113" i="6"/>
  <c r="I142" i="6"/>
  <c r="J145" i="6"/>
  <c r="J147" i="6" s="1"/>
  <c r="I93" i="6"/>
  <c r="P93" i="6" s="1"/>
  <c r="I96" i="6"/>
  <c r="K115" i="6"/>
  <c r="O119" i="6"/>
  <c r="I110" i="10"/>
  <c r="I83" i="10" s="1"/>
  <c r="D184" i="10" s="1"/>
  <c r="K113" i="8"/>
  <c r="K115" i="8" s="1"/>
  <c r="K110" i="10"/>
  <c r="K83" i="10" s="1"/>
  <c r="K85" i="10" s="1"/>
  <c r="L110" i="10"/>
  <c r="L83" i="10" s="1"/>
  <c r="G184" i="10" s="1"/>
  <c r="I64" i="8"/>
  <c r="I67" i="8"/>
  <c r="I82" i="8"/>
  <c r="J63" i="8"/>
  <c r="I206" i="10"/>
  <c r="I208" i="10" s="1"/>
  <c r="I33" i="10" s="1"/>
  <c r="I52" i="10" s="1"/>
  <c r="I102" i="10" s="1"/>
  <c r="I118" i="8"/>
  <c r="I147" i="8"/>
  <c r="M113" i="8"/>
  <c r="M110" i="10"/>
  <c r="M83" i="10" s="1"/>
  <c r="H184" i="10" s="1"/>
  <c r="M121" i="8"/>
  <c r="I119" i="8"/>
  <c r="I96" i="8"/>
  <c r="E172" i="8"/>
  <c r="J115" i="8"/>
  <c r="J121" i="8"/>
  <c r="I142" i="8"/>
  <c r="J110" i="10"/>
  <c r="J83" i="10" s="1"/>
  <c r="J85" i="10" s="1"/>
  <c r="N115" i="8"/>
  <c r="I226" i="10"/>
  <c r="I38" i="10" s="1"/>
  <c r="L115" i="8"/>
  <c r="G172" i="8"/>
  <c r="I113" i="8"/>
  <c r="F172" i="8"/>
  <c r="O119" i="8"/>
  <c r="K151" i="10"/>
  <c r="I184" i="10"/>
  <c r="O104" i="6"/>
  <c r="D63" i="9"/>
  <c r="O129" i="6"/>
  <c r="O78" i="6"/>
  <c r="D163" i="6"/>
  <c r="J2" i="6"/>
  <c r="I2" i="10"/>
  <c r="F78" i="8"/>
  <c r="G2" i="8"/>
  <c r="F61" i="8"/>
  <c r="M74" i="9"/>
  <c r="H60" i="10" s="1"/>
  <c r="G186" i="6"/>
  <c r="G181" i="6"/>
  <c r="O61" i="8"/>
  <c r="O129" i="8"/>
  <c r="O104" i="8"/>
  <c r="O5" i="8"/>
  <c r="O6" i="8" s="1"/>
  <c r="O5" i="6"/>
  <c r="O6" i="6" s="1"/>
  <c r="G181" i="8"/>
  <c r="L85" i="10" l="1"/>
  <c r="I85" i="10"/>
  <c r="I132" i="6"/>
  <c r="P82" i="6"/>
  <c r="P132" i="6" s="1"/>
  <c r="I71" i="6"/>
  <c r="I217" i="10"/>
  <c r="I133" i="6"/>
  <c r="P83" i="6"/>
  <c r="P133" i="6" s="1"/>
  <c r="P96" i="6"/>
  <c r="J96" i="6"/>
  <c r="I115" i="6"/>
  <c r="D172" i="6"/>
  <c r="K145" i="6"/>
  <c r="K147" i="6" s="1"/>
  <c r="J93" i="6"/>
  <c r="J148" i="6"/>
  <c r="J70" i="6" s="1"/>
  <c r="J67" i="6"/>
  <c r="J64" i="6"/>
  <c r="K63" i="6"/>
  <c r="J205" i="10"/>
  <c r="J82" i="6"/>
  <c r="J132" i="6" s="1"/>
  <c r="I92" i="6"/>
  <c r="I94" i="6" s="1"/>
  <c r="I134" i="6"/>
  <c r="P91" i="6"/>
  <c r="J139" i="6"/>
  <c r="I85" i="6"/>
  <c r="P85" i="6" s="1"/>
  <c r="I72" i="6"/>
  <c r="F184" i="10"/>
  <c r="I218" i="10"/>
  <c r="I220" i="10" s="1"/>
  <c r="I37" i="10" s="1"/>
  <c r="E184" i="10"/>
  <c r="M85" i="10"/>
  <c r="I85" i="8"/>
  <c r="P85" i="8" s="1"/>
  <c r="J139" i="8"/>
  <c r="J96" i="8"/>
  <c r="P96" i="8"/>
  <c r="M115" i="8"/>
  <c r="H172" i="8"/>
  <c r="K63" i="8"/>
  <c r="J67" i="8"/>
  <c r="J206" i="10"/>
  <c r="J82" i="8"/>
  <c r="J132" i="8" s="1"/>
  <c r="J64" i="8"/>
  <c r="J65" i="8" s="1"/>
  <c r="I91" i="8"/>
  <c r="I83" i="8"/>
  <c r="I212" i="10"/>
  <c r="I214" i="10" s="1"/>
  <c r="I34" i="10" s="1"/>
  <c r="I61" i="10" s="1"/>
  <c r="I62" i="10" s="1"/>
  <c r="D172" i="8"/>
  <c r="I115" i="8"/>
  <c r="J145" i="8"/>
  <c r="J147" i="8" s="1"/>
  <c r="I148" i="8"/>
  <c r="I70" i="8" s="1"/>
  <c r="O70" i="8" s="1"/>
  <c r="I93" i="8"/>
  <c r="P93" i="8" s="1"/>
  <c r="P82" i="8"/>
  <c r="P132" i="8" s="1"/>
  <c r="I132" i="8"/>
  <c r="I121" i="8"/>
  <c r="I65" i="8"/>
  <c r="D175" i="10"/>
  <c r="E175" i="10" s="1"/>
  <c r="I74" i="10"/>
  <c r="I48" i="10"/>
  <c r="I99" i="10"/>
  <c r="I31" i="10"/>
  <c r="D176" i="10"/>
  <c r="K2" i="6"/>
  <c r="J2" i="10"/>
  <c r="D164" i="6"/>
  <c r="E163" i="6"/>
  <c r="G61" i="8"/>
  <c r="H2" i="8"/>
  <c r="G78" i="8"/>
  <c r="G129" i="8"/>
  <c r="G104" i="8"/>
  <c r="O70" i="6"/>
  <c r="O69" i="6"/>
  <c r="O108" i="6" s="1"/>
  <c r="O68" i="6"/>
  <c r="O67" i="6"/>
  <c r="P6" i="6"/>
  <c r="O148" i="6"/>
  <c r="O64" i="6"/>
  <c r="O63" i="6"/>
  <c r="O146" i="6"/>
  <c r="O140" i="6"/>
  <c r="O141" i="6"/>
  <c r="O148" i="8"/>
  <c r="O69" i="8"/>
  <c r="O108" i="8" s="1"/>
  <c r="O68" i="8"/>
  <c r="O67" i="8"/>
  <c r="P6" i="8"/>
  <c r="O146" i="8"/>
  <c r="O64" i="8"/>
  <c r="O63" i="8"/>
  <c r="O140" i="8"/>
  <c r="O141" i="8"/>
  <c r="K96" i="6" l="1"/>
  <c r="L96" i="6" s="1"/>
  <c r="M96" i="6" s="1"/>
  <c r="N96" i="6" s="1"/>
  <c r="P134" i="6"/>
  <c r="P92" i="6"/>
  <c r="P94" i="6" s="1"/>
  <c r="J217" i="10"/>
  <c r="J141" i="6"/>
  <c r="J69" i="6" s="1"/>
  <c r="J108" i="6" s="1"/>
  <c r="E170" i="6" s="1"/>
  <c r="D167" i="6"/>
  <c r="I74" i="6"/>
  <c r="O74" i="6" s="1"/>
  <c r="K67" i="6"/>
  <c r="K64" i="6"/>
  <c r="K82" i="6"/>
  <c r="K132" i="6" s="1"/>
  <c r="L63" i="6"/>
  <c r="K205" i="10"/>
  <c r="P135" i="6"/>
  <c r="J91" i="6"/>
  <c r="J83" i="6"/>
  <c r="J133" i="6" s="1"/>
  <c r="J211" i="10"/>
  <c r="L145" i="6"/>
  <c r="L147" i="6" s="1"/>
  <c r="K93" i="6"/>
  <c r="K148" i="6"/>
  <c r="K70" i="6" s="1"/>
  <c r="J65" i="6"/>
  <c r="I135" i="6"/>
  <c r="I136" i="6" s="1"/>
  <c r="I71" i="8"/>
  <c r="I72" i="8" s="1"/>
  <c r="J148" i="8"/>
  <c r="J70" i="8" s="1"/>
  <c r="J93" i="8"/>
  <c r="K145" i="8"/>
  <c r="K147" i="8" s="1"/>
  <c r="I53" i="10"/>
  <c r="I103" i="10" s="1"/>
  <c r="I133" i="8"/>
  <c r="P83" i="8"/>
  <c r="P133" i="8" s="1"/>
  <c r="K96" i="8"/>
  <c r="L96" i="8" s="1"/>
  <c r="M96" i="8" s="1"/>
  <c r="N96" i="8" s="1"/>
  <c r="I104" i="10"/>
  <c r="I35" i="10"/>
  <c r="I92" i="8"/>
  <c r="I94" i="8" s="1"/>
  <c r="I134" i="8"/>
  <c r="P91" i="8"/>
  <c r="J218" i="10"/>
  <c r="J141" i="8"/>
  <c r="J69" i="8" s="1"/>
  <c r="J108" i="8" s="1"/>
  <c r="E170" i="8" s="1"/>
  <c r="J91" i="8"/>
  <c r="J83" i="8"/>
  <c r="J133" i="8" s="1"/>
  <c r="J212" i="10"/>
  <c r="K82" i="8"/>
  <c r="K132" i="8" s="1"/>
  <c r="K64" i="8"/>
  <c r="L63" i="8"/>
  <c r="K206" i="10"/>
  <c r="K67" i="8"/>
  <c r="I90" i="9"/>
  <c r="J99" i="10"/>
  <c r="J74" i="10"/>
  <c r="J31" i="10"/>
  <c r="J48" i="10"/>
  <c r="K2" i="10"/>
  <c r="L2" i="6"/>
  <c r="E164" i="6"/>
  <c r="F163" i="6"/>
  <c r="D165" i="6"/>
  <c r="F175" i="10"/>
  <c r="E176" i="10"/>
  <c r="H78" i="8"/>
  <c r="H104" i="8"/>
  <c r="I2" i="8"/>
  <c r="H129" i="8"/>
  <c r="H61" i="8"/>
  <c r="O71" i="6"/>
  <c r="O113" i="8"/>
  <c r="O115" i="8" s="1"/>
  <c r="O142" i="8"/>
  <c r="O82" i="8"/>
  <c r="O65" i="8"/>
  <c r="O71" i="8"/>
  <c r="O113" i="6"/>
  <c r="O115" i="6" s="1"/>
  <c r="O142" i="6"/>
  <c r="O91" i="6"/>
  <c r="O83" i="6"/>
  <c r="O91" i="8"/>
  <c r="O83" i="8"/>
  <c r="P148" i="8"/>
  <c r="P70" i="8"/>
  <c r="P69" i="8"/>
  <c r="P108" i="8" s="1"/>
  <c r="P68" i="8"/>
  <c r="P67" i="8"/>
  <c r="P146" i="8"/>
  <c r="P118" i="8" s="1"/>
  <c r="P121" i="8" s="1"/>
  <c r="P64" i="8"/>
  <c r="P63" i="8"/>
  <c r="P4" i="8"/>
  <c r="P141" i="8"/>
  <c r="P140" i="8"/>
  <c r="P113" i="8" s="1"/>
  <c r="P115" i="8" s="1"/>
  <c r="O82" i="6"/>
  <c r="O65" i="6"/>
  <c r="O118" i="8"/>
  <c r="O121" i="8" s="1"/>
  <c r="O147" i="8"/>
  <c r="O118" i="6"/>
  <c r="O121" i="6" s="1"/>
  <c r="O147" i="6"/>
  <c r="P148" i="6"/>
  <c r="P64" i="6"/>
  <c r="P63" i="6"/>
  <c r="P4" i="6"/>
  <c r="P146" i="6"/>
  <c r="P118" i="6" s="1"/>
  <c r="P121" i="6" s="1"/>
  <c r="P141" i="6"/>
  <c r="P140" i="6"/>
  <c r="P113" i="6" s="1"/>
  <c r="P115" i="6" s="1"/>
  <c r="P68" i="6"/>
  <c r="P69" i="6"/>
  <c r="P108" i="6" s="1"/>
  <c r="P70" i="6"/>
  <c r="P67" i="6"/>
  <c r="I75" i="6" l="1"/>
  <c r="P74" i="6"/>
  <c r="I109" i="6"/>
  <c r="D173" i="6"/>
  <c r="I107" i="6"/>
  <c r="I97" i="6"/>
  <c r="K91" i="6"/>
  <c r="K211" i="10"/>
  <c r="K83" i="6"/>
  <c r="K133" i="6" s="1"/>
  <c r="D171" i="6"/>
  <c r="D168" i="6"/>
  <c r="D169" i="6" s="1"/>
  <c r="D174" i="6" s="1"/>
  <c r="D176" i="6" s="1"/>
  <c r="D178" i="6" s="1"/>
  <c r="L148" i="6"/>
  <c r="L70" i="6" s="1"/>
  <c r="M145" i="6"/>
  <c r="M147" i="6" s="1"/>
  <c r="L93" i="6"/>
  <c r="L64" i="6"/>
  <c r="L65" i="6" s="1"/>
  <c r="L82" i="6"/>
  <c r="L132" i="6" s="1"/>
  <c r="M63" i="6"/>
  <c r="L205" i="10"/>
  <c r="L67" i="6"/>
  <c r="K217" i="10"/>
  <c r="J71" i="6"/>
  <c r="J72" i="6" s="1"/>
  <c r="J92" i="6"/>
  <c r="J94" i="6" s="1"/>
  <c r="J134" i="6"/>
  <c r="J135" i="6" s="1"/>
  <c r="J136" i="6" s="1"/>
  <c r="K65" i="6"/>
  <c r="J142" i="6"/>
  <c r="J71" i="8"/>
  <c r="J72" i="8" s="1"/>
  <c r="J74" i="8" s="1"/>
  <c r="J75" i="8" s="1"/>
  <c r="J142" i="8"/>
  <c r="I74" i="8"/>
  <c r="I75" i="8" s="1"/>
  <c r="D167" i="8"/>
  <c r="D171" i="8" s="1"/>
  <c r="I135" i="8"/>
  <c r="I136" i="8" s="1"/>
  <c r="I109" i="8" s="1"/>
  <c r="I105" i="10"/>
  <c r="L67" i="8"/>
  <c r="L82" i="8"/>
  <c r="L132" i="8" s="1"/>
  <c r="L206" i="10"/>
  <c r="M63" i="8"/>
  <c r="L64" i="8"/>
  <c r="L65" i="8" s="1"/>
  <c r="K91" i="8"/>
  <c r="K212" i="10"/>
  <c r="K83" i="8"/>
  <c r="K133" i="8" s="1"/>
  <c r="K218" i="10"/>
  <c r="J85" i="8"/>
  <c r="K139" i="8"/>
  <c r="P92" i="8"/>
  <c r="P94" i="8" s="1"/>
  <c r="P134" i="8"/>
  <c r="P135" i="8" s="1"/>
  <c r="L145" i="8"/>
  <c r="L147" i="8" s="1"/>
  <c r="K93" i="8"/>
  <c r="K148" i="8"/>
  <c r="K70" i="8" s="1"/>
  <c r="K65" i="8"/>
  <c r="J134" i="8"/>
  <c r="J135" i="8" s="1"/>
  <c r="J92" i="8"/>
  <c r="J94" i="8" s="1"/>
  <c r="J90" i="9"/>
  <c r="K31" i="10"/>
  <c r="K48" i="10"/>
  <c r="K99" i="10"/>
  <c r="K74" i="10"/>
  <c r="O72" i="6"/>
  <c r="O75" i="6" s="1"/>
  <c r="G163" i="6"/>
  <c r="F164" i="6"/>
  <c r="F176" i="10"/>
  <c r="G175" i="10"/>
  <c r="F165" i="6"/>
  <c r="L2" i="10"/>
  <c r="M2" i="6"/>
  <c r="E165" i="6"/>
  <c r="I104" i="8"/>
  <c r="I129" i="8"/>
  <c r="D163" i="8"/>
  <c r="I61" i="8"/>
  <c r="J2" i="8"/>
  <c r="I78" i="8"/>
  <c r="P65" i="6"/>
  <c r="O72" i="8"/>
  <c r="O133" i="8"/>
  <c r="E67" i="9"/>
  <c r="P71" i="6"/>
  <c r="P5" i="6"/>
  <c r="P2" i="6"/>
  <c r="P145" i="6"/>
  <c r="P147" i="6" s="1"/>
  <c r="O93" i="6"/>
  <c r="O107" i="6"/>
  <c r="O97" i="6"/>
  <c r="O92" i="8"/>
  <c r="O134" i="8"/>
  <c r="E75" i="9"/>
  <c r="P139" i="6"/>
  <c r="P142" i="6" s="1"/>
  <c r="O85" i="6"/>
  <c r="D69" i="9" s="1"/>
  <c r="O132" i="8"/>
  <c r="E66" i="9"/>
  <c r="G66" i="9" s="1"/>
  <c r="L66" i="9" s="1"/>
  <c r="O134" i="6"/>
  <c r="O92" i="6"/>
  <c r="O94" i="6" s="1"/>
  <c r="D75" i="9"/>
  <c r="P2" i="8"/>
  <c r="P5" i="8"/>
  <c r="P71" i="8"/>
  <c r="O85" i="8"/>
  <c r="P139" i="8"/>
  <c r="P142" i="8" s="1"/>
  <c r="P72" i="6"/>
  <c r="P75" i="6" s="1"/>
  <c r="P107" i="6" s="1"/>
  <c r="O132" i="6"/>
  <c r="D66" i="9"/>
  <c r="O93" i="8"/>
  <c r="P145" i="8"/>
  <c r="P147" i="8" s="1"/>
  <c r="P65" i="8"/>
  <c r="O133" i="6"/>
  <c r="D67" i="9"/>
  <c r="I110" i="6" l="1"/>
  <c r="I123" i="6" s="1"/>
  <c r="I125" i="6" s="1"/>
  <c r="E173" i="6"/>
  <c r="J109" i="6"/>
  <c r="I81" i="6"/>
  <c r="J124" i="6"/>
  <c r="M82" i="6"/>
  <c r="M132" i="6" s="1"/>
  <c r="N63" i="6"/>
  <c r="M67" i="6"/>
  <c r="M205" i="10"/>
  <c r="M64" i="6"/>
  <c r="K134" i="6"/>
  <c r="K135" i="6" s="1"/>
  <c r="K136" i="6" s="1"/>
  <c r="K92" i="6"/>
  <c r="K94" i="6" s="1"/>
  <c r="N145" i="6"/>
  <c r="N147" i="6" s="1"/>
  <c r="M93" i="6"/>
  <c r="M148" i="6"/>
  <c r="M70" i="6" s="1"/>
  <c r="E167" i="6"/>
  <c r="J74" i="6"/>
  <c r="J75" i="6" s="1"/>
  <c r="J85" i="6"/>
  <c r="K139" i="6"/>
  <c r="L217" i="10"/>
  <c r="L91" i="6"/>
  <c r="L83" i="6"/>
  <c r="L133" i="6" s="1"/>
  <c r="L211" i="10"/>
  <c r="P97" i="6"/>
  <c r="P98" i="6" s="1"/>
  <c r="P99" i="6" s="1"/>
  <c r="I98" i="6"/>
  <c r="I99" i="6" s="1"/>
  <c r="D173" i="8"/>
  <c r="E167" i="8"/>
  <c r="E171" i="8" s="1"/>
  <c r="D168" i="8"/>
  <c r="D169" i="8" s="1"/>
  <c r="D174" i="8" s="1"/>
  <c r="I107" i="8"/>
  <c r="I97" i="8"/>
  <c r="P97" i="8" s="1"/>
  <c r="P98" i="8" s="1"/>
  <c r="P99" i="8" s="1"/>
  <c r="J136" i="8"/>
  <c r="E173" i="8" s="1"/>
  <c r="O74" i="8"/>
  <c r="O75" i="8" s="1"/>
  <c r="P74" i="8"/>
  <c r="L218" i="10"/>
  <c r="M145" i="8"/>
  <c r="M147" i="8" s="1"/>
  <c r="L148" i="8"/>
  <c r="L70" i="8" s="1"/>
  <c r="L93" i="8"/>
  <c r="E168" i="8"/>
  <c r="E169" i="8" s="1"/>
  <c r="K141" i="8"/>
  <c r="K69" i="8" s="1"/>
  <c r="K134" i="8"/>
  <c r="K135" i="8" s="1"/>
  <c r="K136" i="8" s="1"/>
  <c r="K92" i="8"/>
  <c r="K94" i="8" s="1"/>
  <c r="J107" i="8"/>
  <c r="I94" i="9"/>
  <c r="I102" i="9" s="1"/>
  <c r="M64" i="8"/>
  <c r="N63" i="8"/>
  <c r="M206" i="10"/>
  <c r="M82" i="8"/>
  <c r="M132" i="8" s="1"/>
  <c r="M67" i="8"/>
  <c r="I110" i="8"/>
  <c r="I123" i="8" s="1"/>
  <c r="I125" i="8" s="1"/>
  <c r="L91" i="8"/>
  <c r="L83" i="8"/>
  <c r="L133" i="8" s="1"/>
  <c r="L212" i="10"/>
  <c r="O135" i="8"/>
  <c r="P136" i="8" s="1"/>
  <c r="P109" i="8" s="1"/>
  <c r="K90" i="9"/>
  <c r="L48" i="10"/>
  <c r="L74" i="10"/>
  <c r="L31" i="10"/>
  <c r="L99" i="10"/>
  <c r="P129" i="6"/>
  <c r="P104" i="6"/>
  <c r="P78" i="6"/>
  <c r="P61" i="6"/>
  <c r="G176" i="10"/>
  <c r="H175" i="10"/>
  <c r="N2" i="6"/>
  <c r="N2" i="10" s="1"/>
  <c r="M2" i="10"/>
  <c r="H163" i="6"/>
  <c r="G164" i="6"/>
  <c r="G165" i="6"/>
  <c r="E163" i="8"/>
  <c r="D164" i="8"/>
  <c r="J129" i="8"/>
  <c r="J61" i="8"/>
  <c r="K2" i="8"/>
  <c r="J104" i="8"/>
  <c r="J78" i="8"/>
  <c r="P72" i="8"/>
  <c r="O135" i="6"/>
  <c r="O136" i="6" s="1"/>
  <c r="O109" i="6" s="1"/>
  <c r="O110" i="6" s="1"/>
  <c r="O123" i="6" s="1"/>
  <c r="O125" i="6" s="1"/>
  <c r="C183" i="8"/>
  <c r="G182" i="8"/>
  <c r="E77" i="9"/>
  <c r="D41" i="9"/>
  <c r="P129" i="8"/>
  <c r="P104" i="8"/>
  <c r="P78" i="8"/>
  <c r="P61" i="8"/>
  <c r="E76" i="9"/>
  <c r="G75" i="9"/>
  <c r="L75" i="9" s="1"/>
  <c r="L76" i="9" s="1"/>
  <c r="E69" i="9"/>
  <c r="D50" i="9"/>
  <c r="F50" i="9" s="1"/>
  <c r="F69" i="9" s="1"/>
  <c r="D76" i="9"/>
  <c r="C183" i="6"/>
  <c r="K129" i="9" s="1"/>
  <c r="D77" i="9"/>
  <c r="G182" i="6"/>
  <c r="O94" i="8"/>
  <c r="M66" i="9"/>
  <c r="H52" i="10" s="1"/>
  <c r="H102" i="10" s="1"/>
  <c r="O98" i="6"/>
  <c r="O99" i="6" s="1"/>
  <c r="D81" i="9"/>
  <c r="D82" i="9" s="1"/>
  <c r="J107" i="6" l="1"/>
  <c r="J110" i="6" s="1"/>
  <c r="I93" i="9"/>
  <c r="I101" i="9" s="1"/>
  <c r="J97" i="6"/>
  <c r="M217" i="10"/>
  <c r="L134" i="6"/>
  <c r="L135" i="6" s="1"/>
  <c r="L136" i="6" s="1"/>
  <c r="L92" i="6"/>
  <c r="L94" i="6" s="1"/>
  <c r="K141" i="6"/>
  <c r="K69" i="6" s="1"/>
  <c r="K109" i="6"/>
  <c r="F173" i="6"/>
  <c r="I84" i="6"/>
  <c r="I87" i="6" s="1"/>
  <c r="I101" i="6" s="1"/>
  <c r="I3" i="6" s="1"/>
  <c r="P81" i="6"/>
  <c r="P84" i="6" s="1"/>
  <c r="P87" i="6" s="1"/>
  <c r="P101" i="6" s="1"/>
  <c r="N67" i="6"/>
  <c r="N64" i="6"/>
  <c r="N205" i="10"/>
  <c r="N82" i="6"/>
  <c r="N132" i="6" s="1"/>
  <c r="N65" i="6"/>
  <c r="N93" i="6"/>
  <c r="N148" i="6"/>
  <c r="N70" i="6" s="1"/>
  <c r="M91" i="6"/>
  <c r="M83" i="6"/>
  <c r="M133" i="6" s="1"/>
  <c r="M211" i="10"/>
  <c r="M65" i="6"/>
  <c r="E171" i="6"/>
  <c r="E168" i="6"/>
  <c r="E169" i="6" s="1"/>
  <c r="E174" i="6" s="1"/>
  <c r="E176" i="6" s="1"/>
  <c r="E178" i="6" s="1"/>
  <c r="I98" i="8"/>
  <c r="I99" i="8" s="1"/>
  <c r="J97" i="8"/>
  <c r="J98" i="8" s="1"/>
  <c r="J99" i="8" s="1"/>
  <c r="O136" i="8"/>
  <c r="O109" i="8" s="1"/>
  <c r="J109" i="8"/>
  <c r="J110" i="8" s="1"/>
  <c r="O97" i="8"/>
  <c r="O107" i="8"/>
  <c r="E174" i="8"/>
  <c r="P75" i="8"/>
  <c r="P107" i="8" s="1"/>
  <c r="P110" i="8" s="1"/>
  <c r="P123" i="8" s="1"/>
  <c r="K142" i="8"/>
  <c r="K85" i="8" s="1"/>
  <c r="K109" i="8"/>
  <c r="F173" i="8"/>
  <c r="M218" i="10"/>
  <c r="N67" i="8"/>
  <c r="N82" i="8"/>
  <c r="N132" i="8" s="1"/>
  <c r="N64" i="8"/>
  <c r="N206" i="10"/>
  <c r="L92" i="8"/>
  <c r="L94" i="8" s="1"/>
  <c r="L134" i="8"/>
  <c r="L135" i="8" s="1"/>
  <c r="L136" i="8" s="1"/>
  <c r="M91" i="8"/>
  <c r="M212" i="10"/>
  <c r="M83" i="8"/>
  <c r="M133" i="8" s="1"/>
  <c r="K108" i="8"/>
  <c r="F170" i="8" s="1"/>
  <c r="K71" i="8"/>
  <c r="K72" i="8" s="1"/>
  <c r="J124" i="8"/>
  <c r="I81" i="8"/>
  <c r="M65" i="8"/>
  <c r="N145" i="8"/>
  <c r="N147" i="8" s="1"/>
  <c r="M93" i="8"/>
  <c r="M148" i="8"/>
  <c r="M70" i="8" s="1"/>
  <c r="M90" i="9"/>
  <c r="N99" i="10"/>
  <c r="N74" i="10"/>
  <c r="N31" i="10"/>
  <c r="N48" i="10"/>
  <c r="L90" i="9"/>
  <c r="M74" i="10"/>
  <c r="M99" i="10"/>
  <c r="M48" i="10"/>
  <c r="M31" i="10"/>
  <c r="P136" i="6"/>
  <c r="P109" i="6" s="1"/>
  <c r="P110" i="6" s="1"/>
  <c r="P123" i="6" s="1"/>
  <c r="I175" i="10"/>
  <c r="I176" i="10" s="1"/>
  <c r="J176" i="10" s="1"/>
  <c r="H176" i="10"/>
  <c r="H164" i="6"/>
  <c r="I165" i="6" s="1"/>
  <c r="I163" i="6"/>
  <c r="I164" i="6" s="1"/>
  <c r="J164" i="6" s="1"/>
  <c r="D165" i="8"/>
  <c r="D176" i="8" s="1"/>
  <c r="D178" i="8" s="1"/>
  <c r="K61" i="8"/>
  <c r="L2" i="8"/>
  <c r="K129" i="8"/>
  <c r="K78" i="8"/>
  <c r="K104" i="8"/>
  <c r="E164" i="8"/>
  <c r="F163" i="8"/>
  <c r="D78" i="9"/>
  <c r="D83" i="9" s="1"/>
  <c r="G69" i="9"/>
  <c r="L69" i="9" s="1"/>
  <c r="M69" i="9" s="1"/>
  <c r="H55" i="10" s="1"/>
  <c r="H112" i="10" s="1"/>
  <c r="I109" i="10" s="1"/>
  <c r="I111" i="10" s="1"/>
  <c r="O81" i="6"/>
  <c r="P124" i="6"/>
  <c r="G77" i="9"/>
  <c r="E78" i="9"/>
  <c r="H182" i="8"/>
  <c r="H138" i="10"/>
  <c r="M75" i="9"/>
  <c r="M38" i="9"/>
  <c r="H133" i="10" s="1"/>
  <c r="I131" i="10" s="1"/>
  <c r="P125" i="6" l="1"/>
  <c r="L109" i="6"/>
  <c r="G173" i="6"/>
  <c r="M92" i="6"/>
  <c r="M94" i="6" s="1"/>
  <c r="M134" i="6"/>
  <c r="M135" i="6" s="1"/>
  <c r="M136" i="6" s="1"/>
  <c r="K142" i="6"/>
  <c r="J98" i="6"/>
  <c r="J99" i="6" s="1"/>
  <c r="K108" i="6"/>
  <c r="F170" i="6" s="1"/>
  <c r="K71" i="6"/>
  <c r="K72" i="6" s="1"/>
  <c r="N217" i="10"/>
  <c r="N91" i="6"/>
  <c r="N83" i="6"/>
  <c r="N133" i="6" s="1"/>
  <c r="N211" i="10"/>
  <c r="J123" i="6"/>
  <c r="J125" i="6" s="1"/>
  <c r="I108" i="9"/>
  <c r="I116" i="9" s="1"/>
  <c r="O110" i="8"/>
  <c r="O123" i="8" s="1"/>
  <c r="O125" i="8" s="1"/>
  <c r="O81" i="8" s="1"/>
  <c r="L139" i="8"/>
  <c r="J123" i="8"/>
  <c r="J125" i="8" s="1"/>
  <c r="I109" i="9"/>
  <c r="I117" i="9" s="1"/>
  <c r="E81" i="9"/>
  <c r="O98" i="8"/>
  <c r="O99" i="8" s="1"/>
  <c r="G173" i="8"/>
  <c r="L109" i="8"/>
  <c r="N93" i="8"/>
  <c r="N148" i="8"/>
  <c r="N70" i="8" s="1"/>
  <c r="M92" i="8"/>
  <c r="M94" i="8" s="1"/>
  <c r="M134" i="8"/>
  <c r="M135" i="8" s="1"/>
  <c r="M136" i="8" s="1"/>
  <c r="N212" i="10"/>
  <c r="N91" i="8"/>
  <c r="N83" i="8"/>
  <c r="N133" i="8" s="1"/>
  <c r="I84" i="8"/>
  <c r="I87" i="8" s="1"/>
  <c r="I101" i="8" s="1"/>
  <c r="I3" i="8" s="1"/>
  <c r="P81" i="8"/>
  <c r="P84" i="8" s="1"/>
  <c r="P87" i="8" s="1"/>
  <c r="P101" i="8" s="1"/>
  <c r="L141" i="8"/>
  <c r="L69" i="8" s="1"/>
  <c r="N218" i="10"/>
  <c r="K74" i="8"/>
  <c r="K75" i="8" s="1"/>
  <c r="F167" i="8"/>
  <c r="N65" i="8"/>
  <c r="H165" i="6"/>
  <c r="F164" i="8"/>
  <c r="G163" i="8"/>
  <c r="L78" i="8"/>
  <c r="L104" i="8"/>
  <c r="L61" i="8"/>
  <c r="L129" i="8"/>
  <c r="M2" i="8"/>
  <c r="E165" i="8"/>
  <c r="E176" i="8" s="1"/>
  <c r="E178" i="8" s="1"/>
  <c r="I112" i="10"/>
  <c r="J109" i="10" s="1"/>
  <c r="I158" i="10"/>
  <c r="I132" i="10"/>
  <c r="I133" i="10" s="1"/>
  <c r="J131" i="10" s="1"/>
  <c r="C182" i="6"/>
  <c r="G183" i="6"/>
  <c r="G184" i="6" s="1"/>
  <c r="C178" i="6" s="1"/>
  <c r="O84" i="6"/>
  <c r="O87" i="6" s="1"/>
  <c r="O101" i="6" s="1"/>
  <c r="D65" i="9"/>
  <c r="I136" i="10"/>
  <c r="K65" i="9"/>
  <c r="K77" i="9" s="1"/>
  <c r="H61" i="10"/>
  <c r="M76" i="9"/>
  <c r="D182" i="10"/>
  <c r="I39" i="10"/>
  <c r="I78" i="10" s="1"/>
  <c r="N92" i="6" l="1"/>
  <c r="N94" i="6" s="1"/>
  <c r="N134" i="6"/>
  <c r="N135" i="6" s="1"/>
  <c r="N136" i="6" s="1"/>
  <c r="M109" i="6"/>
  <c r="H173" i="6"/>
  <c r="K124" i="6"/>
  <c r="J81" i="6"/>
  <c r="J84" i="6" s="1"/>
  <c r="J87" i="6" s="1"/>
  <c r="K85" i="6"/>
  <c r="L139" i="6"/>
  <c r="F167" i="6"/>
  <c r="K74" i="6"/>
  <c r="K75" i="6" s="1"/>
  <c r="J101" i="6"/>
  <c r="J3" i="6" s="1"/>
  <c r="G183" i="8"/>
  <c r="H183" i="8" s="1"/>
  <c r="D49" i="9"/>
  <c r="F49" i="9" s="1"/>
  <c r="P124" i="8"/>
  <c r="P125" i="8" s="1"/>
  <c r="E65" i="9"/>
  <c r="G65" i="9" s="1"/>
  <c r="O84" i="8"/>
  <c r="O87" i="8" s="1"/>
  <c r="M50" i="9" s="1"/>
  <c r="C182" i="8"/>
  <c r="D42" i="9"/>
  <c r="G81" i="9"/>
  <c r="H81" i="9" s="1"/>
  <c r="E82" i="9"/>
  <c r="E83" i="9" s="1"/>
  <c r="J94" i="9"/>
  <c r="J102" i="9" s="1"/>
  <c r="K107" i="8"/>
  <c r="K110" i="8" s="1"/>
  <c r="K97" i="8"/>
  <c r="H173" i="8"/>
  <c r="M109" i="8"/>
  <c r="K124" i="8"/>
  <c r="J81" i="8"/>
  <c r="J84" i="8" s="1"/>
  <c r="J87" i="8" s="1"/>
  <c r="J101" i="8" s="1"/>
  <c r="J3" i="8" s="1"/>
  <c r="L108" i="8"/>
  <c r="G170" i="8" s="1"/>
  <c r="L71" i="8"/>
  <c r="L72" i="8" s="1"/>
  <c r="L142" i="8"/>
  <c r="N134" i="8"/>
  <c r="N135" i="8" s="1"/>
  <c r="N136" i="8" s="1"/>
  <c r="N92" i="8"/>
  <c r="N94" i="8" s="1"/>
  <c r="F168" i="8"/>
  <c r="F169" i="8" s="1"/>
  <c r="F174" i="8" s="1"/>
  <c r="F171" i="8"/>
  <c r="I55" i="10"/>
  <c r="J165" i="6"/>
  <c r="H163" i="8"/>
  <c r="G164" i="8"/>
  <c r="G165" i="8"/>
  <c r="M104" i="8"/>
  <c r="M129" i="8"/>
  <c r="M78" i="8"/>
  <c r="M61" i="8"/>
  <c r="N2" i="8"/>
  <c r="F165" i="8"/>
  <c r="J158" i="10"/>
  <c r="J132" i="10"/>
  <c r="J133" i="10" s="1"/>
  <c r="K131" i="10" s="1"/>
  <c r="J111" i="10"/>
  <c r="D68" i="9"/>
  <c r="D71" i="9" s="1"/>
  <c r="D85" i="9" s="1"/>
  <c r="E68" i="9"/>
  <c r="E71" i="9" s="1"/>
  <c r="D52" i="9"/>
  <c r="H104" i="10"/>
  <c r="H62" i="10"/>
  <c r="I137" i="10"/>
  <c r="I159" i="10"/>
  <c r="K128" i="9"/>
  <c r="I173" i="6" l="1"/>
  <c r="N109" i="6"/>
  <c r="K107" i="6"/>
  <c r="K110" i="6" s="1"/>
  <c r="J93" i="9"/>
  <c r="J101" i="9" s="1"/>
  <c r="K97" i="6"/>
  <c r="F168" i="6"/>
  <c r="F169" i="6" s="1"/>
  <c r="F174" i="6" s="1"/>
  <c r="F176" i="6" s="1"/>
  <c r="F178" i="6" s="1"/>
  <c r="F171" i="6"/>
  <c r="L141" i="6"/>
  <c r="L69" i="6" s="1"/>
  <c r="E85" i="9"/>
  <c r="O101" i="8"/>
  <c r="G184" i="8"/>
  <c r="C178" i="8" s="1"/>
  <c r="N109" i="8"/>
  <c r="I173" i="8"/>
  <c r="M139" i="8"/>
  <c r="L85" i="8"/>
  <c r="G167" i="8"/>
  <c r="L74" i="8"/>
  <c r="L75" i="8" s="1"/>
  <c r="K98" i="8"/>
  <c r="K99" i="8" s="1"/>
  <c r="K123" i="8"/>
  <c r="K125" i="8" s="1"/>
  <c r="J109" i="9"/>
  <c r="J117" i="9" s="1"/>
  <c r="F176" i="8"/>
  <c r="F178" i="8" s="1"/>
  <c r="N129" i="8"/>
  <c r="N61" i="8"/>
  <c r="N78" i="8"/>
  <c r="N104" i="8"/>
  <c r="I163" i="8"/>
  <c r="I164" i="8" s="1"/>
  <c r="J164" i="8" s="1"/>
  <c r="H164" i="8"/>
  <c r="H165" i="8" s="1"/>
  <c r="K158" i="10"/>
  <c r="K132" i="10"/>
  <c r="K133" i="10" s="1"/>
  <c r="L131" i="10" s="1"/>
  <c r="J39" i="10"/>
  <c r="J78" i="10" s="1"/>
  <c r="E182" i="10"/>
  <c r="I138" i="10"/>
  <c r="J136" i="10" s="1"/>
  <c r="F67" i="9"/>
  <c r="G67" i="9" s="1"/>
  <c r="L67" i="9" s="1"/>
  <c r="M67" i="9" s="1"/>
  <c r="H53" i="10" s="1"/>
  <c r="H103" i="10" s="1"/>
  <c r="H105" i="10" s="1"/>
  <c r="I106" i="10" s="1"/>
  <c r="F52" i="9"/>
  <c r="M53" i="9" s="1"/>
  <c r="J112" i="10"/>
  <c r="L142" i="6" l="1"/>
  <c r="J108" i="9"/>
  <c r="J116" i="9" s="1"/>
  <c r="K123" i="6"/>
  <c r="K125" i="6" s="1"/>
  <c r="M139" i="6"/>
  <c r="L85" i="6"/>
  <c r="L108" i="6"/>
  <c r="G170" i="6" s="1"/>
  <c r="L71" i="6"/>
  <c r="L72" i="6" s="1"/>
  <c r="K98" i="6"/>
  <c r="K99" i="6" s="1"/>
  <c r="L107" i="8"/>
  <c r="L110" i="8" s="1"/>
  <c r="K94" i="9"/>
  <c r="K102" i="9" s="1"/>
  <c r="L97" i="8"/>
  <c r="M141" i="8"/>
  <c r="M69" i="8" s="1"/>
  <c r="K81" i="8"/>
  <c r="K84" i="8" s="1"/>
  <c r="K87" i="8" s="1"/>
  <c r="K101" i="8" s="1"/>
  <c r="K3" i="8" s="1"/>
  <c r="L124" i="8"/>
  <c r="G171" i="8"/>
  <c r="G168" i="8"/>
  <c r="G169" i="8" s="1"/>
  <c r="G174" i="8" s="1"/>
  <c r="G176" i="8" s="1"/>
  <c r="G178" i="8" s="1"/>
  <c r="J165" i="8"/>
  <c r="I165" i="8"/>
  <c r="L158" i="10"/>
  <c r="L132" i="10"/>
  <c r="L133" i="10" s="1"/>
  <c r="M131" i="10" s="1"/>
  <c r="D185" i="10"/>
  <c r="I79" i="10"/>
  <c r="K109" i="10"/>
  <c r="J55" i="10"/>
  <c r="J159" i="10"/>
  <c r="J137" i="10"/>
  <c r="M141" i="6" l="1"/>
  <c r="M69" i="6" s="1"/>
  <c r="L74" i="6"/>
  <c r="L75" i="6" s="1"/>
  <c r="G167" i="6"/>
  <c r="L124" i="6"/>
  <c r="K81" i="6"/>
  <c r="K84" i="6" s="1"/>
  <c r="K87" i="6" s="1"/>
  <c r="K101" i="6" s="1"/>
  <c r="K3" i="6" s="1"/>
  <c r="M142" i="8"/>
  <c r="M85" i="8" s="1"/>
  <c r="L98" i="8"/>
  <c r="L99" i="8" s="1"/>
  <c r="M108" i="8"/>
  <c r="H170" i="8" s="1"/>
  <c r="M71" i="8"/>
  <c r="M72" i="8" s="1"/>
  <c r="L123" i="8"/>
  <c r="L125" i="8" s="1"/>
  <c r="K109" i="9"/>
  <c r="K117" i="9" s="1"/>
  <c r="M158" i="10"/>
  <c r="M132" i="10"/>
  <c r="M133" i="10" s="1"/>
  <c r="N131" i="10" s="1"/>
  <c r="K111" i="10"/>
  <c r="J138" i="10"/>
  <c r="K136" i="10" s="1"/>
  <c r="L107" i="6" l="1"/>
  <c r="L110" i="6" s="1"/>
  <c r="K93" i="9"/>
  <c r="K101" i="9" s="1"/>
  <c r="L97" i="6"/>
  <c r="M142" i="6"/>
  <c r="G171" i="6"/>
  <c r="G168" i="6"/>
  <c r="G169" i="6" s="1"/>
  <c r="G174" i="6" s="1"/>
  <c r="G176" i="6" s="1"/>
  <c r="M108" i="6"/>
  <c r="H170" i="6" s="1"/>
  <c r="M71" i="6"/>
  <c r="M72" i="6" s="1"/>
  <c r="N139" i="8"/>
  <c r="N141" i="8" s="1"/>
  <c r="M124" i="8"/>
  <c r="L81" i="8"/>
  <c r="L84" i="8" s="1"/>
  <c r="L87" i="8" s="1"/>
  <c r="L101" i="8" s="1"/>
  <c r="L3" i="8" s="1"/>
  <c r="H167" i="8"/>
  <c r="M74" i="8"/>
  <c r="M75" i="8" s="1"/>
  <c r="F182" i="10"/>
  <c r="K39" i="10"/>
  <c r="K78" i="10" s="1"/>
  <c r="K137" i="10"/>
  <c r="K159" i="10"/>
  <c r="K112" i="10"/>
  <c r="N158" i="10"/>
  <c r="N132" i="10"/>
  <c r="N133" i="10" s="1"/>
  <c r="G178" i="6" l="1"/>
  <c r="L98" i="6"/>
  <c r="L99" i="6" s="1"/>
  <c r="M74" i="6"/>
  <c r="M75" i="6" s="1"/>
  <c r="M97" i="6" s="1"/>
  <c r="H167" i="6"/>
  <c r="N139" i="6"/>
  <c r="M85" i="6"/>
  <c r="L123" i="6"/>
  <c r="L125" i="6" s="1"/>
  <c r="K108" i="9"/>
  <c r="K116" i="9" s="1"/>
  <c r="N69" i="8"/>
  <c r="N108" i="8" s="1"/>
  <c r="I170" i="8" s="1"/>
  <c r="N142" i="8"/>
  <c r="N85" i="8" s="1"/>
  <c r="M107" i="8"/>
  <c r="M110" i="8" s="1"/>
  <c r="L94" i="9"/>
  <c r="L102" i="9" s="1"/>
  <c r="M97" i="8"/>
  <c r="H171" i="8"/>
  <c r="N164" i="8" s="1"/>
  <c r="J174" i="8" s="1"/>
  <c r="J176" i="8" s="1"/>
  <c r="J178" i="8" s="1"/>
  <c r="H168" i="8"/>
  <c r="H169" i="8" s="1"/>
  <c r="H174" i="8" s="1"/>
  <c r="H176" i="8" s="1"/>
  <c r="L109" i="10"/>
  <c r="K55" i="10"/>
  <c r="K138" i="10"/>
  <c r="L136" i="10" s="1"/>
  <c r="M98" i="6" l="1"/>
  <c r="M99" i="6" s="1"/>
  <c r="M107" i="6"/>
  <c r="M110" i="6" s="1"/>
  <c r="L93" i="9"/>
  <c r="L101" i="9" s="1"/>
  <c r="N141" i="6"/>
  <c r="N69" i="6" s="1"/>
  <c r="M124" i="6"/>
  <c r="L81" i="6"/>
  <c r="L84" i="6" s="1"/>
  <c r="L87" i="6" s="1"/>
  <c r="L101" i="6" s="1"/>
  <c r="L3" i="6" s="1"/>
  <c r="H171" i="6"/>
  <c r="N164" i="6" s="1"/>
  <c r="J174" i="6" s="1"/>
  <c r="J176" i="6" s="1"/>
  <c r="J178" i="6" s="1"/>
  <c r="H168" i="6"/>
  <c r="H169" i="6" s="1"/>
  <c r="H174" i="6" s="1"/>
  <c r="H176" i="6" s="1"/>
  <c r="N71" i="8"/>
  <c r="N72" i="8" s="1"/>
  <c r="I167" i="8" s="1"/>
  <c r="H178" i="8"/>
  <c r="M98" i="8"/>
  <c r="M99" i="8" s="1"/>
  <c r="M123" i="8"/>
  <c r="M125" i="8" s="1"/>
  <c r="L109" i="9"/>
  <c r="L117" i="9" s="1"/>
  <c r="L111" i="10"/>
  <c r="L137" i="10"/>
  <c r="L159" i="10"/>
  <c r="H178" i="6" l="1"/>
  <c r="N108" i="6"/>
  <c r="I170" i="6" s="1"/>
  <c r="N71" i="6"/>
  <c r="N72" i="6" s="1"/>
  <c r="M123" i="6"/>
  <c r="M125" i="6" s="1"/>
  <c r="L108" i="9"/>
  <c r="L116" i="9" s="1"/>
  <c r="N142" i="6"/>
  <c r="N85" i="6" s="1"/>
  <c r="N74" i="8"/>
  <c r="N75" i="8" s="1"/>
  <c r="M94" i="9" s="1"/>
  <c r="M102" i="9" s="1"/>
  <c r="N124" i="8"/>
  <c r="M81" i="8"/>
  <c r="M84" i="8" s="1"/>
  <c r="M87" i="8" s="1"/>
  <c r="M101" i="8" s="1"/>
  <c r="M3" i="8" s="1"/>
  <c r="I171" i="8"/>
  <c r="I168" i="8"/>
  <c r="I169" i="8" s="1"/>
  <c r="I174" i="8" s="1"/>
  <c r="I176" i="8" s="1"/>
  <c r="L138" i="10"/>
  <c r="M136" i="10" s="1"/>
  <c r="G182" i="10"/>
  <c r="L39" i="10"/>
  <c r="L78" i="10" s="1"/>
  <c r="L112" i="10"/>
  <c r="N124" i="6" l="1"/>
  <c r="M81" i="6"/>
  <c r="M84" i="6" s="1"/>
  <c r="M87" i="6" s="1"/>
  <c r="M101" i="6" s="1"/>
  <c r="M3" i="6" s="1"/>
  <c r="I167" i="6"/>
  <c r="N74" i="6"/>
  <c r="N75" i="6" s="1"/>
  <c r="N97" i="8"/>
  <c r="N98" i="8" s="1"/>
  <c r="N99" i="8" s="1"/>
  <c r="N107" i="8"/>
  <c r="N110" i="8" s="1"/>
  <c r="N123" i="8" s="1"/>
  <c r="N125" i="8" s="1"/>
  <c r="N81" i="8" s="1"/>
  <c r="N84" i="8" s="1"/>
  <c r="N87" i="8" s="1"/>
  <c r="I178" i="8"/>
  <c r="L181" i="8" s="1"/>
  <c r="C181" i="8"/>
  <c r="C184" i="8" s="1"/>
  <c r="C186" i="8" s="1"/>
  <c r="F127" i="9" s="1"/>
  <c r="M137" i="10"/>
  <c r="M159" i="10"/>
  <c r="M109" i="10"/>
  <c r="L55" i="10"/>
  <c r="N107" i="6" l="1"/>
  <c r="N110" i="6" s="1"/>
  <c r="M93" i="9"/>
  <c r="M101" i="9" s="1"/>
  <c r="N97" i="6"/>
  <c r="N98" i="6" s="1"/>
  <c r="N99" i="6" s="1"/>
  <c r="I171" i="6"/>
  <c r="I168" i="6"/>
  <c r="I169" i="6" s="1"/>
  <c r="I174" i="6" s="1"/>
  <c r="I176" i="6" s="1"/>
  <c r="M109" i="9"/>
  <c r="M117" i="9" s="1"/>
  <c r="N101" i="8"/>
  <c r="N3" i="8" s="1"/>
  <c r="M111" i="10"/>
  <c r="M112" i="10" s="1"/>
  <c r="M138" i="10"/>
  <c r="N136" i="10" s="1"/>
  <c r="I178" i="6" l="1"/>
  <c r="L181" i="6" s="1"/>
  <c r="C181" i="6"/>
  <c r="C184" i="6" s="1"/>
  <c r="N123" i="6"/>
  <c r="N125" i="6" s="1"/>
  <c r="N81" i="6" s="1"/>
  <c r="N84" i="6" s="1"/>
  <c r="N87" i="6" s="1"/>
  <c r="N101" i="6" s="1"/>
  <c r="N3" i="6" s="1"/>
  <c r="M108" i="9"/>
  <c r="M116" i="9" s="1"/>
  <c r="N109" i="10"/>
  <c r="M55" i="10"/>
  <c r="H182" i="10"/>
  <c r="M39" i="10"/>
  <c r="N159" i="10"/>
  <c r="N137" i="10"/>
  <c r="K127" i="9" l="1"/>
  <c r="C186" i="6"/>
  <c r="F129" i="9" s="1"/>
  <c r="M78" i="10"/>
  <c r="N138" i="10"/>
  <c r="N111" i="10"/>
  <c r="K133" i="9" l="1"/>
  <c r="K130" i="9"/>
  <c r="I182" i="10"/>
  <c r="N39" i="10"/>
  <c r="N112" i="10"/>
  <c r="N55" i="10" s="1"/>
  <c r="N78" i="10" l="1"/>
  <c r="H8" i="9" l="1"/>
  <c r="N207" i="10" s="1"/>
  <c r="N208" i="10" s="1"/>
  <c r="N33" i="10" s="1"/>
  <c r="H9" i="9"/>
  <c r="H10" i="9"/>
  <c r="H11" i="9"/>
  <c r="H13" i="9"/>
  <c r="H14" i="9"/>
  <c r="H15" i="9"/>
  <c r="H19" i="9"/>
  <c r="H118" i="10" s="1"/>
  <c r="J117" i="10" s="1"/>
  <c r="H20" i="9"/>
  <c r="H123" i="10" s="1"/>
  <c r="H21" i="9"/>
  <c r="H128" i="10" s="1"/>
  <c r="L127" i="10" s="1"/>
  <c r="H23" i="9"/>
  <c r="I148" i="10" s="1"/>
  <c r="J148" i="10" s="1"/>
  <c r="K148" i="10" s="1"/>
  <c r="H24" i="9"/>
  <c r="I149" i="10" s="1"/>
  <c r="J149" i="10" s="1"/>
  <c r="K149" i="10" s="1"/>
  <c r="L149" i="10" s="1"/>
  <c r="M149" i="10" s="1"/>
  <c r="N149" i="10" s="1"/>
  <c r="H25" i="9"/>
  <c r="I150" i="10" s="1"/>
  <c r="J150" i="10" s="1"/>
  <c r="K150" i="10" s="1"/>
  <c r="H26" i="9"/>
  <c r="H29" i="9"/>
  <c r="D32" i="9" s="1"/>
  <c r="D33" i="9" s="1"/>
  <c r="H181" i="8" s="1"/>
  <c r="H184" i="8" s="1"/>
  <c r="H30" i="9"/>
  <c r="J225" i="10" l="1"/>
  <c r="J226" i="10" s="1"/>
  <c r="J38" i="10" s="1"/>
  <c r="K225" i="10"/>
  <c r="K226" i="10" s="1"/>
  <c r="K38" i="10" s="1"/>
  <c r="N225" i="10"/>
  <c r="N226" i="10" s="1"/>
  <c r="N38" i="10" s="1"/>
  <c r="J219" i="10"/>
  <c r="J220" i="10" s="1"/>
  <c r="J37" i="10" s="1"/>
  <c r="M225" i="10"/>
  <c r="M226" i="10" s="1"/>
  <c r="M38" i="10" s="1"/>
  <c r="N219" i="10"/>
  <c r="N220" i="10" s="1"/>
  <c r="N37" i="10" s="1"/>
  <c r="L207" i="10"/>
  <c r="L208" i="10" s="1"/>
  <c r="L33" i="10" s="1"/>
  <c r="L52" i="10" s="1"/>
  <c r="L102" i="10" s="1"/>
  <c r="L225" i="10"/>
  <c r="L226" i="10" s="1"/>
  <c r="L38" i="10" s="1"/>
  <c r="M207" i="10"/>
  <c r="M208" i="10" s="1"/>
  <c r="M33" i="10" s="1"/>
  <c r="M52" i="10" s="1"/>
  <c r="M102" i="10" s="1"/>
  <c r="M219" i="10"/>
  <c r="M220" i="10" s="1"/>
  <c r="M37" i="10" s="1"/>
  <c r="J213" i="10"/>
  <c r="J214" i="10" s="1"/>
  <c r="J34" i="10" s="1"/>
  <c r="J61" i="10" s="1"/>
  <c r="I121" i="10"/>
  <c r="I156" i="10" s="1"/>
  <c r="L122" i="10"/>
  <c r="I117" i="10"/>
  <c r="J207" i="10"/>
  <c r="J208" i="10" s="1"/>
  <c r="J33" i="10" s="1"/>
  <c r="N213" i="10"/>
  <c r="N214" i="10" s="1"/>
  <c r="N34" i="10" s="1"/>
  <c r="N53" i="10" s="1"/>
  <c r="N103" i="10" s="1"/>
  <c r="L219" i="10"/>
  <c r="L220" i="10" s="1"/>
  <c r="L37" i="10" s="1"/>
  <c r="J122" i="10"/>
  <c r="M40" i="9"/>
  <c r="K213" i="10"/>
  <c r="K214" i="10" s="1"/>
  <c r="K34" i="10" s="1"/>
  <c r="K53" i="10" s="1"/>
  <c r="K103" i="10" s="1"/>
  <c r="N122" i="10"/>
  <c r="M117" i="10"/>
  <c r="L150" i="10"/>
  <c r="L148" i="10"/>
  <c r="N52" i="10"/>
  <c r="N102" i="10" s="1"/>
  <c r="K127" i="10"/>
  <c r="K219" i="10"/>
  <c r="K220" i="10" s="1"/>
  <c r="K37" i="10" s="1"/>
  <c r="M213" i="10"/>
  <c r="M214" i="10" s="1"/>
  <c r="M34" i="10" s="1"/>
  <c r="K207" i="10"/>
  <c r="K208" i="10" s="1"/>
  <c r="K33" i="10" s="1"/>
  <c r="H143" i="10"/>
  <c r="I141" i="10" s="1"/>
  <c r="N127" i="10"/>
  <c r="J127" i="10"/>
  <c r="M122" i="10"/>
  <c r="I122" i="10"/>
  <c r="L117" i="10"/>
  <c r="D39" i="9"/>
  <c r="D40" i="9" s="1"/>
  <c r="D127" i="9"/>
  <c r="D36" i="9"/>
  <c r="I126" i="10"/>
  <c r="L213" i="10"/>
  <c r="L214" i="10" s="1"/>
  <c r="L34" i="10" s="1"/>
  <c r="M127" i="10"/>
  <c r="I127" i="10"/>
  <c r="K117" i="10"/>
  <c r="I116" i="10"/>
  <c r="K122" i="10"/>
  <c r="N117" i="10"/>
  <c r="H38" i="9"/>
  <c r="N35" i="10" l="1"/>
  <c r="N61" i="10"/>
  <c r="N62" i="10" s="1"/>
  <c r="I123" i="10"/>
  <c r="J121" i="10" s="1"/>
  <c r="J156" i="10" s="1"/>
  <c r="J142" i="10"/>
  <c r="J88" i="10" s="1"/>
  <c r="J91" i="10" s="1"/>
  <c r="J35" i="10"/>
  <c r="L35" i="10"/>
  <c r="M35" i="10"/>
  <c r="J53" i="10"/>
  <c r="J103" i="10" s="1"/>
  <c r="L142" i="10"/>
  <c r="L88" i="10" s="1"/>
  <c r="L91" i="10" s="1"/>
  <c r="K61" i="10"/>
  <c r="K62" i="10" s="1"/>
  <c r="J52" i="10"/>
  <c r="J102" i="10" s="1"/>
  <c r="M142" i="10"/>
  <c r="M88" i="10" s="1"/>
  <c r="M91" i="10" s="1"/>
  <c r="I142" i="10"/>
  <c r="I88" i="10" s="1"/>
  <c r="I91" i="10" s="1"/>
  <c r="N142" i="10"/>
  <c r="N88" i="10" s="1"/>
  <c r="N91" i="10" s="1"/>
  <c r="I65" i="9"/>
  <c r="I77" i="9"/>
  <c r="L77" i="9" s="1"/>
  <c r="J62" i="10"/>
  <c r="J104" i="10"/>
  <c r="M148" i="10"/>
  <c r="M36" i="9"/>
  <c r="M37" i="9" s="1"/>
  <c r="D43" i="9"/>
  <c r="M49" i="9"/>
  <c r="M51" i="9" s="1"/>
  <c r="M54" i="9" s="1"/>
  <c r="M55" i="9" s="1"/>
  <c r="H70" i="9" s="1"/>
  <c r="L70" i="9" s="1"/>
  <c r="M70" i="9" s="1"/>
  <c r="H56" i="10" s="1"/>
  <c r="I56" i="10" s="1"/>
  <c r="J56" i="10" s="1"/>
  <c r="K56" i="10" s="1"/>
  <c r="L56" i="10" s="1"/>
  <c r="M56" i="10" s="1"/>
  <c r="N56" i="10" s="1"/>
  <c r="M61" i="10"/>
  <c r="M53" i="10"/>
  <c r="M103" i="10" s="1"/>
  <c r="I118" i="10"/>
  <c r="J116" i="10" s="1"/>
  <c r="I155" i="10"/>
  <c r="I128" i="10"/>
  <c r="J126" i="10" s="1"/>
  <c r="I157" i="10"/>
  <c r="L61" i="10"/>
  <c r="L53" i="10"/>
  <c r="L103" i="10" s="1"/>
  <c r="K35" i="10"/>
  <c r="K52" i="10"/>
  <c r="K102" i="10" s="1"/>
  <c r="K142" i="10"/>
  <c r="K88" i="10" s="1"/>
  <c r="K91" i="10" s="1"/>
  <c r="M150" i="10"/>
  <c r="N104" i="10" l="1"/>
  <c r="N105" i="10" s="1"/>
  <c r="K104" i="10"/>
  <c r="K105" i="10" s="1"/>
  <c r="J123" i="10"/>
  <c r="K121" i="10" s="1"/>
  <c r="K156" i="10" s="1"/>
  <c r="J105" i="10"/>
  <c r="J106" i="10" s="1"/>
  <c r="J79" i="10" s="1"/>
  <c r="I143" i="10"/>
  <c r="I63" i="10" s="1"/>
  <c r="I64" i="10" s="1"/>
  <c r="H65" i="9"/>
  <c r="I160" i="10"/>
  <c r="I40" i="10" s="1"/>
  <c r="I41" i="10" s="1"/>
  <c r="I42" i="10" s="1"/>
  <c r="D23" i="9"/>
  <c r="D24" i="9" s="1"/>
  <c r="I80" i="9"/>
  <c r="L80" i="9" s="1"/>
  <c r="H37" i="9"/>
  <c r="M41" i="9"/>
  <c r="J65" i="9" s="1"/>
  <c r="J81" i="9" s="1"/>
  <c r="L81" i="9" s="1"/>
  <c r="M81" i="9" s="1"/>
  <c r="H67" i="10" s="1"/>
  <c r="N148" i="10"/>
  <c r="M62" i="10"/>
  <c r="M104" i="10"/>
  <c r="M105" i="10" s="1"/>
  <c r="N150" i="10"/>
  <c r="J118" i="10"/>
  <c r="K116" i="10" s="1"/>
  <c r="J155" i="10"/>
  <c r="L62" i="10"/>
  <c r="L104" i="10"/>
  <c r="L105" i="10" s="1"/>
  <c r="J128" i="10"/>
  <c r="K126" i="10" s="1"/>
  <c r="J157" i="10"/>
  <c r="M77" i="9"/>
  <c r="L78" i="9"/>
  <c r="N106" i="10" l="1"/>
  <c r="I185" i="10" s="1"/>
  <c r="J141" i="10"/>
  <c r="J143" i="10" s="1"/>
  <c r="K141" i="10" s="1"/>
  <c r="K143" i="10" s="1"/>
  <c r="K123" i="10"/>
  <c r="L121" i="10" s="1"/>
  <c r="L123" i="10" s="1"/>
  <c r="M121" i="10" s="1"/>
  <c r="L106" i="10"/>
  <c r="L79" i="10" s="1"/>
  <c r="E185" i="10"/>
  <c r="K106" i="10"/>
  <c r="K79" i="10" s="1"/>
  <c r="M106" i="10"/>
  <c r="M79" i="10" s="1"/>
  <c r="K128" i="10"/>
  <c r="L126" i="10" s="1"/>
  <c r="K157" i="10"/>
  <c r="K118" i="10"/>
  <c r="L116" i="10" s="1"/>
  <c r="K155" i="10"/>
  <c r="L99" i="9"/>
  <c r="L114" i="9"/>
  <c r="L132" i="9"/>
  <c r="M132" i="9" s="1"/>
  <c r="I99" i="9"/>
  <c r="M99" i="9"/>
  <c r="I114" i="9"/>
  <c r="M114" i="9"/>
  <c r="J99" i="9"/>
  <c r="J114" i="9"/>
  <c r="K99" i="9"/>
  <c r="K114" i="9"/>
  <c r="C172" i="10"/>
  <c r="L65" i="9"/>
  <c r="I44" i="10"/>
  <c r="I45" i="10" s="1"/>
  <c r="I77" i="10" s="1"/>
  <c r="I80" i="10" s="1"/>
  <c r="I93" i="10" s="1"/>
  <c r="D179" i="10"/>
  <c r="M43" i="9"/>
  <c r="H36" i="9" s="1"/>
  <c r="H43" i="9" s="1"/>
  <c r="H63" i="10"/>
  <c r="M78" i="9"/>
  <c r="J160" i="10"/>
  <c r="J40" i="10" s="1"/>
  <c r="J41" i="10" s="1"/>
  <c r="J42" i="10" s="1"/>
  <c r="M80" i="9"/>
  <c r="L82" i="9"/>
  <c r="L83" i="9" s="1"/>
  <c r="J63" i="10" l="1"/>
  <c r="J64" i="10" s="1"/>
  <c r="N79" i="10"/>
  <c r="L156" i="10"/>
  <c r="K160" i="10"/>
  <c r="K40" i="10" s="1"/>
  <c r="K41" i="10" s="1"/>
  <c r="K42" i="10" s="1"/>
  <c r="K44" i="10" s="1"/>
  <c r="K45" i="10" s="1"/>
  <c r="G185" i="10"/>
  <c r="F185" i="10"/>
  <c r="H185" i="10"/>
  <c r="L128" i="10"/>
  <c r="M126" i="10" s="1"/>
  <c r="L157" i="10"/>
  <c r="H66" i="10"/>
  <c r="M82" i="9"/>
  <c r="M83" i="9" s="1"/>
  <c r="I67" i="10"/>
  <c r="D180" i="10"/>
  <c r="D181" i="10" s="1"/>
  <c r="D186" i="10" s="1"/>
  <c r="D188" i="10" s="1"/>
  <c r="M123" i="10"/>
  <c r="N121" i="10" s="1"/>
  <c r="M156" i="10"/>
  <c r="K63" i="10"/>
  <c r="K64" i="10" s="1"/>
  <c r="L141" i="10"/>
  <c r="L143" i="10" s="1"/>
  <c r="H64" i="10"/>
  <c r="C195" i="10"/>
  <c r="L129" i="9" s="1"/>
  <c r="M129" i="9" s="1"/>
  <c r="L68" i="9"/>
  <c r="L71" i="9" s="1"/>
  <c r="L85" i="9" s="1"/>
  <c r="M65" i="9"/>
  <c r="J44" i="10"/>
  <c r="J45" i="10" s="1"/>
  <c r="E179" i="10"/>
  <c r="L118" i="10"/>
  <c r="M116" i="10" s="1"/>
  <c r="L155" i="10"/>
  <c r="F179" i="10" l="1"/>
  <c r="F180" i="10" s="1"/>
  <c r="F181" i="10" s="1"/>
  <c r="F186" i="10" s="1"/>
  <c r="F188" i="10" s="1"/>
  <c r="L160" i="10"/>
  <c r="L40" i="10" s="1"/>
  <c r="L41" i="10" s="1"/>
  <c r="L42" i="10" s="1"/>
  <c r="L44" i="10" s="1"/>
  <c r="L45" i="10" s="1"/>
  <c r="I95" i="9"/>
  <c r="I103" i="9" s="1"/>
  <c r="I105" i="9" s="1"/>
  <c r="J77" i="10"/>
  <c r="J80" i="10" s="1"/>
  <c r="J95" i="9"/>
  <c r="J103" i="9" s="1"/>
  <c r="J105" i="9" s="1"/>
  <c r="I138" i="9" s="1"/>
  <c r="K77" i="10"/>
  <c r="K80" i="10" s="1"/>
  <c r="H51" i="10"/>
  <c r="M68" i="9"/>
  <c r="M71" i="9" s="1"/>
  <c r="M85" i="9" s="1"/>
  <c r="N123" i="10"/>
  <c r="N156" i="10"/>
  <c r="M118" i="10"/>
  <c r="N116" i="10" s="1"/>
  <c r="M155" i="10"/>
  <c r="L63" i="10"/>
  <c r="L64" i="10" s="1"/>
  <c r="M141" i="10"/>
  <c r="M143" i="10" s="1"/>
  <c r="D183" i="10"/>
  <c r="H68" i="10"/>
  <c r="H69" i="10" s="1"/>
  <c r="I66" i="10"/>
  <c r="E180" i="10"/>
  <c r="E181" i="10" s="1"/>
  <c r="E186" i="10" s="1"/>
  <c r="E188" i="10" s="1"/>
  <c r="J67" i="10"/>
  <c r="K67" i="10" s="1"/>
  <c r="M128" i="10"/>
  <c r="N126" i="10" s="1"/>
  <c r="M157" i="10"/>
  <c r="G179" i="10" l="1"/>
  <c r="G180" i="10" s="1"/>
  <c r="M160" i="10"/>
  <c r="M40" i="10" s="1"/>
  <c r="M41" i="10" s="1"/>
  <c r="M42" i="10" s="1"/>
  <c r="H179" i="10" s="1"/>
  <c r="L77" i="10"/>
  <c r="L80" i="10" s="1"/>
  <c r="K95" i="9"/>
  <c r="K103" i="9" s="1"/>
  <c r="K105" i="9" s="1"/>
  <c r="M63" i="10"/>
  <c r="M64" i="10" s="1"/>
  <c r="N141" i="10"/>
  <c r="N143" i="10" s="1"/>
  <c r="N63" i="10" s="1"/>
  <c r="N64" i="10" s="1"/>
  <c r="L67" i="10"/>
  <c r="J66" i="10"/>
  <c r="I68" i="10"/>
  <c r="I69" i="10" s="1"/>
  <c r="N118" i="10"/>
  <c r="N155" i="10"/>
  <c r="H54" i="10"/>
  <c r="H57" i="10" s="1"/>
  <c r="H71" i="10" s="1"/>
  <c r="H3" i="10" s="1"/>
  <c r="H95" i="10"/>
  <c r="I94" i="10" s="1"/>
  <c r="I95" i="10" s="1"/>
  <c r="C194" i="10"/>
  <c r="L128" i="9" s="1"/>
  <c r="M128" i="9" s="1"/>
  <c r="K93" i="10"/>
  <c r="J110" i="9"/>
  <c r="J118" i="9" s="1"/>
  <c r="J120" i="9" s="1"/>
  <c r="N128" i="10"/>
  <c r="N157" i="10"/>
  <c r="E183" i="10"/>
  <c r="F183" i="10"/>
  <c r="I110" i="9"/>
  <c r="I118" i="9" s="1"/>
  <c r="I120" i="9" s="1"/>
  <c r="J93" i="10"/>
  <c r="M44" i="10" l="1"/>
  <c r="M45" i="10" s="1"/>
  <c r="M77" i="10" s="1"/>
  <c r="M80" i="10" s="1"/>
  <c r="N160" i="10"/>
  <c r="N40" i="10" s="1"/>
  <c r="N41" i="10" s="1"/>
  <c r="N42" i="10" s="1"/>
  <c r="L93" i="10"/>
  <c r="K110" i="9"/>
  <c r="K118" i="9" s="1"/>
  <c r="K120" i="9" s="1"/>
  <c r="G181" i="10"/>
  <c r="G186" i="10" s="1"/>
  <c r="G188" i="10" s="1"/>
  <c r="I51" i="10"/>
  <c r="I54" i="10" s="1"/>
  <c r="I57" i="10" s="1"/>
  <c r="I71" i="10" s="1"/>
  <c r="I3" i="10" s="1"/>
  <c r="J94" i="10"/>
  <c r="J95" i="10" s="1"/>
  <c r="H180" i="10"/>
  <c r="H181" i="10" s="1"/>
  <c r="H186" i="10" s="1"/>
  <c r="H188" i="10" s="1"/>
  <c r="K66" i="10"/>
  <c r="J68" i="10"/>
  <c r="J69" i="10" s="1"/>
  <c r="M67" i="10" l="1"/>
  <c r="L95" i="9"/>
  <c r="L103" i="9" s="1"/>
  <c r="L105" i="9" s="1"/>
  <c r="J51" i="10"/>
  <c r="J54" i="10" s="1"/>
  <c r="J57" i="10" s="1"/>
  <c r="J71" i="10" s="1"/>
  <c r="J3" i="10" s="1"/>
  <c r="K94" i="10"/>
  <c r="K95" i="10" s="1"/>
  <c r="G183" i="10"/>
  <c r="L66" i="10"/>
  <c r="K68" i="10"/>
  <c r="K69" i="10" s="1"/>
  <c r="H183" i="10"/>
  <c r="N176" i="10" s="1"/>
  <c r="J186" i="10" s="1"/>
  <c r="J188" i="10" s="1"/>
  <c r="M93" i="10"/>
  <c r="L110" i="9"/>
  <c r="L118" i="9" s="1"/>
  <c r="L120" i="9" s="1"/>
  <c r="N44" i="10"/>
  <c r="N45" i="10" s="1"/>
  <c r="I179" i="10"/>
  <c r="K51" i="10" l="1"/>
  <c r="K54" i="10" s="1"/>
  <c r="K57" i="10" s="1"/>
  <c r="K71" i="10" s="1"/>
  <c r="K3" i="10" s="1"/>
  <c r="L94" i="10"/>
  <c r="L95" i="10" s="1"/>
  <c r="I180" i="10"/>
  <c r="M95" i="9"/>
  <c r="M103" i="9" s="1"/>
  <c r="M105" i="9" s="1"/>
  <c r="N77" i="10"/>
  <c r="N80" i="10" s="1"/>
  <c r="N67" i="10"/>
  <c r="L68" i="10"/>
  <c r="L69" i="10" s="1"/>
  <c r="M66" i="10"/>
  <c r="N66" i="10" l="1"/>
  <c r="N68" i="10" s="1"/>
  <c r="N69" i="10" s="1"/>
  <c r="M68" i="10"/>
  <c r="M69" i="10" s="1"/>
  <c r="M110" i="9"/>
  <c r="M118" i="9" s="1"/>
  <c r="M120" i="9" s="1"/>
  <c r="N93" i="10"/>
  <c r="L51" i="10"/>
  <c r="L54" i="10" s="1"/>
  <c r="L57" i="10" s="1"/>
  <c r="L71" i="10" s="1"/>
  <c r="L3" i="10" s="1"/>
  <c r="M94" i="10"/>
  <c r="M95" i="10" s="1"/>
  <c r="I181" i="10"/>
  <c r="I186" i="10" s="1"/>
  <c r="I188" i="10" s="1"/>
  <c r="C193" i="10" s="1"/>
  <c r="C196" i="10" s="1"/>
  <c r="M51" i="10" l="1"/>
  <c r="M54" i="10" s="1"/>
  <c r="M57" i="10" s="1"/>
  <c r="M71" i="10" s="1"/>
  <c r="M3" i="10" s="1"/>
  <c r="N94" i="10"/>
  <c r="N95" i="10" s="1"/>
  <c r="N51" i="10" s="1"/>
  <c r="N54" i="10" s="1"/>
  <c r="N57" i="10" s="1"/>
  <c r="N71" i="10" s="1"/>
  <c r="N3" i="10" s="1"/>
  <c r="L127" i="9"/>
  <c r="C198" i="10"/>
  <c r="F130" i="9" s="1"/>
  <c r="F131" i="9" s="1"/>
  <c r="F132" i="9" s="1"/>
  <c r="B138" i="9" s="1"/>
  <c r="I183" i="10"/>
  <c r="L130" i="9" l="1"/>
  <c r="M130" i="9" s="1"/>
  <c r="M127" i="9"/>
  <c r="L133" i="9"/>
  <c r="M133" i="9" s="1"/>
</calcChain>
</file>

<file path=xl/sharedStrings.xml><?xml version="1.0" encoding="utf-8"?>
<sst xmlns="http://schemas.openxmlformats.org/spreadsheetml/2006/main" count="689" uniqueCount="276">
  <si>
    <t>Date</t>
  </si>
  <si>
    <t>Target</t>
  </si>
  <si>
    <t>EV/EBITDA</t>
  </si>
  <si>
    <t>Market Cap</t>
  </si>
  <si>
    <t>EBITDA</t>
  </si>
  <si>
    <t>EBIT</t>
  </si>
  <si>
    <t>Transaction</t>
  </si>
  <si>
    <t>Current Price</t>
  </si>
  <si>
    <t>Equity Value</t>
  </si>
  <si>
    <t>Revenue</t>
  </si>
  <si>
    <t>Balance Sheet Check</t>
  </si>
  <si>
    <t>LIVE SCENARIO</t>
  </si>
  <si>
    <t>Assumptions</t>
  </si>
  <si>
    <t>SCENARIO 1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</si>
  <si>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</si>
  <si>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</si>
  <si>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</si>
  <si>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</si>
  <si>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</si>
  <si>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</si>
  <si>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</si>
  <si>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</si>
  <si>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</si>
  <si>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</si>
  <si>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</si>
  <si>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</si>
  <si>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</si>
  <si>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SCENARIO 2</t>
  </si>
  <si>
    <t>Income Statement</t>
  </si>
  <si>
    <t>Cost of Goods Sold (COGS)</t>
  </si>
  <si>
    <t>Gross Profit</t>
  </si>
  <si>
    <t>Expenses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</si>
  <si>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</si>
  <si>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</si>
  <si>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</si>
  <si>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</si>
  <si>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</si>
  <si>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</si>
  <si>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</si>
  <si>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</si>
  <si>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</si>
  <si>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</si>
  <si>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</si>
  <si>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</si>
  <si>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</si>
  <si>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</si>
  <si>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</si>
  <si>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</si>
  <si>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</si>
  <si>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</si>
  <si>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</si>
  <si>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</si>
  <si>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</si>
  <si>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</si>
  <si>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</si>
  <si>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</si>
  <si>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</si>
  <si>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</si>
  <si>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</si>
  <si>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</si>
  <si>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</si>
  <si>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</si>
  <si>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</si>
  <si>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</si>
  <si>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</si>
  <si>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</si>
  <si>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</si>
  <si>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</si>
  <si>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</si>
  <si>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</si>
  <si>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</si>
  <si>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</si>
  <si>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</si>
  <si>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</si>
  <si>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</si>
  <si>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</si>
  <si>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</si>
  <si>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</si>
  <si>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</si>
  <si>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</si>
  <si>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</si>
  <si>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</si>
  <si>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</si>
  <si>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</si>
  <si>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</si>
  <si>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Shares Outstanding</t>
  </si>
  <si>
    <t>Discounted Cash Flow</t>
  </si>
  <si>
    <t>Entry</t>
  </si>
  <si>
    <t>Exit</t>
  </si>
  <si>
    <t>Terminal Value</t>
  </si>
  <si>
    <t>Year Fraction</t>
  </si>
  <si>
    <t>Less: Cash Taxes</t>
  </si>
  <si>
    <t>NOPAT</t>
  </si>
  <si>
    <t>Plus: D&amp;A</t>
  </si>
  <si>
    <t>Less: Capex</t>
  </si>
  <si>
    <t>Less: Changes in NWC</t>
  </si>
  <si>
    <t>Unlevered FCF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</si>
  <si>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</si>
  <si>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</si>
  <si>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</si>
  <si>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</si>
  <si>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</si>
  <si>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</si>
  <si>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</si>
  <si>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</si>
  <si>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Less: Debt</t>
  </si>
  <si>
    <t>Less: Cash</t>
  </si>
  <si>
    <t>IRR</t>
  </si>
  <si>
    <t>Equity Value/Share</t>
  </si>
  <si>
    <t>This Excel model is for educational purposes only and should not be used for any other reason.</t>
  </si>
  <si>
    <t>Notes</t>
  </si>
  <si>
    <t>Acquirer Name</t>
  </si>
  <si>
    <t>Target Name</t>
  </si>
  <si>
    <t>Acquirer Share Price</t>
  </si>
  <si>
    <t>Target Share Price</t>
  </si>
  <si>
    <t>Synergies</t>
  </si>
  <si>
    <t>Scenarios</t>
  </si>
  <si>
    <t>COGS savings</t>
  </si>
  <si>
    <t>Revenue enhancement</t>
  </si>
  <si>
    <t>Synergies in Year 2</t>
  </si>
  <si>
    <t>Synergies in Years 3+</t>
  </si>
  <si>
    <t>Financing</t>
  </si>
  <si>
    <t>Senior Debt A</t>
  </si>
  <si>
    <t>Senior Debt B</t>
  </si>
  <si>
    <t>Subordinated Debt</t>
  </si>
  <si>
    <t>Takeover Premium</t>
  </si>
  <si>
    <t>Cash Consideration</t>
  </si>
  <si>
    <t>Financial Reporting Units</t>
  </si>
  <si>
    <t>Scenario #</t>
  </si>
  <si>
    <t>Currency</t>
  </si>
  <si>
    <t>Equity Issuance Fees</t>
  </si>
  <si>
    <t>Debt Issuance Fees</t>
  </si>
  <si>
    <t>Replace Target Debt</t>
  </si>
  <si>
    <t>Purchase Price</t>
  </si>
  <si>
    <t>Offer Price</t>
  </si>
  <si>
    <t>Share Exchange Ratio</t>
  </si>
  <si>
    <t>Acquirer FD Shares Outstanding</t>
  </si>
  <si>
    <t>Target FD Share Outstanding</t>
  </si>
  <si>
    <t>Target Debt</t>
  </si>
  <si>
    <t>Target Cash</t>
  </si>
  <si>
    <t>Sources &amp; Uses of Cash</t>
  </si>
  <si>
    <t>Sources of Cash</t>
  </si>
  <si>
    <t>Other Closing Costs</t>
  </si>
  <si>
    <t>Stock Issued</t>
  </si>
  <si>
    <t>Debt Issued</t>
  </si>
  <si>
    <t>Total Sources</t>
  </si>
  <si>
    <t>Goodwill and Purchase Price Allocation</t>
  </si>
  <si>
    <t>Fair Market Value</t>
  </si>
  <si>
    <t>Target PP&amp;E</t>
  </si>
  <si>
    <t>Identifiable Intangibles</t>
  </si>
  <si>
    <t>Book Value</t>
  </si>
  <si>
    <t>Net Identifiable Assets</t>
  </si>
  <si>
    <t>Fair Value</t>
  </si>
  <si>
    <t>Current Assets</t>
  </si>
  <si>
    <t>Short Term Debt</t>
  </si>
  <si>
    <t>Long Term Debt</t>
  </si>
  <si>
    <t>Current Liabilities</t>
  </si>
  <si>
    <t>End of Period</t>
  </si>
  <si>
    <t>Days in Period</t>
  </si>
  <si>
    <t>Fraction of Year</t>
  </si>
  <si>
    <t>Inventory &amp; Other Current Assets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</si>
  <si>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</si>
  <si>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</si>
  <si>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</si>
  <si>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</si>
  <si>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</si>
  <si>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</si>
  <si>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</si>
  <si>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</si>
  <si>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</si>
  <si>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</si>
  <si>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Inputs</t>
  </si>
  <si>
    <t>Transaction Close Date</t>
  </si>
  <si>
    <t>Acquirer</t>
  </si>
  <si>
    <t>Target PF</t>
  </si>
  <si>
    <t>Purchase</t>
  </si>
  <si>
    <t>Goodwill</t>
  </si>
  <si>
    <t>Consol</t>
  </si>
  <si>
    <t>Total Adj.</t>
  </si>
  <si>
    <t>Step #</t>
  </si>
  <si>
    <t>Merger Integration</t>
  </si>
  <si>
    <t>Total</t>
  </si>
  <si>
    <t>Cost of Goods Sold</t>
  </si>
  <si>
    <t>General &amp; Administrative</t>
  </si>
  <si>
    <t>General &amp; Administrative ($000's)</t>
  </si>
  <si>
    <t>Marketing, Advertising &amp; Promotion (% of Revenue)</t>
  </si>
  <si>
    <t>Marketing, Advertising &amp; Promotion</t>
  </si>
  <si>
    <t>General &amp; Admin savings</t>
  </si>
  <si>
    <t>Marketing savings</t>
  </si>
  <si>
    <t>Investments in Businesses</t>
  </si>
  <si>
    <t>CLOSE</t>
  </si>
  <si>
    <t>Accretion/Dilution Analysis</t>
  </si>
  <si>
    <t>Acquirer Net Earnings</t>
  </si>
  <si>
    <t>Target Net Earnings</t>
  </si>
  <si>
    <t>Pro Forma Net Earnings</t>
  </si>
  <si>
    <t>Acquirer Shares O/S</t>
  </si>
  <si>
    <t>Target Share O/S</t>
  </si>
  <si>
    <t>Pro Forma Shares O/S</t>
  </si>
  <si>
    <t>Pro Forma Shares Outstanding</t>
  </si>
  <si>
    <t>Shares Issued</t>
  </si>
  <si>
    <t>Acquirer EPS</t>
  </si>
  <si>
    <t>Target EPS</t>
  </si>
  <si>
    <t>Pro Forma EPS</t>
  </si>
  <si>
    <t>Accretion/Dilution</t>
  </si>
  <si>
    <t>Acquirer Cash Flow</t>
  </si>
  <si>
    <t>Target Cash Flow</t>
  </si>
  <si>
    <t>Pro Forma Cash Flow</t>
  </si>
  <si>
    <t>Acquirer CFPS</t>
  </si>
  <si>
    <t>Target CFPS</t>
  </si>
  <si>
    <t>Pro Forma CFPS</t>
  </si>
  <si>
    <t>Earnings Per Share</t>
  </si>
  <si>
    <t>Cash Flow Per Share</t>
  </si>
  <si>
    <t>Interest Rate</t>
  </si>
  <si>
    <t>Opening Balance</t>
  </si>
  <si>
    <t>Addition (Repayment)</t>
  </si>
  <si>
    <t>Closing Balance</t>
  </si>
  <si>
    <t>Share Issuance Discount</t>
  </si>
  <si>
    <t>Closing Balance Sheet</t>
  </si>
  <si>
    <t>Pro Forma Model</t>
  </si>
  <si>
    <t>Table of Contents</t>
  </si>
  <si>
    <t>Replace Acquirer Debt</t>
  </si>
  <si>
    <t>Acquirer Debt</t>
  </si>
  <si>
    <t>Total Debt</t>
  </si>
  <si>
    <t>Debt Amortization Schedule</t>
  </si>
  <si>
    <t>Debt Tranche</t>
  </si>
  <si>
    <t>Debt Schedule</t>
  </si>
  <si>
    <t>Interest Schedule</t>
  </si>
  <si>
    <t>Interest Rates</t>
  </si>
  <si>
    <t xml:space="preserve">Total </t>
  </si>
  <si>
    <t>LIVE --&gt;</t>
  </si>
  <si>
    <t>Dividends Paid</t>
  </si>
  <si>
    <t>Payment of Dividends</t>
  </si>
  <si>
    <t>2019 EPS Accretion/(Dilution)</t>
  </si>
  <si>
    <t>Target Sh Price</t>
  </si>
  <si>
    <t>Rev Enhance</t>
  </si>
  <si>
    <t>Target Shares Outstanding</t>
  </si>
  <si>
    <t>Takeover</t>
  </si>
  <si>
    <t>IRR (Current Share Price)</t>
  </si>
  <si>
    <t>Change in Acquirer NPV per Share</t>
  </si>
  <si>
    <t>Share Price Impact</t>
  </si>
  <si>
    <t>Acquirer Price per Share</t>
  </si>
  <si>
    <t>Target Price per Share</t>
  </si>
  <si>
    <t>Pro Forma Price per Share</t>
  </si>
  <si>
    <t>Market Price</t>
  </si>
  <si>
    <t>Summary &amp; Sensitivity</t>
  </si>
  <si>
    <t>Capital Structure</t>
  </si>
  <si>
    <t>Debt</t>
  </si>
  <si>
    <t>Equity</t>
  </si>
  <si>
    <t>Current</t>
  </si>
  <si>
    <t>Pro Forma</t>
  </si>
  <si>
    <t>Change</t>
  </si>
  <si>
    <t>Share Issuance Price</t>
  </si>
  <si>
    <t>Interest Expense (opening balance)</t>
  </si>
  <si>
    <t>na</t>
  </si>
  <si>
    <t>Implied Share Price Change</t>
  </si>
  <si>
    <t>Perpetual Growth Rate</t>
  </si>
  <si>
    <t>EV/EBITDA Multiple</t>
  </si>
  <si>
    <t>Synergies in Year 1 (full yr.)</t>
  </si>
  <si>
    <t>Pro Forma Consolidated Balance Sheet</t>
  </si>
  <si>
    <t>Uses of Cash</t>
  </si>
  <si>
    <t>Stock Consideration</t>
  </si>
  <si>
    <t>Target Debt - Replace</t>
  </si>
  <si>
    <t>Acquirer Debt - Replace</t>
  </si>
  <si>
    <t>Debt Financing Fees</t>
  </si>
  <si>
    <t>Equity Financing Fees</t>
  </si>
  <si>
    <t>Total Uses</t>
  </si>
  <si>
    <t>Online Company Inc</t>
  </si>
  <si>
    <t>Brick 'n' Mortar Co</t>
  </si>
  <si>
    <t>$ 000s</t>
  </si>
  <si>
    <t>USD</t>
  </si>
  <si>
    <t>Yes</t>
  </si>
  <si>
    <t>No</t>
  </si>
  <si>
    <t>Debt + Equity</t>
  </si>
  <si>
    <t>Fees</t>
  </si>
  <si>
    <t>Re - Fi Debt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</si>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</sst>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0.0\x"/>
    <numFmt numFmtId="166" formatCode="_-* #,##0_-;\(#,##0\)_-;_-* &quot;-&quot;_-;_-@_-"/>
    <numFmt numFmtId="167" formatCode="_(* #,##0_);_(* \(#,##0\);_(* &quot;-&quot;??_);_(@_)"/>
    <numFmt numFmtId="168" formatCode="_-* #,##0_-;\-* #,##0_-;_-* &quot;-&quot;??_-;_-@_-"/>
    <numFmt numFmtId="169" formatCode="0.0%"/>
    <numFmt numFmtId="170" formatCode="0.0000_ ;\-0.0000\ "/>
    <numFmt numFmtId="171" formatCode="_-* #,##0.00_-;\(#,##0.00\)_-;_-* &quot;-&quot;_-;_-@_-"/>
    <numFmt numFmtId="172" formatCode="_-* #,##0.000_-;\(#,##0.000\)_-;_-* &quot;-&quot;_-;_-@_-"/>
    <numFmt numFmtId="173" formatCode="0.000"/>
    <numFmt numFmtId="174" formatCode="0&quot;A&quot;"/>
    <numFmt numFmtId="175" formatCode="0&quot;E&quot;"/>
    <numFmt numFmtId="176" formatCode="m/d/yyyy\ &quot;Stub&quot;"/>
  </numFmts>
  <fonts count="7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u/>
      <sz val="10"/>
      <color theme="10"/>
      <name val="Arial"/>
      <family val="2"/>
    </font>
    <font>
      <b/>
      <sz val="12"/>
      <color indexed="8"/>
      <name val="Arial Narrow"/>
      <family val="2"/>
    </font>
    <font>
      <i/>
      <sz val="12"/>
      <name val="Arial Narrow"/>
      <family val="2"/>
    </font>
    <font>
      <sz val="12"/>
      <color rgb="FF00B050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sz val="22"/>
      <color theme="1"/>
      <name val="Arial Narrow"/>
      <family val="2"/>
    </font>
    <font>
      <u/>
      <sz val="10"/>
      <color theme="1"/>
      <name val="Arial"/>
      <family val="2"/>
    </font>
    <font>
      <sz val="12"/>
      <color theme="1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indexed="8"/>
      <name val="Arial Narrow"/>
      <family val="2"/>
    </font>
    <font>
      <i/>
      <sz val="12"/>
      <color rgb="FF0000FF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rgb="FF0000FF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B050"/>
      <name val="Arial Narrow"/>
      <family val="2"/>
    </font>
    <font>
      <sz val="11"/>
      <color theme="1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B050"/>
      <name val="Arial Narrow"/>
      <family val="2"/>
    </font>
    <font>
      <sz val="11"/>
      <color theme="0"/>
      <name val="Arial Narrow"/>
      <family val="2"/>
    </font>
    <font>
      <sz val="14"/>
      <color theme="1"/>
      <name val="Arial Narrow"/>
      <family val="2"/>
    </font>
    <font>
      <b/>
      <sz val="20"/>
      <color theme="1"/>
      <name val="Arial Narrow"/>
      <family val="2"/>
    </font>
    <font>
      <u/>
      <sz val="20"/>
      <color rgb="FF132E57"/>
      <name val="Arial"/>
      <family val="2"/>
    </font>
    <font>
      <sz val="20"/>
      <color theme="1"/>
      <name val="Arial Narrow"/>
      <family val="2"/>
    </font>
    <font>
      <sz val="14"/>
      <color theme="0"/>
      <name val="Arial Narrow"/>
      <family val="2"/>
    </font>
    <font>
      <i/>
      <sz val="14"/>
      <color theme="1"/>
      <name val="Arial Narrow"/>
      <family val="2"/>
    </font>
    <font>
      <sz val="14"/>
      <name val="Arial Narrow"/>
      <family val="2"/>
    </font>
    <font>
      <sz val="14"/>
      <color rgb="FF0000FF"/>
      <name val="Arial Narrow"/>
      <family val="2"/>
    </font>
    <font>
      <sz val="14"/>
      <color rgb="FF000000"/>
      <name val="Arial Narrow"/>
      <family val="2"/>
    </font>
    <font>
      <sz val="14"/>
      <color rgb="FF00B050"/>
      <name val="Arial Narrow"/>
      <family val="2"/>
    </font>
    <font>
      <i/>
      <sz val="14"/>
      <color rgb="FF0000FF"/>
      <name val="Arial Narrow"/>
      <family val="2"/>
    </font>
    <font>
      <b/>
      <u val="singleAccounting"/>
      <sz val="14"/>
      <color theme="1"/>
      <name val="Arial Narrow"/>
      <family val="2"/>
    </font>
    <font>
      <b/>
      <sz val="14"/>
      <color rgb="FF00B050"/>
      <name val="Arial Narrow"/>
      <family val="2"/>
    </font>
    <font>
      <b/>
      <sz val="14"/>
      <name val="Arial Narrow"/>
      <family val="2"/>
    </font>
    <font>
      <i/>
      <sz val="14"/>
      <color indexed="8"/>
      <name val="Arial Narrow"/>
      <family val="2"/>
    </font>
    <font>
      <i/>
      <sz val="14"/>
      <name val="Arial Narrow"/>
      <family val="2"/>
    </font>
    <font>
      <i/>
      <sz val="14"/>
      <color rgb="FF00B050"/>
      <name val="Arial Narrow"/>
      <family val="2"/>
    </font>
    <font>
      <b/>
      <sz val="14"/>
      <color rgb="FF0000FF"/>
      <name val="Arial Narrow"/>
      <family val="2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rgb="FF000000"/>
      <name val="Arial Narrow"/>
      <family val="2"/>
    </font>
    <font>
      <sz val="14"/>
      <name val="Arial"/>
      <family val="2"/>
    </font>
    <font>
      <b/>
      <sz val="26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/>
      <top style="double">
        <color rgb="FF000000"/>
      </top>
      <bottom/>
      <diagonal/>
    </border>
  </borders>
  <cellStyleXfs count="26">
    <xf numFmtId="0" fontId="0" fillId="0" borderId="0"/>
    <xf numFmtId="0" fontId="4" fillId="0" borderId="0" applyAlignment="0"/>
    <xf numFmtId="0" fontId="5" fillId="0" borderId="0" applyAlignment="0"/>
    <xf numFmtId="0" fontId="6" fillId="2" borderId="0" applyAlignment="0"/>
    <xf numFmtId="0" fontId="7" fillId="3" borderId="0" applyAlignment="0"/>
    <xf numFmtId="0" fontId="8" fillId="4" borderId="0" applyAlignment="0"/>
    <xf numFmtId="0" fontId="9" fillId="5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3" fillId="0" borderId="0" applyAlignment="0">
      <alignment wrapText="1"/>
    </xf>
    <xf numFmtId="0" fontId="15" fillId="0" borderId="0" applyAlignment="0"/>
    <xf numFmtId="0" fontId="16" fillId="0" borderId="0" applyAlignment="0"/>
    <xf numFmtId="0" fontId="17" fillId="0" borderId="0" applyAlignment="0"/>
    <xf numFmtId="0" fontId="18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</cellStyleXfs>
  <cellXfs count="355">
    <xf numFmtId="0" fontId="0" fillId="0" borderId="0" xfId="0"/>
    <xf numFmtId="166" fontId="41" fillId="0" borderId="0" xfId="19" applyNumberFormat="1" applyFont="1" applyProtection="1"/>
    <xf numFmtId="166" fontId="46" fillId="0" borderId="0" xfId="19" applyNumberFormat="1" applyFont="1" applyProtection="1"/>
    <xf numFmtId="166" fontId="34" fillId="0" borderId="0" xfId="19" applyNumberFormat="1" applyFont="1" applyProtection="1"/>
    <xf numFmtId="166" fontId="41" fillId="0" borderId="1" xfId="19" applyNumberFormat="1" applyFont="1" applyBorder="1" applyProtection="1"/>
    <xf numFmtId="166" fontId="34" fillId="0" borderId="0" xfId="19" applyNumberFormat="1" applyFont="1" applyFill="1" applyProtection="1"/>
    <xf numFmtId="166" fontId="41" fillId="0" borderId="0" xfId="19" applyNumberFormat="1" applyFont="1" applyFill="1" applyProtection="1"/>
    <xf numFmtId="166" fontId="34" fillId="0" borderId="1" xfId="19" applyNumberFormat="1" applyFont="1" applyBorder="1" applyProtection="1"/>
    <xf numFmtId="166" fontId="34" fillId="11" borderId="0" xfId="19" applyNumberFormat="1" applyFont="1" applyFill="1" applyProtection="1"/>
    <xf numFmtId="166" fontId="23" fillId="0" borderId="1" xfId="19" applyNumberFormat="1" applyFont="1" applyBorder="1" applyProtection="1"/>
    <xf numFmtId="169" fontId="34" fillId="0" borderId="0" xfId="23" applyNumberFormat="1" applyFont="1" applyProtection="1"/>
    <xf numFmtId="169" fontId="29" fillId="0" borderId="0" xfId="23" applyNumberFormat="1" applyFont="1" applyProtection="1"/>
    <xf numFmtId="166" fontId="52" fillId="0" borderId="0" xfId="19" applyNumberFormat="1" applyFont="1" applyProtection="1"/>
    <xf numFmtId="166" fontId="58" fillId="0" borderId="1" xfId="19" applyNumberFormat="1" applyFont="1" applyBorder="1" applyProtection="1"/>
    <xf numFmtId="167" fontId="52" fillId="0" borderId="0" xfId="19" applyNumberFormat="1" applyFont="1" applyProtection="1"/>
    <xf numFmtId="166" fontId="58" fillId="0" borderId="0" xfId="19" applyNumberFormat="1" applyFont="1" applyFill="1" applyProtection="1"/>
    <xf numFmtId="166" fontId="52" fillId="0" borderId="1" xfId="19" applyNumberFormat="1" applyFont="1" applyBorder="1" applyProtection="1"/>
    <xf numFmtId="166" fontId="52" fillId="0" borderId="0" xfId="19" applyNumberFormat="1" applyFont="1" applyFill="1" applyProtection="1"/>
    <xf numFmtId="166" fontId="52" fillId="0" borderId="0" xfId="19" applyNumberFormat="1" applyFont="1" applyFill="1" applyAlignment="1" applyProtection="1">
      <alignment horizontal="center"/>
    </xf>
    <xf numFmtId="166" fontId="74" fillId="0" borderId="0" xfId="19" applyNumberFormat="1" applyFont="1" applyFill="1" applyAlignment="1" applyProtection="1"/>
    <xf numFmtId="166" fontId="52" fillId="0" borderId="0" xfId="19" applyNumberFormat="1" applyFont="1" applyFill="1" applyAlignment="1" applyProtection="1">
      <alignment horizontal="centerContinuous"/>
    </xf>
    <xf numFmtId="166" fontId="30" fillId="0" borderId="0" xfId="19" applyNumberFormat="1" applyFont="1" applyFill="1" applyAlignment="1" applyProtection="1">
      <alignment horizontal="centerContinuous"/>
    </xf>
    <xf numFmtId="166" fontId="22" fillId="8" borderId="0" xfId="19" applyNumberFormat="1" applyFont="1" applyFill="1" applyAlignment="1" applyProtection="1"/>
    <xf numFmtId="166" fontId="22" fillId="8" borderId="0" xfId="19" applyNumberFormat="1" applyFont="1" applyFill="1" applyAlignment="1" applyProtection="1">
      <alignment horizontal="center"/>
    </xf>
    <xf numFmtId="174" fontId="22" fillId="8" borderId="0" xfId="19" applyNumberFormat="1" applyFont="1" applyFill="1" applyAlignment="1" applyProtection="1"/>
    <xf numFmtId="175" fontId="22" fillId="8" borderId="0" xfId="19" applyNumberFormat="1" applyFont="1" applyFill="1" applyAlignment="1" applyProtection="1"/>
    <xf numFmtId="176" fontId="22" fillId="12" borderId="0" xfId="19" applyNumberFormat="1" applyFont="1" applyFill="1" applyAlignment="1" applyProtection="1"/>
    <xf numFmtId="166" fontId="66" fillId="0" borderId="0" xfId="19" applyNumberFormat="1" applyFont="1" applyProtection="1"/>
    <xf numFmtId="166" fontId="66" fillId="0" borderId="0" xfId="19" applyNumberFormat="1" applyFont="1" applyAlignment="1" applyProtection="1">
      <alignment horizontal="center"/>
    </xf>
    <xf numFmtId="166" fontId="67" fillId="0" borderId="0" xfId="19" applyNumberFormat="1" applyFont="1" applyAlignment="1" applyProtection="1">
      <alignment horizontal="right"/>
    </xf>
    <xf numFmtId="166" fontId="57" fillId="0" borderId="0" xfId="19" applyNumberFormat="1" applyFont="1" applyProtection="1"/>
    <xf numFmtId="166" fontId="52" fillId="0" borderId="0" xfId="19" applyNumberFormat="1" applyFont="1" applyAlignment="1" applyProtection="1">
      <alignment horizontal="center"/>
    </xf>
    <xf numFmtId="14" fontId="62" fillId="0" borderId="0" xfId="19" applyNumberFormat="1" applyFont="1" applyAlignment="1" applyProtection="1">
      <alignment horizontal="right"/>
    </xf>
    <xf numFmtId="14" fontId="57" fillId="0" borderId="0" xfId="19" applyNumberFormat="1" applyFont="1" applyAlignment="1" applyProtection="1">
      <alignment horizontal="right"/>
    </xf>
    <xf numFmtId="14" fontId="68" fillId="0" borderId="0" xfId="19" applyNumberFormat="1" applyFont="1" applyAlignment="1" applyProtection="1">
      <alignment horizontal="right"/>
    </xf>
    <xf numFmtId="166" fontId="62" fillId="0" borderId="0" xfId="19" applyNumberFormat="1" applyFont="1" applyAlignment="1" applyProtection="1">
      <alignment horizontal="right"/>
    </xf>
    <xf numFmtId="166" fontId="57" fillId="0" borderId="0" xfId="19" applyNumberFormat="1" applyFont="1" applyAlignment="1" applyProtection="1">
      <alignment horizontal="right"/>
    </xf>
    <xf numFmtId="166" fontId="66" fillId="0" borderId="0" xfId="19" applyNumberFormat="1" applyFont="1" applyAlignment="1" applyProtection="1">
      <alignment horizontal="right"/>
    </xf>
    <xf numFmtId="172" fontId="62" fillId="0" borderId="0" xfId="19" applyNumberFormat="1" applyFont="1" applyAlignment="1" applyProtection="1">
      <alignment horizontal="right"/>
    </xf>
    <xf numFmtId="172" fontId="57" fillId="0" borderId="0" xfId="19" applyNumberFormat="1" applyFont="1" applyAlignment="1" applyProtection="1">
      <alignment horizontal="right"/>
    </xf>
    <xf numFmtId="172" fontId="66" fillId="0" borderId="0" xfId="19" applyNumberFormat="1" applyFont="1" applyAlignment="1" applyProtection="1">
      <alignment horizontal="right"/>
    </xf>
    <xf numFmtId="172" fontId="67" fillId="0" borderId="0" xfId="19" applyNumberFormat="1" applyFont="1" applyAlignment="1" applyProtection="1">
      <alignment horizontal="right"/>
    </xf>
    <xf numFmtId="166" fontId="22" fillId="8" borderId="0" xfId="19" applyNumberFormat="1" applyFont="1" applyFill="1" applyBorder="1" applyProtection="1"/>
    <xf numFmtId="166" fontId="58" fillId="8" borderId="0" xfId="19" applyNumberFormat="1" applyFont="1" applyFill="1" applyBorder="1" applyProtection="1"/>
    <xf numFmtId="166" fontId="58" fillId="8" borderId="0" xfId="19" applyNumberFormat="1" applyFont="1" applyFill="1" applyBorder="1" applyAlignment="1" applyProtection="1">
      <alignment horizontal="center"/>
    </xf>
    <xf numFmtId="166" fontId="59" fillId="0" borderId="0" xfId="19" applyNumberFormat="1" applyFont="1" applyFill="1" applyProtection="1"/>
    <xf numFmtId="166" fontId="69" fillId="11" borderId="5" xfId="19" applyNumberFormat="1" applyFont="1" applyFill="1" applyBorder="1" applyAlignment="1" applyProtection="1">
      <alignment horizontal="right"/>
    </xf>
    <xf numFmtId="166" fontId="30" fillId="0" borderId="0" xfId="19" applyNumberFormat="1" applyFont="1" applyProtection="1"/>
    <xf numFmtId="166" fontId="52" fillId="0" borderId="0" xfId="19" applyNumberFormat="1" applyFont="1" applyFill="1" applyBorder="1" applyProtection="1"/>
    <xf numFmtId="166" fontId="52" fillId="0" borderId="0" xfId="19" applyNumberFormat="1" applyFont="1" applyFill="1" applyBorder="1" applyAlignment="1" applyProtection="1">
      <alignment horizontal="center"/>
    </xf>
    <xf numFmtId="9" fontId="30" fillId="0" borderId="0" xfId="20" applyFont="1" applyFill="1" applyBorder="1" applyProtection="1"/>
    <xf numFmtId="10" fontId="52" fillId="0" borderId="0" xfId="20" applyNumberFormat="1" applyFont="1" applyFill="1" applyBorder="1" applyProtection="1"/>
    <xf numFmtId="166" fontId="30" fillId="0" borderId="1" xfId="19" applyNumberFormat="1" applyFont="1" applyBorder="1" applyProtection="1"/>
    <xf numFmtId="166" fontId="30" fillId="0" borderId="1" xfId="19" applyNumberFormat="1" applyFont="1" applyBorder="1" applyAlignment="1" applyProtection="1">
      <alignment horizontal="center"/>
    </xf>
    <xf numFmtId="166" fontId="65" fillId="0" borderId="1" xfId="19" applyNumberFormat="1" applyFont="1" applyFill="1" applyBorder="1" applyProtection="1"/>
    <xf numFmtId="169" fontId="58" fillId="0" borderId="1" xfId="20" applyNumberFormat="1" applyFont="1" applyFill="1" applyBorder="1" applyProtection="1"/>
    <xf numFmtId="169" fontId="59" fillId="0" borderId="1" xfId="20" applyNumberFormat="1" applyFont="1" applyFill="1" applyBorder="1" applyProtection="1"/>
    <xf numFmtId="166" fontId="52" fillId="0" borderId="0" xfId="19" applyNumberFormat="1" applyFont="1" applyBorder="1" applyProtection="1"/>
    <xf numFmtId="166" fontId="52" fillId="0" borderId="0" xfId="19" applyNumberFormat="1" applyFont="1" applyBorder="1" applyAlignment="1" applyProtection="1">
      <alignment horizontal="center"/>
    </xf>
    <xf numFmtId="169" fontId="58" fillId="0" borderId="0" xfId="20" applyNumberFormat="1" applyFont="1" applyFill="1" applyBorder="1" applyProtection="1"/>
    <xf numFmtId="169" fontId="59" fillId="0" borderId="0" xfId="20" applyNumberFormat="1" applyFont="1" applyFill="1" applyBorder="1" applyProtection="1"/>
    <xf numFmtId="166" fontId="58" fillId="0" borderId="0" xfId="19" applyNumberFormat="1" applyFont="1" applyFill="1" applyBorder="1" applyProtection="1"/>
    <xf numFmtId="166" fontId="59" fillId="0" borderId="0" xfId="19" applyNumberFormat="1" applyFont="1" applyFill="1" applyBorder="1" applyProtection="1"/>
    <xf numFmtId="166" fontId="57" fillId="0" borderId="0" xfId="19" applyNumberFormat="1" applyFont="1" applyBorder="1" applyProtection="1"/>
    <xf numFmtId="166" fontId="57" fillId="0" borderId="0" xfId="19" applyNumberFormat="1" applyFont="1" applyBorder="1" applyAlignment="1" applyProtection="1">
      <alignment horizontal="center"/>
    </xf>
    <xf numFmtId="9" fontId="59" fillId="0" borderId="0" xfId="20" applyFont="1" applyFill="1" applyAlignment="1" applyProtection="1">
      <alignment horizontal="center"/>
    </xf>
    <xf numFmtId="166" fontId="30" fillId="0" borderId="0" xfId="19" applyNumberFormat="1" applyFont="1" applyBorder="1" applyProtection="1"/>
    <xf numFmtId="166" fontId="30" fillId="0" borderId="0" xfId="19" applyNumberFormat="1" applyFont="1" applyBorder="1" applyAlignment="1" applyProtection="1">
      <alignment horizontal="center"/>
    </xf>
    <xf numFmtId="166" fontId="69" fillId="0" borderId="0" xfId="19" applyNumberFormat="1" applyFont="1" applyBorder="1" applyProtection="1"/>
    <xf numFmtId="166" fontId="65" fillId="0" borderId="0" xfId="19" applyNumberFormat="1" applyFont="1" applyBorder="1" applyProtection="1"/>
    <xf numFmtId="166" fontId="30" fillId="0" borderId="0" xfId="19" applyNumberFormat="1" applyFont="1" applyAlignment="1" applyProtection="1">
      <alignment horizontal="center"/>
    </xf>
    <xf numFmtId="166" fontId="69" fillId="0" borderId="0" xfId="19" applyNumberFormat="1" applyFont="1" applyProtection="1"/>
    <xf numFmtId="166" fontId="30" fillId="0" borderId="0" xfId="19" applyNumberFormat="1" applyFont="1" applyFill="1" applyProtection="1"/>
    <xf numFmtId="166" fontId="70" fillId="0" borderId="0" xfId="19" applyNumberFormat="1" applyFont="1" applyProtection="1"/>
    <xf numFmtId="166" fontId="59" fillId="0" borderId="0" xfId="19" applyNumberFormat="1" applyFont="1" applyBorder="1" applyProtection="1"/>
    <xf numFmtId="167" fontId="52" fillId="0" borderId="0" xfId="19" applyNumberFormat="1" applyFont="1" applyFill="1" applyBorder="1" applyProtection="1"/>
    <xf numFmtId="166" fontId="71" fillId="0" borderId="0" xfId="19" applyNumberFormat="1" applyFont="1" applyProtection="1"/>
    <xf numFmtId="166" fontId="65" fillId="0" borderId="1" xfId="19" applyNumberFormat="1" applyFont="1" applyBorder="1" applyProtection="1"/>
    <xf numFmtId="9" fontId="69" fillId="0" borderId="0" xfId="20" applyFont="1" applyBorder="1" applyProtection="1"/>
    <xf numFmtId="166" fontId="59" fillId="0" borderId="0" xfId="19" applyNumberFormat="1" applyFont="1" applyProtection="1"/>
    <xf numFmtId="166" fontId="52" fillId="0" borderId="2" xfId="19" applyNumberFormat="1" applyFont="1" applyBorder="1" applyProtection="1"/>
    <xf numFmtId="166" fontId="52" fillId="0" borderId="2" xfId="19" applyNumberFormat="1" applyFont="1" applyBorder="1" applyAlignment="1" applyProtection="1">
      <alignment horizontal="center"/>
    </xf>
    <xf numFmtId="166" fontId="59" fillId="0" borderId="2" xfId="19" applyNumberFormat="1" applyFont="1" applyBorder="1" applyProtection="1"/>
    <xf numFmtId="166" fontId="58" fillId="0" borderId="2" xfId="19" applyNumberFormat="1" applyFont="1" applyBorder="1" applyProtection="1"/>
    <xf numFmtId="166" fontId="65" fillId="0" borderId="4" xfId="19" applyNumberFormat="1" applyFont="1" applyBorder="1" applyProtection="1"/>
    <xf numFmtId="167" fontId="52" fillId="0" borderId="0" xfId="19" applyNumberFormat="1" applyFont="1" applyFill="1" applyProtection="1"/>
    <xf numFmtId="166" fontId="30" fillId="0" borderId="3" xfId="19" applyNumberFormat="1" applyFont="1" applyBorder="1" applyProtection="1"/>
    <xf numFmtId="166" fontId="30" fillId="0" borderId="3" xfId="19" applyNumberFormat="1" applyFont="1" applyBorder="1" applyAlignment="1" applyProtection="1">
      <alignment horizontal="center"/>
    </xf>
    <xf numFmtId="166" fontId="65" fillId="0" borderId="3" xfId="19" applyNumberFormat="1" applyFont="1" applyBorder="1" applyProtection="1"/>
    <xf numFmtId="0" fontId="52" fillId="0" borderId="0" xfId="21" applyFont="1" applyProtection="1"/>
    <xf numFmtId="166" fontId="60" fillId="0" borderId="0" xfId="19" applyNumberFormat="1" applyFont="1" applyFill="1" applyBorder="1" applyAlignment="1" applyProtection="1"/>
    <xf numFmtId="168" fontId="52" fillId="0" borderId="0" xfId="19" applyNumberFormat="1" applyFont="1" applyProtection="1"/>
    <xf numFmtId="168" fontId="60" fillId="0" borderId="0" xfId="19" applyNumberFormat="1" applyFont="1" applyFill="1" applyBorder="1" applyAlignment="1" applyProtection="1"/>
    <xf numFmtId="167" fontId="60" fillId="0" borderId="0" xfId="19" applyNumberFormat="1" applyFont="1" applyFill="1" applyBorder="1" applyAlignment="1" applyProtection="1"/>
    <xf numFmtId="0" fontId="52" fillId="0" borderId="1" xfId="21" applyFont="1" applyBorder="1" applyProtection="1"/>
    <xf numFmtId="166" fontId="72" fillId="0" borderId="10" xfId="19" applyNumberFormat="1" applyFont="1" applyFill="1" applyBorder="1" applyAlignment="1" applyProtection="1"/>
    <xf numFmtId="166" fontId="72" fillId="0" borderId="11" xfId="19" applyNumberFormat="1" applyFont="1" applyFill="1" applyBorder="1" applyAlignment="1" applyProtection="1"/>
    <xf numFmtId="166" fontId="72" fillId="0" borderId="12" xfId="19" applyNumberFormat="1" applyFont="1" applyFill="1" applyBorder="1" applyAlignment="1" applyProtection="1"/>
    <xf numFmtId="166" fontId="72" fillId="0" borderId="0" xfId="19" applyNumberFormat="1" applyFont="1" applyFill="1" applyBorder="1" applyAlignment="1" applyProtection="1"/>
    <xf numFmtId="0" fontId="30" fillId="0" borderId="1" xfId="21" applyFont="1" applyBorder="1" applyProtection="1"/>
    <xf numFmtId="166" fontId="58" fillId="0" borderId="0" xfId="19" applyNumberFormat="1" applyFont="1" applyProtection="1"/>
    <xf numFmtId="166" fontId="30" fillId="0" borderId="4" xfId="19" applyNumberFormat="1" applyFont="1" applyBorder="1" applyProtection="1"/>
    <xf numFmtId="166" fontId="30" fillId="0" borderId="4" xfId="19" applyNumberFormat="1" applyFont="1" applyBorder="1" applyAlignment="1" applyProtection="1">
      <alignment horizontal="center"/>
    </xf>
    <xf numFmtId="170" fontId="57" fillId="0" borderId="0" xfId="19" applyNumberFormat="1" applyFont="1" applyProtection="1"/>
    <xf numFmtId="170" fontId="57" fillId="0" borderId="0" xfId="19" applyNumberFormat="1" applyFont="1" applyAlignment="1" applyProtection="1">
      <alignment horizontal="center"/>
    </xf>
    <xf numFmtId="166" fontId="52" fillId="0" borderId="1" xfId="19" applyNumberFormat="1" applyFont="1" applyBorder="1" applyAlignment="1" applyProtection="1">
      <alignment horizontal="center"/>
    </xf>
    <xf numFmtId="166" fontId="58" fillId="0" borderId="0" xfId="19" applyNumberFormat="1" applyFont="1" applyBorder="1" applyProtection="1"/>
    <xf numFmtId="166" fontId="65" fillId="0" borderId="0" xfId="19" applyNumberFormat="1" applyFont="1" applyProtection="1"/>
    <xf numFmtId="166" fontId="59" fillId="0" borderId="1" xfId="19" applyNumberFormat="1" applyFont="1" applyBorder="1" applyProtection="1"/>
    <xf numFmtId="9" fontId="59" fillId="0" borderId="1" xfId="20" applyFont="1" applyBorder="1" applyAlignment="1" applyProtection="1">
      <alignment horizontal="right"/>
    </xf>
    <xf numFmtId="9" fontId="59" fillId="0" borderId="0" xfId="20" applyFont="1" applyAlignment="1" applyProtection="1">
      <alignment horizontal="right"/>
    </xf>
    <xf numFmtId="165" fontId="59" fillId="0" borderId="0" xfId="19" applyNumberFormat="1" applyFont="1" applyAlignment="1" applyProtection="1">
      <alignment horizontal="right"/>
    </xf>
    <xf numFmtId="7" fontId="61" fillId="0" borderId="0" xfId="19" applyNumberFormat="1" applyFont="1" applyAlignment="1" applyProtection="1">
      <alignment horizontal="right"/>
    </xf>
    <xf numFmtId="168" fontId="61" fillId="0" borderId="0" xfId="19" applyNumberFormat="1" applyFont="1" applyAlignment="1" applyProtection="1">
      <alignment horizontal="right"/>
    </xf>
    <xf numFmtId="168" fontId="59" fillId="0" borderId="0" xfId="19" applyNumberFormat="1" applyFont="1" applyAlignment="1" applyProtection="1">
      <alignment horizontal="right"/>
    </xf>
    <xf numFmtId="14" fontId="59" fillId="0" borderId="0" xfId="19" applyNumberFormat="1" applyFont="1" applyProtection="1"/>
    <xf numFmtId="166" fontId="30" fillId="0" borderId="0" xfId="19" applyNumberFormat="1" applyFont="1" applyFill="1" applyAlignment="1" applyProtection="1">
      <alignment horizontal="right"/>
    </xf>
    <xf numFmtId="0" fontId="30" fillId="0" borderId="0" xfId="19" applyNumberFormat="1" applyFont="1" applyFill="1" applyAlignment="1" applyProtection="1">
      <alignment horizontal="right"/>
    </xf>
    <xf numFmtId="0" fontId="30" fillId="0" borderId="0" xfId="19" applyNumberFormat="1" applyFont="1" applyFill="1" applyProtection="1"/>
    <xf numFmtId="166" fontId="57" fillId="0" borderId="1" xfId="19" applyNumberFormat="1" applyFont="1" applyBorder="1" applyProtection="1"/>
    <xf numFmtId="14" fontId="68" fillId="0" borderId="1" xfId="19" applyNumberFormat="1" applyFont="1" applyBorder="1" applyProtection="1"/>
    <xf numFmtId="14" fontId="57" fillId="0" borderId="1" xfId="19" applyNumberFormat="1" applyFont="1" applyBorder="1" applyProtection="1"/>
    <xf numFmtId="167" fontId="52" fillId="0" borderId="1" xfId="19" applyNumberFormat="1" applyFont="1" applyBorder="1" applyProtection="1"/>
    <xf numFmtId="171" fontId="57" fillId="0" borderId="0" xfId="19" applyNumberFormat="1" applyFont="1" applyProtection="1"/>
    <xf numFmtId="171" fontId="52" fillId="0" borderId="0" xfId="19" applyNumberFormat="1" applyFont="1" applyProtection="1"/>
    <xf numFmtId="167" fontId="52" fillId="0" borderId="0" xfId="19" applyNumberFormat="1" applyFont="1" applyBorder="1" applyProtection="1"/>
    <xf numFmtId="166" fontId="30" fillId="0" borderId="1" xfId="19" applyNumberFormat="1" applyFont="1" applyFill="1" applyBorder="1" applyProtection="1"/>
    <xf numFmtId="9" fontId="52" fillId="0" borderId="0" xfId="20" applyFont="1" applyBorder="1" applyProtection="1"/>
    <xf numFmtId="166" fontId="52" fillId="0" borderId="0" xfId="19" applyNumberFormat="1" applyFont="1" applyAlignment="1" applyProtection="1">
      <alignment horizontal="right"/>
    </xf>
    <xf numFmtId="9" fontId="52" fillId="0" borderId="1" xfId="20" applyFont="1" applyBorder="1" applyProtection="1"/>
    <xf numFmtId="43" fontId="52" fillId="0" borderId="0" xfId="19" applyFont="1" applyProtection="1"/>
    <xf numFmtId="171" fontId="30" fillId="9" borderId="0" xfId="19" applyNumberFormat="1" applyFont="1" applyFill="1" applyProtection="1"/>
    <xf numFmtId="171" fontId="30" fillId="0" borderId="0" xfId="19" applyNumberFormat="1" applyFont="1" applyProtection="1"/>
    <xf numFmtId="166" fontId="74" fillId="0" borderId="0" xfId="19" applyNumberFormat="1" applyFont="1" applyFill="1" applyProtection="1"/>
    <xf numFmtId="166" fontId="70" fillId="0" borderId="1" xfId="19" applyNumberFormat="1" applyFont="1" applyBorder="1" applyProtection="1"/>
    <xf numFmtId="0" fontId="73" fillId="0" borderId="0" xfId="0" applyFont="1" applyProtection="1"/>
    <xf numFmtId="166" fontId="36" fillId="8" borderId="0" xfId="19" applyNumberFormat="1" applyFont="1" applyFill="1" applyAlignment="1" applyProtection="1"/>
    <xf numFmtId="166" fontId="36" fillId="8" borderId="0" xfId="19" applyNumberFormat="1" applyFont="1" applyFill="1" applyAlignment="1" applyProtection="1">
      <alignment horizontal="center"/>
    </xf>
    <xf numFmtId="166" fontId="36" fillId="7" borderId="0" xfId="19" applyNumberFormat="1" applyFont="1" applyFill="1" applyAlignment="1" applyProtection="1">
      <alignment horizontal="right"/>
    </xf>
    <xf numFmtId="166" fontId="37" fillId="0" borderId="0" xfId="19" applyNumberFormat="1" applyFont="1" applyProtection="1"/>
    <xf numFmtId="166" fontId="37" fillId="0" borderId="0" xfId="19" applyNumberFormat="1" applyFont="1" applyAlignment="1" applyProtection="1">
      <alignment horizontal="center"/>
    </xf>
    <xf numFmtId="166" fontId="37" fillId="0" borderId="0" xfId="19" applyNumberFormat="1" applyFont="1" applyAlignment="1" applyProtection="1">
      <alignment horizontal="right"/>
    </xf>
    <xf numFmtId="166" fontId="38" fillId="0" borderId="0" xfId="19" applyNumberFormat="1" applyFont="1" applyAlignment="1" applyProtection="1">
      <alignment horizontal="right"/>
    </xf>
    <xf numFmtId="166" fontId="39" fillId="0" borderId="0" xfId="19" applyNumberFormat="1" applyFont="1" applyProtection="1"/>
    <xf numFmtId="166" fontId="34" fillId="0" borderId="0" xfId="19" applyNumberFormat="1" applyFont="1" applyAlignment="1" applyProtection="1">
      <alignment horizontal="center"/>
    </xf>
    <xf numFmtId="14" fontId="40" fillId="0" borderId="0" xfId="19" applyNumberFormat="1" applyFont="1" applyAlignment="1" applyProtection="1">
      <alignment horizontal="right"/>
    </xf>
    <xf numFmtId="14" fontId="37" fillId="0" borderId="0" xfId="19" applyNumberFormat="1" applyFont="1" applyAlignment="1" applyProtection="1">
      <alignment horizontal="right"/>
    </xf>
    <xf numFmtId="166" fontId="40" fillId="0" borderId="0" xfId="19" applyNumberFormat="1" applyFont="1" applyAlignment="1" applyProtection="1">
      <alignment horizontal="right"/>
    </xf>
    <xf numFmtId="166" fontId="39" fillId="0" borderId="0" xfId="19" applyNumberFormat="1" applyFont="1" applyAlignment="1" applyProtection="1">
      <alignment horizontal="right"/>
    </xf>
    <xf numFmtId="172" fontId="40" fillId="0" borderId="0" xfId="19" applyNumberFormat="1" applyFont="1" applyAlignment="1" applyProtection="1">
      <alignment horizontal="right"/>
    </xf>
    <xf numFmtId="172" fontId="39" fillId="0" borderId="0" xfId="19" applyNumberFormat="1" applyFont="1" applyAlignment="1" applyProtection="1">
      <alignment horizontal="right"/>
    </xf>
    <xf numFmtId="166" fontId="35" fillId="8" borderId="0" xfId="19" applyNumberFormat="1" applyFont="1" applyFill="1" applyBorder="1" applyProtection="1"/>
    <xf numFmtId="166" fontId="41" fillId="8" borderId="0" xfId="19" applyNumberFormat="1" applyFont="1" applyFill="1" applyBorder="1" applyProtection="1"/>
    <xf numFmtId="166" fontId="41" fillId="8" borderId="0" xfId="19" applyNumberFormat="1" applyFont="1" applyFill="1" applyBorder="1" applyAlignment="1" applyProtection="1">
      <alignment horizontal="center"/>
    </xf>
    <xf numFmtId="166" fontId="42" fillId="0" borderId="0" xfId="19" applyNumberFormat="1" applyFont="1" applyFill="1" applyProtection="1"/>
    <xf numFmtId="166" fontId="23" fillId="0" borderId="0" xfId="19" applyNumberFormat="1" applyFont="1" applyProtection="1"/>
    <xf numFmtId="166" fontId="28" fillId="0" borderId="0" xfId="19" applyNumberFormat="1" applyFont="1" applyFill="1" applyAlignment="1" applyProtection="1">
      <alignment horizontal="right"/>
    </xf>
    <xf numFmtId="166" fontId="20" fillId="0" borderId="0" xfId="19" applyNumberFormat="1" applyFont="1" applyProtection="1"/>
    <xf numFmtId="9" fontId="28" fillId="0" borderId="0" xfId="23" applyFont="1" applyFill="1" applyProtection="1"/>
    <xf numFmtId="9" fontId="42" fillId="0" borderId="0" xfId="23" applyFont="1" applyFill="1" applyProtection="1"/>
    <xf numFmtId="166" fontId="34" fillId="0" borderId="0" xfId="19" applyNumberFormat="1" applyFont="1" applyBorder="1" applyProtection="1"/>
    <xf numFmtId="166" fontId="34" fillId="0" borderId="0" xfId="19" applyNumberFormat="1" applyFont="1" applyBorder="1" applyAlignment="1" applyProtection="1">
      <alignment horizontal="center"/>
    </xf>
    <xf numFmtId="166" fontId="41" fillId="0" borderId="0" xfId="19" applyNumberFormat="1" applyFont="1" applyFill="1" applyBorder="1" applyProtection="1"/>
    <xf numFmtId="166" fontId="42" fillId="0" borderId="0" xfId="19" applyNumberFormat="1" applyFont="1" applyFill="1" applyBorder="1" applyProtection="1"/>
    <xf numFmtId="166" fontId="41" fillId="0" borderId="0" xfId="19" applyNumberFormat="1" applyFont="1" applyBorder="1" applyProtection="1"/>
    <xf numFmtId="166" fontId="43" fillId="0" borderId="0" xfId="19" applyNumberFormat="1" applyFont="1" applyBorder="1" applyProtection="1"/>
    <xf numFmtId="166" fontId="43" fillId="0" borderId="0" xfId="19" applyNumberFormat="1" applyFont="1" applyBorder="1" applyAlignment="1" applyProtection="1">
      <alignment horizontal="center"/>
    </xf>
    <xf numFmtId="166" fontId="43" fillId="0" borderId="0" xfId="19" applyNumberFormat="1" applyFont="1" applyFill="1" applyBorder="1" applyProtection="1"/>
    <xf numFmtId="169" fontId="42" fillId="0" borderId="0" xfId="20" applyNumberFormat="1" applyFont="1" applyFill="1" applyBorder="1" applyProtection="1"/>
    <xf numFmtId="169" fontId="41" fillId="0" borderId="0" xfId="20" applyNumberFormat="1" applyFont="1" applyFill="1" applyBorder="1" applyAlignment="1" applyProtection="1">
      <alignment horizontal="right"/>
    </xf>
    <xf numFmtId="166" fontId="42" fillId="0" borderId="0" xfId="19" applyNumberFormat="1" applyFont="1" applyBorder="1" applyProtection="1"/>
    <xf numFmtId="166" fontId="42" fillId="0" borderId="0" xfId="19" applyNumberFormat="1" applyFont="1" applyBorder="1" applyAlignment="1" applyProtection="1">
      <alignment horizontal="center"/>
    </xf>
    <xf numFmtId="169" fontId="41" fillId="0" borderId="0" xfId="20" applyNumberFormat="1" applyFont="1" applyFill="1" applyBorder="1" applyProtection="1"/>
    <xf numFmtId="166" fontId="40" fillId="0" borderId="0" xfId="19" applyNumberFormat="1" applyFont="1" applyBorder="1" applyProtection="1"/>
    <xf numFmtId="166" fontId="40" fillId="0" borderId="0" xfId="19" applyNumberFormat="1" applyFont="1" applyBorder="1" applyAlignment="1" applyProtection="1">
      <alignment horizontal="center"/>
    </xf>
    <xf numFmtId="166" fontId="42" fillId="0" borderId="0" xfId="19" applyNumberFormat="1" applyFont="1" applyProtection="1"/>
    <xf numFmtId="9" fontId="42" fillId="0" borderId="0" xfId="20" applyFont="1" applyFill="1" applyAlignment="1" applyProtection="1">
      <alignment horizontal="center"/>
    </xf>
    <xf numFmtId="166" fontId="42" fillId="0" borderId="0" xfId="19" applyNumberFormat="1" applyFont="1" applyAlignment="1" applyProtection="1">
      <alignment horizontal="center"/>
    </xf>
    <xf numFmtId="166" fontId="44" fillId="0" borderId="0" xfId="19" applyNumberFormat="1" applyFont="1" applyBorder="1" applyProtection="1"/>
    <xf numFmtId="166" fontId="44" fillId="0" borderId="0" xfId="19" applyNumberFormat="1" applyFont="1" applyBorder="1" applyAlignment="1" applyProtection="1">
      <alignment horizontal="center"/>
    </xf>
    <xf numFmtId="166" fontId="45" fillId="0" borderId="0" xfId="19" applyNumberFormat="1" applyFont="1" applyBorder="1" applyProtection="1"/>
    <xf numFmtId="166" fontId="44" fillId="0" borderId="0" xfId="19" applyNumberFormat="1" applyFont="1" applyProtection="1"/>
    <xf numFmtId="166" fontId="44" fillId="0" borderId="0" xfId="19" applyNumberFormat="1" applyFont="1" applyAlignment="1" applyProtection="1">
      <alignment horizontal="center"/>
    </xf>
    <xf numFmtId="166" fontId="44" fillId="0" borderId="1" xfId="19" applyNumberFormat="1" applyFont="1" applyBorder="1" applyProtection="1"/>
    <xf numFmtId="166" fontId="44" fillId="0" borderId="1" xfId="19" applyNumberFormat="1" applyFont="1" applyBorder="1" applyAlignment="1" applyProtection="1">
      <alignment horizontal="center"/>
    </xf>
    <xf numFmtId="166" fontId="45" fillId="0" borderId="1" xfId="19" applyNumberFormat="1" applyFont="1" applyBorder="1" applyProtection="1"/>
    <xf numFmtId="9" fontId="43" fillId="0" borderId="0" xfId="20" applyFont="1" applyBorder="1" applyProtection="1"/>
    <xf numFmtId="166" fontId="34" fillId="0" borderId="2" xfId="19" applyNumberFormat="1" applyFont="1" applyBorder="1" applyProtection="1"/>
    <xf numFmtId="166" fontId="34" fillId="0" borderId="2" xfId="19" applyNumberFormat="1" applyFont="1" applyBorder="1" applyAlignment="1" applyProtection="1">
      <alignment horizontal="center"/>
    </xf>
    <xf numFmtId="166" fontId="41" fillId="0" borderId="2" xfId="19" applyNumberFormat="1" applyFont="1" applyBorder="1" applyProtection="1"/>
    <xf numFmtId="166" fontId="45" fillId="0" borderId="4" xfId="19" applyNumberFormat="1" applyFont="1" applyBorder="1" applyProtection="1"/>
    <xf numFmtId="167" fontId="34" fillId="0" borderId="0" xfId="19" applyNumberFormat="1" applyFont="1" applyFill="1" applyProtection="1"/>
    <xf numFmtId="166" fontId="44" fillId="0" borderId="3" xfId="19" applyNumberFormat="1" applyFont="1" applyBorder="1" applyProtection="1"/>
    <xf numFmtId="166" fontId="44" fillId="0" borderId="3" xfId="19" applyNumberFormat="1" applyFont="1" applyBorder="1" applyAlignment="1" applyProtection="1">
      <alignment horizontal="center"/>
    </xf>
    <xf numFmtId="166" fontId="45" fillId="0" borderId="3" xfId="19" applyNumberFormat="1" applyFont="1" applyBorder="1" applyProtection="1"/>
    <xf numFmtId="0" fontId="47" fillId="0" borderId="0" xfId="21" applyFont="1" applyProtection="1"/>
    <xf numFmtId="168" fontId="34" fillId="0" borderId="0" xfId="19" applyNumberFormat="1" applyFont="1" applyProtection="1"/>
    <xf numFmtId="167" fontId="34" fillId="0" borderId="0" xfId="19" applyNumberFormat="1" applyFont="1" applyProtection="1"/>
    <xf numFmtId="166" fontId="48" fillId="0" borderId="1" xfId="19" applyNumberFormat="1" applyFont="1" applyBorder="1" applyProtection="1"/>
    <xf numFmtId="0" fontId="47" fillId="0" borderId="1" xfId="21" applyFont="1" applyBorder="1" applyProtection="1"/>
    <xf numFmtId="166" fontId="49" fillId="0" borderId="0" xfId="19" applyNumberFormat="1" applyFont="1" applyProtection="1"/>
    <xf numFmtId="166" fontId="46" fillId="11" borderId="0" xfId="19" applyNumberFormat="1" applyFont="1" applyFill="1" applyProtection="1"/>
    <xf numFmtId="166" fontId="27" fillId="0" borderId="1" xfId="19" applyNumberFormat="1" applyFont="1" applyBorder="1" applyProtection="1"/>
    <xf numFmtId="0" fontId="31" fillId="0" borderId="1" xfId="21" applyFont="1" applyBorder="1" applyProtection="1"/>
    <xf numFmtId="166" fontId="24" fillId="0" borderId="1" xfId="19" applyNumberFormat="1" applyFont="1" applyBorder="1" applyProtection="1"/>
    <xf numFmtId="166" fontId="44" fillId="0" borderId="4" xfId="19" applyNumberFormat="1" applyFont="1" applyBorder="1" applyProtection="1"/>
    <xf numFmtId="166" fontId="44" fillId="0" borderId="4" xfId="19" applyNumberFormat="1" applyFont="1" applyBorder="1" applyAlignment="1" applyProtection="1">
      <alignment horizontal="center"/>
    </xf>
    <xf numFmtId="170" fontId="37" fillId="0" borderId="0" xfId="19" applyNumberFormat="1" applyFont="1" applyProtection="1"/>
    <xf numFmtId="170" fontId="37" fillId="0" borderId="0" xfId="19" applyNumberFormat="1" applyFont="1" applyAlignment="1" applyProtection="1">
      <alignment horizontal="center"/>
    </xf>
    <xf numFmtId="166" fontId="46" fillId="0" borderId="0" xfId="19" applyNumberFormat="1" applyFont="1" applyAlignment="1" applyProtection="1">
      <alignment horizontal="center"/>
    </xf>
    <xf numFmtId="166" fontId="34" fillId="0" borderId="1" xfId="19" applyNumberFormat="1" applyFont="1" applyBorder="1" applyAlignment="1" applyProtection="1">
      <alignment horizontal="center"/>
    </xf>
    <xf numFmtId="166" fontId="34" fillId="10" borderId="0" xfId="19" applyNumberFormat="1" applyFont="1" applyFill="1" applyProtection="1"/>
    <xf numFmtId="166" fontId="44" fillId="11" borderId="0" xfId="19" applyNumberFormat="1" applyFont="1" applyFill="1" applyProtection="1"/>
    <xf numFmtId="166" fontId="34" fillId="11" borderId="0" xfId="19" applyNumberFormat="1" applyFont="1" applyFill="1" applyAlignment="1" applyProtection="1">
      <alignment horizontal="center"/>
    </xf>
    <xf numFmtId="166" fontId="42" fillId="11" borderId="0" xfId="19" applyNumberFormat="1" applyFont="1" applyFill="1" applyProtection="1"/>
    <xf numFmtId="166" fontId="42" fillId="0" borderId="1" xfId="19" applyNumberFormat="1" applyFont="1" applyBorder="1" applyProtection="1"/>
    <xf numFmtId="166" fontId="46" fillId="0" borderId="1" xfId="19" applyNumberFormat="1" applyFont="1" applyBorder="1" applyProtection="1"/>
    <xf numFmtId="166" fontId="23" fillId="0" borderId="1" xfId="19" applyNumberFormat="1" applyFont="1" applyBorder="1" applyAlignment="1" applyProtection="1">
      <alignment horizontal="center"/>
    </xf>
    <xf numFmtId="166" fontId="25" fillId="0" borderId="1" xfId="19" applyNumberFormat="1" applyFont="1" applyBorder="1" applyProtection="1"/>
    <xf numFmtId="169" fontId="46" fillId="0" borderId="0" xfId="23" applyNumberFormat="1" applyFont="1" applyProtection="1"/>
    <xf numFmtId="166" fontId="24" fillId="0" borderId="1" xfId="19" applyNumberFormat="1" applyFont="1" applyBorder="1" applyAlignment="1" applyProtection="1">
      <alignment horizontal="center"/>
    </xf>
    <xf numFmtId="166" fontId="45" fillId="0" borderId="0" xfId="19" applyNumberFormat="1" applyFont="1" applyProtection="1"/>
    <xf numFmtId="9" fontId="42" fillId="0" borderId="1" xfId="20" applyFont="1" applyBorder="1" applyAlignment="1" applyProtection="1">
      <alignment horizontal="right"/>
    </xf>
    <xf numFmtId="9" fontId="42" fillId="0" borderId="0" xfId="20" applyFont="1" applyAlignment="1" applyProtection="1">
      <alignment horizontal="right"/>
    </xf>
    <xf numFmtId="165" fontId="42" fillId="0" borderId="0" xfId="19" applyNumberFormat="1" applyFont="1" applyAlignment="1" applyProtection="1">
      <alignment horizontal="right"/>
    </xf>
    <xf numFmtId="7" fontId="29" fillId="0" borderId="0" xfId="19" applyNumberFormat="1" applyFont="1" applyAlignment="1" applyProtection="1">
      <alignment horizontal="right"/>
    </xf>
    <xf numFmtId="168" fontId="46" fillId="0" borderId="0" xfId="19" applyNumberFormat="1" applyFont="1" applyAlignment="1" applyProtection="1">
      <alignment horizontal="right"/>
    </xf>
    <xf numFmtId="168" fontId="42" fillId="0" borderId="0" xfId="19" applyNumberFormat="1" applyFont="1" applyAlignment="1" applyProtection="1">
      <alignment horizontal="right"/>
    </xf>
    <xf numFmtId="14" fontId="42" fillId="0" borderId="0" xfId="19" applyNumberFormat="1" applyFont="1" applyProtection="1"/>
    <xf numFmtId="166" fontId="44" fillId="0" borderId="0" xfId="19" applyNumberFormat="1" applyFont="1" applyFill="1" applyProtection="1"/>
    <xf numFmtId="166" fontId="44" fillId="0" borderId="0" xfId="19" applyNumberFormat="1" applyFont="1" applyFill="1" applyAlignment="1" applyProtection="1">
      <alignment horizontal="right"/>
    </xf>
    <xf numFmtId="0" fontId="44" fillId="0" borderId="0" xfId="19" applyNumberFormat="1" applyFont="1" applyFill="1" applyAlignment="1" applyProtection="1">
      <alignment horizontal="right"/>
    </xf>
    <xf numFmtId="0" fontId="44" fillId="0" borderId="0" xfId="19" applyNumberFormat="1" applyFont="1" applyFill="1" applyProtection="1"/>
    <xf numFmtId="166" fontId="37" fillId="0" borderId="1" xfId="19" applyNumberFormat="1" applyFont="1" applyBorder="1" applyProtection="1"/>
    <xf numFmtId="14" fontId="50" fillId="0" borderId="1" xfId="19" applyNumberFormat="1" applyFont="1" applyBorder="1" applyProtection="1"/>
    <xf numFmtId="14" fontId="37" fillId="0" borderId="1" xfId="19" applyNumberFormat="1" applyFont="1" applyBorder="1" applyProtection="1"/>
    <xf numFmtId="167" fontId="34" fillId="0" borderId="1" xfId="19" applyNumberFormat="1" applyFont="1" applyBorder="1" applyProtection="1"/>
    <xf numFmtId="171" fontId="37" fillId="0" borderId="0" xfId="19" applyNumberFormat="1" applyFont="1" applyProtection="1"/>
    <xf numFmtId="171" fontId="34" fillId="0" borderId="0" xfId="19" applyNumberFormat="1" applyFont="1" applyProtection="1"/>
    <xf numFmtId="167" fontId="34" fillId="0" borderId="0" xfId="19" applyNumberFormat="1" applyFont="1" applyBorder="1" applyProtection="1"/>
    <xf numFmtId="166" fontId="44" fillId="0" borderId="1" xfId="19" applyNumberFormat="1" applyFont="1" applyFill="1" applyBorder="1" applyProtection="1"/>
    <xf numFmtId="166" fontId="25" fillId="0" borderId="0" xfId="19" applyNumberFormat="1" applyFont="1" applyProtection="1"/>
    <xf numFmtId="9" fontId="34" fillId="0" borderId="0" xfId="20" applyFont="1" applyBorder="1" applyProtection="1"/>
    <xf numFmtId="166" fontId="21" fillId="0" borderId="1" xfId="19" applyNumberFormat="1" applyFont="1" applyBorder="1" applyAlignment="1" applyProtection="1">
      <alignment horizontal="right"/>
    </xf>
    <xf numFmtId="9" fontId="34" fillId="0" borderId="1" xfId="20" applyFont="1" applyBorder="1" applyProtection="1"/>
    <xf numFmtId="43" fontId="34" fillId="0" borderId="0" xfId="19" applyFont="1" applyProtection="1"/>
    <xf numFmtId="171" fontId="44" fillId="9" borderId="0" xfId="19" applyNumberFormat="1" applyFont="1" applyFill="1" applyProtection="1"/>
    <xf numFmtId="171" fontId="44" fillId="0" borderId="0" xfId="19" applyNumberFormat="1" applyFont="1" applyProtection="1"/>
    <xf numFmtId="167" fontId="46" fillId="0" borderId="0" xfId="19" applyNumberFormat="1" applyFont="1" applyProtection="1"/>
    <xf numFmtId="166" fontId="29" fillId="0" borderId="0" xfId="19" applyNumberFormat="1" applyFont="1" applyProtection="1"/>
    <xf numFmtId="166" fontId="74" fillId="0" borderId="0" xfId="19" applyNumberFormat="1" applyFont="1" applyProtection="1"/>
    <xf numFmtId="166" fontId="30" fillId="11" borderId="0" xfId="19" applyNumberFormat="1" applyFont="1" applyFill="1" applyProtection="1"/>
    <xf numFmtId="166" fontId="52" fillId="11" borderId="0" xfId="19" applyNumberFormat="1" applyFont="1" applyFill="1" applyProtection="1"/>
    <xf numFmtId="166" fontId="52" fillId="11" borderId="0" xfId="19" applyNumberFormat="1" applyFont="1" applyFill="1" applyAlignment="1" applyProtection="1">
      <alignment horizontal="center"/>
    </xf>
    <xf numFmtId="166" fontId="59" fillId="0" borderId="0" xfId="19" applyNumberFormat="1" applyFont="1" applyAlignment="1" applyProtection="1">
      <alignment horizontal="right"/>
    </xf>
    <xf numFmtId="166" fontId="30" fillId="0" borderId="0" xfId="19" applyNumberFormat="1" applyFont="1" applyAlignment="1" applyProtection="1">
      <alignment horizontal="right"/>
    </xf>
    <xf numFmtId="166" fontId="30" fillId="0" borderId="5" xfId="19" applyNumberFormat="1" applyFont="1" applyFill="1" applyBorder="1" applyProtection="1"/>
    <xf numFmtId="7" fontId="59" fillId="0" borderId="0" xfId="19" applyNumberFormat="1" applyFont="1" applyFill="1" applyProtection="1"/>
    <xf numFmtId="166" fontId="60" fillId="14" borderId="10" xfId="19" applyNumberFormat="1" applyFont="1" applyFill="1" applyBorder="1" applyAlignment="1" applyProtection="1">
      <alignment horizontal="right"/>
    </xf>
    <xf numFmtId="166" fontId="59" fillId="0" borderId="10" xfId="19" applyNumberFormat="1" applyFont="1" applyFill="1" applyBorder="1" applyAlignment="1" applyProtection="1"/>
    <xf numFmtId="166" fontId="52" fillId="10" borderId="0" xfId="19" applyNumberFormat="1" applyFont="1" applyFill="1" applyAlignment="1" applyProtection="1">
      <alignment horizontal="right"/>
    </xf>
    <xf numFmtId="166" fontId="52" fillId="0" borderId="0" xfId="19" quotePrefix="1" applyNumberFormat="1" applyFont="1" applyProtection="1"/>
    <xf numFmtId="9" fontId="52" fillId="10" borderId="0" xfId="23" applyFont="1" applyFill="1" applyAlignment="1" applyProtection="1">
      <alignment horizontal="right"/>
    </xf>
    <xf numFmtId="9" fontId="59" fillId="0" borderId="0" xfId="23" applyFont="1" applyProtection="1"/>
    <xf numFmtId="169" fontId="59" fillId="0" borderId="0" xfId="23" applyNumberFormat="1" applyFont="1" applyProtection="1"/>
    <xf numFmtId="166" fontId="52" fillId="10" borderId="1" xfId="19" applyNumberFormat="1" applyFont="1" applyFill="1" applyBorder="1" applyProtection="1"/>
    <xf numFmtId="10" fontId="52" fillId="10" borderId="0" xfId="23" applyNumberFormat="1" applyFont="1" applyFill="1" applyAlignment="1" applyProtection="1">
      <alignment horizontal="right"/>
    </xf>
    <xf numFmtId="10" fontId="59" fillId="0" borderId="0" xfId="23" applyNumberFormat="1" applyFont="1" applyProtection="1"/>
    <xf numFmtId="169" fontId="59" fillId="0" borderId="0" xfId="23" applyNumberFormat="1" applyFont="1" applyFill="1" applyProtection="1"/>
    <xf numFmtId="166" fontId="52" fillId="10" borderId="0" xfId="19" applyNumberFormat="1" applyFont="1" applyFill="1" applyProtection="1"/>
    <xf numFmtId="7" fontId="58" fillId="0" borderId="0" xfId="19" applyNumberFormat="1" applyFont="1" applyProtection="1"/>
    <xf numFmtId="169" fontId="52" fillId="10" borderId="1" xfId="23" applyNumberFormat="1" applyFont="1" applyFill="1" applyBorder="1" applyAlignment="1" applyProtection="1">
      <alignment horizontal="right"/>
    </xf>
    <xf numFmtId="169" fontId="59" fillId="0" borderId="1" xfId="23" applyNumberFormat="1" applyFont="1" applyBorder="1" applyProtection="1"/>
    <xf numFmtId="169" fontId="52" fillId="10" borderId="0" xfId="23" applyNumberFormat="1" applyFont="1" applyFill="1" applyAlignment="1" applyProtection="1">
      <alignment horizontal="right"/>
    </xf>
    <xf numFmtId="7" fontId="52" fillId="0" borderId="0" xfId="19" applyNumberFormat="1" applyFont="1" applyProtection="1"/>
    <xf numFmtId="169" fontId="52" fillId="0" borderId="0" xfId="23" applyNumberFormat="1" applyFont="1" applyProtection="1"/>
    <xf numFmtId="7" fontId="52" fillId="0" borderId="1" xfId="19" applyNumberFormat="1" applyFont="1" applyBorder="1" applyProtection="1"/>
    <xf numFmtId="172" fontId="52" fillId="0" borderId="0" xfId="19" applyNumberFormat="1" applyFont="1" applyProtection="1"/>
    <xf numFmtId="166" fontId="52" fillId="0" borderId="1" xfId="19" applyNumberFormat="1" applyFont="1" applyFill="1" applyBorder="1" applyProtection="1"/>
    <xf numFmtId="166" fontId="61" fillId="0" borderId="0" xfId="19" applyNumberFormat="1" applyFont="1" applyFill="1" applyProtection="1"/>
    <xf numFmtId="166" fontId="30" fillId="11" borderId="0" xfId="19" applyNumberFormat="1" applyFont="1" applyFill="1" applyAlignment="1" applyProtection="1">
      <alignment horizontal="center"/>
    </xf>
    <xf numFmtId="166" fontId="61" fillId="0" borderId="1" xfId="19" applyNumberFormat="1" applyFont="1" applyFill="1" applyBorder="1" applyProtection="1"/>
    <xf numFmtId="166" fontId="59" fillId="0" borderId="1" xfId="19" applyNumberFormat="1" applyFont="1" applyBorder="1" applyAlignment="1" applyProtection="1">
      <alignment horizontal="right"/>
    </xf>
    <xf numFmtId="166" fontId="61" fillId="0" borderId="0" xfId="19" applyNumberFormat="1" applyFont="1" applyProtection="1"/>
    <xf numFmtId="166" fontId="57" fillId="0" borderId="0" xfId="19" applyNumberFormat="1" applyFont="1" applyAlignment="1" applyProtection="1">
      <alignment horizontal="center"/>
    </xf>
    <xf numFmtId="166" fontId="62" fillId="0" borderId="0" xfId="19" applyNumberFormat="1" applyFont="1" applyProtection="1"/>
    <xf numFmtId="14" fontId="61" fillId="0" borderId="1" xfId="19" applyNumberFormat="1" applyFont="1" applyBorder="1" applyProtection="1"/>
    <xf numFmtId="166" fontId="52" fillId="0" borderId="1" xfId="19" applyNumberFormat="1" applyFont="1" applyBorder="1" applyAlignment="1" applyProtection="1">
      <alignment horizontal="right"/>
    </xf>
    <xf numFmtId="14" fontId="58" fillId="0" borderId="1" xfId="19" applyNumberFormat="1" applyFont="1" applyBorder="1" applyProtection="1"/>
    <xf numFmtId="166" fontId="30" fillId="10" borderId="1" xfId="19" applyNumberFormat="1" applyFont="1" applyFill="1" applyBorder="1" applyProtection="1"/>
    <xf numFmtId="166" fontId="30" fillId="10" borderId="3" xfId="19" applyNumberFormat="1" applyFont="1" applyFill="1" applyBorder="1" applyProtection="1"/>
    <xf numFmtId="166" fontId="30" fillId="0" borderId="3" xfId="19" applyNumberFormat="1" applyFont="1" applyFill="1" applyBorder="1" applyProtection="1"/>
    <xf numFmtId="166" fontId="30" fillId="10" borderId="0" xfId="19" applyNumberFormat="1" applyFont="1" applyFill="1" applyBorder="1" applyProtection="1"/>
    <xf numFmtId="166" fontId="30" fillId="0" borderId="0" xfId="19" applyNumberFormat="1" applyFont="1" applyFill="1" applyBorder="1" applyProtection="1"/>
    <xf numFmtId="166" fontId="30" fillId="10" borderId="0" xfId="19" applyNumberFormat="1" applyFont="1" applyFill="1" applyProtection="1"/>
    <xf numFmtId="166" fontId="30" fillId="10" borderId="4" xfId="19" applyNumberFormat="1" applyFont="1" applyFill="1" applyBorder="1" applyProtection="1"/>
    <xf numFmtId="173" fontId="57" fillId="0" borderId="0" xfId="19" applyNumberFormat="1" applyFont="1" applyProtection="1"/>
    <xf numFmtId="166" fontId="63" fillId="0" borderId="0" xfId="19" applyNumberFormat="1" applyFont="1" applyProtection="1"/>
    <xf numFmtId="0" fontId="30" fillId="0" borderId="0" xfId="19" applyNumberFormat="1" applyFont="1" applyProtection="1"/>
    <xf numFmtId="43" fontId="52" fillId="0" borderId="1" xfId="19" applyFont="1" applyBorder="1" applyProtection="1"/>
    <xf numFmtId="166" fontId="63" fillId="10" borderId="0" xfId="19" applyNumberFormat="1" applyFont="1" applyFill="1" applyBorder="1" applyProtection="1"/>
    <xf numFmtId="166" fontId="30" fillId="0" borderId="8" xfId="19" applyNumberFormat="1" applyFont="1" applyFill="1" applyBorder="1" applyProtection="1"/>
    <xf numFmtId="166" fontId="30" fillId="0" borderId="4" xfId="19" applyNumberFormat="1" applyFont="1" applyFill="1" applyBorder="1" applyProtection="1"/>
    <xf numFmtId="166" fontId="30" fillId="0" borderId="4" xfId="19" applyNumberFormat="1" applyFont="1" applyFill="1" applyBorder="1" applyAlignment="1" applyProtection="1">
      <alignment horizontal="center"/>
    </xf>
    <xf numFmtId="9" fontId="30" fillId="0" borderId="4" xfId="23" applyFont="1" applyFill="1" applyBorder="1" applyProtection="1"/>
    <xf numFmtId="9" fontId="30" fillId="0" borderId="9" xfId="23" applyFont="1" applyFill="1" applyBorder="1" applyProtection="1"/>
    <xf numFmtId="9" fontId="52" fillId="0" borderId="0" xfId="23" applyFont="1" applyProtection="1"/>
    <xf numFmtId="166" fontId="30" fillId="11" borderId="0" xfId="19" applyNumberFormat="1" applyFont="1" applyFill="1" applyAlignment="1" applyProtection="1">
      <alignment horizontal="centerContinuous"/>
    </xf>
    <xf numFmtId="7" fontId="58" fillId="0" borderId="1" xfId="19" applyNumberFormat="1" applyFont="1" applyBorder="1" applyProtection="1"/>
    <xf numFmtId="7" fontId="61" fillId="0" borderId="1" xfId="19" applyNumberFormat="1" applyFont="1" applyBorder="1" applyProtection="1"/>
    <xf numFmtId="166" fontId="64" fillId="0" borderId="1" xfId="19" applyNumberFormat="1" applyFont="1" applyBorder="1" applyProtection="1"/>
    <xf numFmtId="169" fontId="30" fillId="0" borderId="1" xfId="23" applyNumberFormat="1" applyFont="1" applyBorder="1" applyProtection="1"/>
    <xf numFmtId="7" fontId="61" fillId="0" borderId="0" xfId="19" applyNumberFormat="1" applyFont="1" applyProtection="1"/>
    <xf numFmtId="169" fontId="52" fillId="0" borderId="0" xfId="23" applyNumberFormat="1" applyFont="1" applyBorder="1" applyProtection="1"/>
    <xf numFmtId="7" fontId="59" fillId="0" borderId="0" xfId="19" applyNumberFormat="1" applyFont="1" applyAlignment="1" applyProtection="1">
      <alignment horizontal="right"/>
    </xf>
    <xf numFmtId="169" fontId="58" fillId="0" borderId="1" xfId="23" applyNumberFormat="1" applyFont="1" applyBorder="1" applyProtection="1"/>
    <xf numFmtId="7" fontId="65" fillId="0" borderId="1" xfId="19" applyNumberFormat="1" applyFont="1" applyBorder="1" applyProtection="1"/>
    <xf numFmtId="169" fontId="52" fillId="0" borderId="0" xfId="19" applyNumberFormat="1" applyFont="1" applyProtection="1"/>
    <xf numFmtId="169" fontId="30" fillId="0" borderId="0" xfId="23" applyNumberFormat="1" applyFont="1" applyProtection="1"/>
    <xf numFmtId="7" fontId="65" fillId="0" borderId="0" xfId="19" applyNumberFormat="1" applyFont="1" applyBorder="1" applyProtection="1"/>
    <xf numFmtId="169" fontId="30" fillId="0" borderId="0" xfId="23" applyNumberFormat="1" applyFont="1" applyBorder="1" applyProtection="1"/>
    <xf numFmtId="166" fontId="52" fillId="0" borderId="0" xfId="19" applyNumberFormat="1" applyFont="1" applyAlignment="1" applyProtection="1">
      <alignment horizontal="centerContinuous"/>
    </xf>
    <xf numFmtId="9" fontId="56" fillId="0" borderId="0" xfId="23" applyFont="1" applyProtection="1"/>
    <xf numFmtId="9" fontId="59" fillId="0" borderId="0" xfId="23" applyFont="1" applyAlignment="1" applyProtection="1">
      <alignment horizontal="right"/>
    </xf>
    <xf numFmtId="9" fontId="52" fillId="0" borderId="0" xfId="23" applyFont="1" applyAlignment="1" applyProtection="1">
      <alignment horizontal="right"/>
    </xf>
    <xf numFmtId="166" fontId="59" fillId="0" borderId="6" xfId="19" applyNumberFormat="1" applyFont="1" applyBorder="1" applyProtection="1"/>
    <xf numFmtId="169" fontId="52" fillId="0" borderId="1" xfId="23" applyNumberFormat="1" applyFont="1" applyBorder="1" applyAlignment="1" applyProtection="1">
      <alignment horizontal="right"/>
    </xf>
    <xf numFmtId="171" fontId="59" fillId="0" borderId="6" xfId="19" applyNumberFormat="1" applyFont="1" applyBorder="1" applyProtection="1"/>
    <xf numFmtId="169" fontId="52" fillId="0" borderId="7" xfId="23" applyNumberFormat="1" applyFont="1" applyBorder="1" applyProtection="1"/>
    <xf numFmtId="169" fontId="52" fillId="0" borderId="1" xfId="23" applyNumberFormat="1" applyFont="1" applyBorder="1" applyProtection="1"/>
    <xf numFmtId="166" fontId="52" fillId="0" borderId="6" xfId="19" applyNumberFormat="1" applyFont="1" applyBorder="1" applyProtection="1"/>
    <xf numFmtId="169" fontId="52" fillId="0" borderId="0" xfId="23" applyNumberFormat="1" applyFont="1" applyAlignment="1" applyProtection="1">
      <alignment horizontal="right"/>
    </xf>
    <xf numFmtId="169" fontId="52" fillId="11" borderId="0" xfId="23" applyNumberFormat="1" applyFont="1" applyFill="1" applyAlignment="1" applyProtection="1">
      <alignment horizontal="right"/>
    </xf>
    <xf numFmtId="171" fontId="52" fillId="0" borderId="6" xfId="19" applyNumberFormat="1" applyFont="1" applyBorder="1" applyProtection="1"/>
    <xf numFmtId="169" fontId="52" fillId="11" borderId="0" xfId="23" applyNumberFormat="1" applyFont="1" applyFill="1" applyProtection="1"/>
    <xf numFmtId="0" fontId="3" fillId="6" borderId="0" xfId="16" applyFont="1" applyFill="1" applyProtection="1"/>
    <xf numFmtId="0" fontId="3" fillId="0" borderId="0" xfId="16" applyFont="1" applyProtection="1"/>
    <xf numFmtId="0" fontId="32" fillId="0" borderId="0" xfId="16" applyFont="1" applyProtection="1"/>
    <xf numFmtId="0" fontId="51" fillId="0" borderId="0" xfId="16" applyFont="1" applyProtection="1"/>
    <xf numFmtId="0" fontId="3" fillId="13" borderId="0" xfId="16" applyFont="1" applyFill="1" applyProtection="1"/>
    <xf numFmtId="0" fontId="31" fillId="0" borderId="0" xfId="16" applyFont="1" applyAlignment="1" applyProtection="1">
      <alignment horizontal="right"/>
    </xf>
    <xf numFmtId="0" fontId="53" fillId="0" borderId="0" xfId="16" applyFont="1" applyProtection="1"/>
    <xf numFmtId="0" fontId="54" fillId="0" borderId="1" xfId="22" applyFont="1" applyFill="1" applyBorder="1" applyProtection="1"/>
    <xf numFmtId="0" fontId="54" fillId="0" borderId="0" xfId="22" applyFont="1" applyFill="1" applyBorder="1" applyProtection="1"/>
    <xf numFmtId="0" fontId="2" fillId="0" borderId="0" xfId="16" applyFont="1" applyProtection="1"/>
    <xf numFmtId="0" fontId="55" fillId="0" borderId="0" xfId="16" applyFont="1" applyProtection="1"/>
    <xf numFmtId="0" fontId="2" fillId="0" borderId="0" xfId="24" applyFont="1" applyProtection="1"/>
    <xf numFmtId="0" fontId="55" fillId="0" borderId="0" xfId="24" applyFont="1" applyProtection="1"/>
    <xf numFmtId="0" fontId="2" fillId="6" borderId="0" xfId="24" applyFont="1" applyFill="1" applyProtection="1"/>
    <xf numFmtId="0" fontId="55" fillId="0" borderId="1" xfId="24" applyFont="1" applyBorder="1" applyProtection="1"/>
    <xf numFmtId="0" fontId="2" fillId="0" borderId="1" xfId="24" applyFont="1" applyBorder="1" applyProtection="1"/>
    <xf numFmtId="0" fontId="33" fillId="0" borderId="0" xfId="25" applyFont="1" applyFill="1" applyBorder="1" applyProtection="1"/>
    <xf numFmtId="0" fontId="51" fillId="7" borderId="0" xfId="24" applyFont="1" applyFill="1" applyProtection="1"/>
    <xf numFmtId="0" fontId="2" fillId="7" borderId="0" xfId="24" applyFont="1" applyFill="1" applyProtection="1"/>
    <xf numFmtId="0" fontId="2" fillId="13" borderId="0" xfId="24" applyFont="1" applyFill="1" applyProtection="1"/>
  </cellXfs>
  <cellStyles count="26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Hyperlink" xfId="22" builtinId="8"/>
    <cellStyle name="Hyperlink 2 2" xfId="25" xr:uid="{74210ADE-35EE-47E7-B2EB-155DAEA25014}"/>
    <cellStyle name="Invisible" xfId="13" xr:uid="{00000000-0005-0000-0000-000006000000}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" xfId="0" builtinId="0"/>
    <cellStyle name="Normal 2" xfId="16" xr:uid="{00000000-0005-0000-0000-00000B000000}"/>
    <cellStyle name="Normal 2 2" xfId="24" xr:uid="{FA2C8306-78E4-435A-A228-0C10BF0D124F}"/>
    <cellStyle name="Normal 3" xfId="21" xr:uid="{00000000-0005-0000-0000-00000C000000}"/>
    <cellStyle name="Percent" xfId="23" builtinId="5"/>
    <cellStyle name="Percent 2" xfId="18" xr:uid="{00000000-0005-0000-0000-00000E000000}"/>
    <cellStyle name="Percent 3" xfId="20" xr:uid="{00000000-0005-0000-0000-00000F000000}"/>
    <cellStyle name="SectionHeaderNormal" xfId="5" xr:uid="{00000000-0005-0000-0000-000010000000}"/>
    <cellStyle name="SubScript" xfId="9" xr:uid="{00000000-0005-0000-0000-000011000000}"/>
    <cellStyle name="SuperScript" xfId="8" xr:uid="{00000000-0005-0000-0000-000012000000}"/>
    <cellStyle name="TextBold" xfId="10" xr:uid="{00000000-0005-0000-0000-000013000000}"/>
    <cellStyle name="TextItalic" xfId="11" xr:uid="{00000000-0005-0000-0000-000014000000}"/>
    <cellStyle name="TextNormal" xfId="7" xr:uid="{00000000-0005-0000-0000-000015000000}"/>
    <cellStyle name="TitleNormal" xfId="1" xr:uid="{00000000-0005-0000-0000-000016000000}"/>
    <cellStyle name="Total" xfId="12" builtinId="25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1E8496"/>
      <color rgb="FF132E57"/>
      <color rgb="FFED942D"/>
      <color rgb="FF0000FF"/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345721</xdr:colOff>
      <xdr:row>172</xdr:row>
      <xdr:rowOff>56445</xdr:rowOff>
    </xdr:from>
    <xdr:to>
      <xdr:col>3</xdr:col>
      <xdr:colOff>204610</xdr:colOff>
      <xdr:row>174</xdr:row>
      <xdr:rowOff>21167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EC07C67-A527-457C-A21B-9943531EB97F}"/>
            </a:ext>
          </a:extLst>
        </xdr:cNvPr>
        <xdr:cNvSpPr/>
      </xdr:nvSpPr>
      <xdr:spPr bwMode="auto">
        <a:xfrm>
          <a:off x="2363610" y="4811889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399344</xdr:colOff>
      <xdr:row>172</xdr:row>
      <xdr:rowOff>46567</xdr:rowOff>
    </xdr:from>
    <xdr:to>
      <xdr:col>10</xdr:col>
      <xdr:colOff>258233</xdr:colOff>
      <xdr:row>174</xdr:row>
      <xdr:rowOff>11289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650C465-435D-48AA-A6D2-6E4FE499AF17}"/>
            </a:ext>
          </a:extLst>
        </xdr:cNvPr>
        <xdr:cNvSpPr/>
      </xdr:nvSpPr>
      <xdr:spPr bwMode="auto">
        <a:xfrm>
          <a:off x="9479844" y="4802011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46"/>
  <sheetViews>
    <sheetView showGridLines="0" tabSelected="1" zoomScale="90" zoomScaleNormal="90" workbookViewId="0">
      <selection activeCell="C18" sqref="C18"/>
    </sheetView>
  </sheetViews>
  <sheetFormatPr defaultColWidth="9.140625" defaultRowHeight="16.5" x14ac:dyDescent="0.3"/>
  <cols>
    <col min="1" max="2" width="11" style="335" customWidth="1"/>
    <col min="3" max="3" width="29.140625" style="335" customWidth="1"/>
    <col min="4" max="13" width="11" style="335" customWidth="1"/>
    <col min="14" max="14" width="13.5703125" style="335" customWidth="1"/>
    <col min="15" max="22" width="11" style="335" customWidth="1"/>
    <col min="23" max="25" width="9.140625" style="335"/>
    <col min="26" max="26" width="9.140625" style="335" customWidth="1"/>
    <col min="27" max="16384" width="9.140625" style="335"/>
  </cols>
  <sheetData>
    <row r="1" spans="2:15" s="335" customFormat="1" ht="16.5" customHeight="1" x14ac:dyDescent="0.3"/>
    <row r="2" spans="2:15" s="335" customFormat="1" ht="16.5" customHeight="1" x14ac:dyDescent="0.3"/>
    <row r="3" spans="2:15" s="335" customFormat="1" ht="19.5" customHeight="1" x14ac:dyDescent="0.3"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</row>
    <row r="4" spans="2:15" s="335" customFormat="1" ht="19.5" customHeight="1" x14ac:dyDescent="0.3"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</row>
    <row r="5" spans="2:15" s="335" customFormat="1" ht="19.5" customHeight="1" x14ac:dyDescent="0.3"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</row>
    <row r="6" spans="2:15" s="335" customFormat="1" ht="37.5" customHeight="1" x14ac:dyDescent="0.3">
      <c r="B6" s="336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</row>
    <row r="7" spans="2:15" s="335" customFormat="1" ht="36" customHeight="1" x14ac:dyDescent="0.35">
      <c r="B7" s="336"/>
      <c r="C7" s="337" t="str">
        <f>"M&amp;A Model - "&amp;'Deal Assumptions &amp; Analysis'!D5&amp;" &amp; "&amp;'Deal Assumptions &amp; Analysis'!D6</f>
        <v>M&amp;A Model - Online Company Inc &amp; Brick 'n' Mortar Co</v>
      </c>
      <c r="D7" s="338"/>
      <c r="E7" s="338"/>
      <c r="F7" s="338"/>
      <c r="G7" s="338"/>
      <c r="H7" s="338"/>
      <c r="I7" s="338"/>
      <c r="J7" s="338"/>
      <c r="K7" s="338"/>
      <c r="L7" s="336"/>
      <c r="M7" s="336"/>
      <c r="N7" s="336"/>
      <c r="O7" s="336"/>
    </row>
    <row r="8" spans="2:15" s="335" customFormat="1" ht="19.5" customHeight="1" x14ac:dyDescent="0.3">
      <c r="B8" s="336"/>
      <c r="C8" s="336"/>
      <c r="D8" s="336"/>
      <c r="E8" s="336"/>
      <c r="F8" s="336"/>
      <c r="G8" s="336"/>
      <c r="H8" s="336"/>
      <c r="I8" s="336"/>
      <c r="J8" s="336"/>
      <c r="K8" s="336"/>
      <c r="L8" s="336"/>
      <c r="M8" s="336"/>
      <c r="N8" s="336"/>
      <c r="O8" s="336"/>
    </row>
    <row r="9" spans="2:15" s="335" customFormat="1" ht="19.5" customHeight="1" x14ac:dyDescent="0.3">
      <c r="B9" s="336"/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  <c r="N9" s="336"/>
      <c r="O9" s="336"/>
    </row>
    <row r="10" spans="2:15" s="335" customFormat="1" ht="19.5" customHeight="1" x14ac:dyDescent="0.3">
      <c r="B10" s="336"/>
      <c r="C10" s="336"/>
      <c r="D10" s="336"/>
      <c r="E10" s="336"/>
      <c r="F10" s="336"/>
      <c r="G10" s="336"/>
      <c r="H10" s="336"/>
      <c r="I10" s="336"/>
      <c r="J10" s="336"/>
      <c r="K10" s="336"/>
      <c r="L10" s="336"/>
      <c r="M10" s="336"/>
      <c r="N10" s="336"/>
      <c r="O10" s="336"/>
    </row>
    <row r="11" spans="2:15" s="335" customFormat="1" ht="19.5" customHeight="1" x14ac:dyDescent="0.3"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2:15" s="335" customFormat="1" x14ac:dyDescent="0.3">
      <c r="B12" s="336"/>
      <c r="C12" s="339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40"/>
      <c r="O12" s="336"/>
    </row>
    <row r="13" spans="2:15" s="335" customFormat="1" ht="19.5" customHeight="1" x14ac:dyDescent="0.3"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2:15" s="335" customFormat="1" ht="19.5" customHeight="1" x14ac:dyDescent="0.35">
      <c r="B14" s="336"/>
      <c r="C14" s="341" t="s">
        <v>219</v>
      </c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2:15" s="335" customFormat="1" ht="32.25" customHeight="1" x14ac:dyDescent="0.35">
      <c r="B15" s="336"/>
      <c r="C15" s="342" t="str">
        <f ca="1">RIGHT(CELL("filename",'Deal Assumptions &amp; Analysis'!D1),LEN(CELL("filename",'Deal Assumptions &amp; Analysis'!D1))-FIND("]",CELL("filename",'Deal Assumptions &amp; Analysis'!D1)))</f>
        <v>Deal Assumptions &amp; Analysis</v>
      </c>
      <c r="D15" s="336"/>
      <c r="E15" s="336"/>
      <c r="F15" s="336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2:15" s="335" customFormat="1" ht="24.75" customHeight="1" x14ac:dyDescent="0.35">
      <c r="B16" s="336"/>
      <c r="C16" s="343" t="str">
        <f ca="1">RIGHT(CELL("filename",'Pro Forma Model'!D1),LEN(CELL("filename",'Pro Forma Model'!D1))-FIND("]",CELL("filename",'Pro Forma Model'!D1)))</f>
        <v>Pro Forma Model</v>
      </c>
      <c r="D16" s="336"/>
      <c r="E16" s="336"/>
      <c r="F16" s="336"/>
      <c r="G16" s="336"/>
      <c r="H16" s="336"/>
      <c r="I16" s="336"/>
      <c r="J16" s="336"/>
      <c r="K16" s="344"/>
      <c r="L16" s="336"/>
      <c r="M16" s="336"/>
      <c r="N16" s="336"/>
      <c r="O16" s="336"/>
    </row>
    <row r="17" spans="2:15" s="335" customFormat="1" ht="27" customHeight="1" x14ac:dyDescent="0.35">
      <c r="B17" s="336"/>
      <c r="C17" s="343" t="str">
        <f ca="1">RIGHT(CELL("filename",'Acquirer Model'!D1),LEN(CELL("filename",'Acquirer Model'!D1))-FIND("]",CELL("filename",'Acquirer Model'!D1)))</f>
        <v>Acquirer Model</v>
      </c>
      <c r="D17" s="336"/>
      <c r="E17" s="336"/>
      <c r="F17" s="336"/>
      <c r="G17" s="336"/>
      <c r="H17" s="336"/>
      <c r="I17" s="336"/>
      <c r="J17" s="336"/>
      <c r="K17" s="336"/>
      <c r="L17" s="336"/>
      <c r="M17" s="336"/>
      <c r="N17" s="336"/>
      <c r="O17" s="336"/>
    </row>
    <row r="18" spans="2:15" s="335" customFormat="1" ht="28.5" customHeight="1" x14ac:dyDescent="0.35">
      <c r="B18" s="336"/>
      <c r="C18" s="343" t="str">
        <f ca="1">RIGHT(CELL("filename",'Target Model'!D1),LEN(CELL("filename",'Target Model'!D1))-FIND("]",CELL("filename",'Target Model'!D1)))</f>
        <v>Target Model</v>
      </c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</row>
    <row r="19" spans="2:15" s="335" customFormat="1" ht="19.5" customHeight="1" x14ac:dyDescent="0.35">
      <c r="B19" s="336"/>
      <c r="C19" s="345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</row>
    <row r="20" spans="2:15" s="335" customFormat="1" ht="19.5" customHeight="1" x14ac:dyDescent="0.35">
      <c r="B20" s="336"/>
      <c r="C20" s="345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</row>
    <row r="21" spans="2:15" s="348" customFormat="1" ht="23.25" customHeight="1" x14ac:dyDescent="0.35">
      <c r="B21" s="346"/>
      <c r="C21" s="347" t="s">
        <v>110</v>
      </c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</row>
    <row r="22" spans="2:15" s="348" customFormat="1" ht="28.5" customHeight="1" x14ac:dyDescent="0.35">
      <c r="B22" s="346"/>
      <c r="C22" s="349" t="s">
        <v>109</v>
      </c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46"/>
    </row>
    <row r="23" spans="2:15" s="348" customFormat="1" ht="19.5" customHeight="1" x14ac:dyDescent="0.3"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</row>
    <row r="24" spans="2:15" s="348" customFormat="1" ht="19.5" customHeight="1" x14ac:dyDescent="0.3">
      <c r="B24" s="346"/>
      <c r="C24" s="351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46"/>
    </row>
    <row r="25" spans="2:15" s="348" customFormat="1" ht="19.5" customHeight="1" x14ac:dyDescent="0.3">
      <c r="B25" s="346"/>
      <c r="C25" s="351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</row>
    <row r="26" spans="2:15" s="348" customFormat="1" ht="19.5" customHeight="1" x14ac:dyDescent="0.3">
      <c r="B26" s="346"/>
      <c r="C26" s="352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46"/>
    </row>
    <row r="27" spans="2:15" s="348" customFormat="1" ht="19.5" customHeight="1" x14ac:dyDescent="0.3">
      <c r="B27" s="354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4"/>
    </row>
    <row r="28" spans="2:15" s="348" customFormat="1" ht="19.5" customHeight="1" x14ac:dyDescent="0.3">
      <c r="B28" s="354"/>
      <c r="C28" s="352"/>
      <c r="D28" s="352"/>
      <c r="E28" s="352"/>
      <c r="F28" s="352"/>
      <c r="G28" s="352"/>
      <c r="H28" s="352"/>
      <c r="I28" s="352"/>
      <c r="J28" s="352"/>
      <c r="K28" s="352"/>
      <c r="L28" s="352"/>
      <c r="M28" s="352"/>
      <c r="N28" s="352"/>
      <c r="O28" s="354"/>
    </row>
    <row r="29" spans="2:15" s="348" customFormat="1" ht="19.5" customHeight="1" x14ac:dyDescent="0.3">
      <c r="B29" s="354"/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4"/>
    </row>
    <row r="30" spans="2:15" s="348" customFormat="1" ht="19.5" customHeight="1" x14ac:dyDescent="0.3">
      <c r="B30" s="354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4"/>
    </row>
    <row r="31" spans="2:15" s="348" customFormat="1" ht="19.5" customHeight="1" x14ac:dyDescent="0.3"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</row>
    <row r="32" spans="2:15" s="335" customFormat="1" ht="19.5" customHeight="1" x14ac:dyDescent="0.3"/>
    <row r="33" s="335" customFormat="1" ht="19.5" customHeight="1" x14ac:dyDescent="0.3"/>
    <row r="34" s="335" customFormat="1" ht="19.5" customHeight="1" x14ac:dyDescent="0.3"/>
    <row r="35" s="335" customFormat="1" ht="19.5" customHeight="1" x14ac:dyDescent="0.3"/>
    <row r="36" s="335" customFormat="1" ht="19.5" customHeight="1" x14ac:dyDescent="0.3"/>
    <row r="37" s="335" customFormat="1" ht="19.5" customHeight="1" x14ac:dyDescent="0.3"/>
    <row r="38" s="335" customFormat="1" ht="19.5" customHeight="1" x14ac:dyDescent="0.3"/>
    <row r="39" s="335" customFormat="1" ht="19.5" customHeight="1" x14ac:dyDescent="0.3"/>
    <row r="40" s="335" customFormat="1" ht="19.5" customHeight="1" x14ac:dyDescent="0.3"/>
    <row r="41" s="335" customFormat="1" ht="19.5" customHeight="1" x14ac:dyDescent="0.3"/>
    <row r="42" s="335" customFormat="1" ht="19.5" customHeight="1" x14ac:dyDescent="0.3"/>
    <row r="43" s="335" customFormat="1" ht="19.5" customHeight="1" x14ac:dyDescent="0.3"/>
    <row r="44" s="335" customFormat="1" ht="19.5" customHeight="1" x14ac:dyDescent="0.3"/>
    <row r="45" s="335" customFormat="1" ht="19.5" customHeight="1" x14ac:dyDescent="0.3"/>
    <row r="46" s="335" customFormat="1" ht="19.5" customHeight="1" x14ac:dyDescent="0.3"/>
  </sheetData>
  <sheetProtection algorithmName="SHA-512" hashValue="Ih4RYvw811+myxtDj4JjwN68JgUm/O+rKSUx/hCyrraIpzEQwmFEeTndrXzcH2a9uXDZuFnmpiJS3oJgaTsD3w==" saltValue="H5hq3InIY/MlfHvTruiDZQ==" spinCount="100000" sheet="1" objects="1" scenarios="1"/>
  <hyperlinks>
    <hyperlink ref="C16" location="'Pro Forma Model'!A1" display="'Pro Forma Model'!A1" xr:uid="{00000000-0004-0000-0000-000002000000}"/>
    <hyperlink ref="C17" location="'Acquirer Model'!A1" display="'Acquirer Model'!A1" xr:uid="{00000000-0004-0000-0000-000003000000}"/>
    <hyperlink ref="C18" location="'Target Model'!A1" display="'Target Model'!A1" xr:uid="{00000000-0004-0000-0000-000004000000}"/>
    <hyperlink ref="C15" location="'Deal Assumptions &amp; Analysis'!A1" display="'Deal Assumptions &amp; Analysis'!A1" xr:uid="{00000000-0004-0000-0000-000001000000}"/>
  </hyperlinks>
  <pageMargins left="0.7" right="0.7" top="0.35" bottom="0.32" header="0.22" footer="0.24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46"/>
  <sheetViews>
    <sheetView showGridLines="0" view="pageBreakPreview" zoomScale="60" zoomScaleNormal="80" workbookViewId="0">
      <selection activeCell="F39" sqref="F39"/>
    </sheetView>
  </sheetViews>
  <sheetFormatPr defaultColWidth="9.140625" defaultRowHeight="18" outlineLevelRow="1" x14ac:dyDescent="0.25"/>
  <cols>
    <col min="1" max="2" width="14.42578125" style="12" customWidth="1"/>
    <col min="3" max="3" width="14.42578125" style="31" customWidth="1"/>
    <col min="4" max="13" width="14.42578125" style="12" customWidth="1"/>
    <col min="14" max="16384" width="9.140625" style="12"/>
  </cols>
  <sheetData>
    <row r="1" spans="1:16" ht="33.75" x14ac:dyDescent="0.5">
      <c r="B1" s="17"/>
      <c r="C1" s="18"/>
      <c r="D1" s="250" t="str">
        <f>"Merger Assumptions for "&amp;D5&amp;" &amp; "&amp;D6</f>
        <v>Merger Assumptions for Online Company Inc &amp; Brick 'n' Mortar Co</v>
      </c>
      <c r="H1" s="20"/>
      <c r="I1" s="21"/>
      <c r="J1" s="20"/>
      <c r="K1" s="20"/>
      <c r="L1" s="20"/>
      <c r="M1" s="20"/>
      <c r="N1" s="20"/>
      <c r="O1" s="21"/>
      <c r="P1" s="20"/>
    </row>
    <row r="2" spans="1:16" x14ac:dyDescent="0.25">
      <c r="A2" s="42" t="s">
        <v>12</v>
      </c>
      <c r="B2" s="43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6" outlineLevel="1" x14ac:dyDescent="0.25"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6" outlineLevel="1" x14ac:dyDescent="0.25">
      <c r="A4" s="251" t="s">
        <v>171</v>
      </c>
      <c r="B4" s="252"/>
      <c r="C4" s="253"/>
      <c r="D4" s="252"/>
      <c r="F4" s="251" t="s">
        <v>116</v>
      </c>
      <c r="G4" s="252"/>
      <c r="H4" s="252"/>
      <c r="I4" s="252"/>
      <c r="J4" s="252"/>
      <c r="K4" s="252"/>
      <c r="L4" s="252"/>
      <c r="M4" s="252"/>
    </row>
    <row r="5" spans="1:16" outlineLevel="1" x14ac:dyDescent="0.25">
      <c r="A5" s="12" t="s">
        <v>111</v>
      </c>
      <c r="D5" s="254" t="s">
        <v>266</v>
      </c>
      <c r="F5" s="47" t="s">
        <v>128</v>
      </c>
      <c r="G5" s="255" t="s">
        <v>229</v>
      </c>
      <c r="H5" s="256">
        <v>5</v>
      </c>
      <c r="I5" s="45">
        <v>1</v>
      </c>
      <c r="J5" s="45">
        <v>2</v>
      </c>
      <c r="K5" s="45">
        <v>3</v>
      </c>
      <c r="L5" s="45">
        <v>4</v>
      </c>
      <c r="M5" s="45">
        <v>5</v>
      </c>
    </row>
    <row r="6" spans="1:16" outlineLevel="1" x14ac:dyDescent="0.25">
      <c r="A6" s="12" t="s">
        <v>112</v>
      </c>
      <c r="D6" s="254" t="s">
        <v>267</v>
      </c>
      <c r="H6" s="128"/>
    </row>
    <row r="7" spans="1:16" outlineLevel="1" x14ac:dyDescent="0.25">
      <c r="A7" s="12" t="s">
        <v>113</v>
      </c>
      <c r="C7" s="128"/>
      <c r="D7" s="257">
        <v>11.75</v>
      </c>
      <c r="F7" s="47" t="s">
        <v>115</v>
      </c>
      <c r="H7" s="128"/>
    </row>
    <row r="8" spans="1:16" ht="15.75" customHeight="1" outlineLevel="1" x14ac:dyDescent="0.25">
      <c r="A8" s="12" t="s">
        <v>114</v>
      </c>
      <c r="C8" s="128"/>
      <c r="D8" s="257">
        <v>17.3</v>
      </c>
      <c r="F8" s="16" t="s">
        <v>118</v>
      </c>
      <c r="G8" s="16"/>
      <c r="H8" s="258">
        <f ca="1">OFFSET(I8,0,$H$5-1)</f>
        <v>6500</v>
      </c>
      <c r="I8" s="259">
        <v>5500</v>
      </c>
      <c r="J8" s="259">
        <v>6000</v>
      </c>
      <c r="K8" s="259">
        <v>6000</v>
      </c>
      <c r="L8" s="259">
        <v>6500</v>
      </c>
      <c r="M8" s="259">
        <v>6500</v>
      </c>
    </row>
    <row r="9" spans="1:16" outlineLevel="1" x14ac:dyDescent="0.25">
      <c r="A9" s="12" t="s">
        <v>172</v>
      </c>
      <c r="D9" s="115">
        <v>43008</v>
      </c>
      <c r="F9" s="12" t="s">
        <v>117</v>
      </c>
      <c r="H9" s="260">
        <f ca="1">OFFSET(I9,0,$H$5-1)</f>
        <v>875</v>
      </c>
      <c r="I9" s="79">
        <v>875</v>
      </c>
      <c r="J9" s="79">
        <v>875</v>
      </c>
      <c r="K9" s="79">
        <v>875</v>
      </c>
      <c r="L9" s="79">
        <v>875</v>
      </c>
      <c r="M9" s="79">
        <v>875</v>
      </c>
    </row>
    <row r="10" spans="1:16" outlineLevel="1" x14ac:dyDescent="0.25">
      <c r="A10" s="12" t="s">
        <v>127</v>
      </c>
      <c r="D10" s="254" t="s">
        <v>268</v>
      </c>
      <c r="F10" s="12" t="s">
        <v>188</v>
      </c>
      <c r="H10" s="260">
        <f ca="1">OFFSET(I10,0,$H$5-1)</f>
        <v>1250</v>
      </c>
      <c r="I10" s="79">
        <v>1250</v>
      </c>
      <c r="J10" s="79">
        <v>1250</v>
      </c>
      <c r="K10" s="79">
        <v>1250</v>
      </c>
      <c r="L10" s="79">
        <v>1250</v>
      </c>
      <c r="M10" s="79">
        <v>1250</v>
      </c>
    </row>
    <row r="11" spans="1:16" outlineLevel="1" x14ac:dyDescent="0.25">
      <c r="A11" s="12" t="s">
        <v>129</v>
      </c>
      <c r="D11" s="254" t="s">
        <v>269</v>
      </c>
      <c r="F11" s="261" t="s">
        <v>187</v>
      </c>
      <c r="H11" s="260">
        <f ca="1">OFFSET(I11,0,$H$5-1)</f>
        <v>1000</v>
      </c>
      <c r="I11" s="79">
        <v>1000</v>
      </c>
      <c r="J11" s="79">
        <v>1000</v>
      </c>
      <c r="K11" s="79">
        <v>1000</v>
      </c>
      <c r="L11" s="79">
        <v>1000</v>
      </c>
      <c r="M11" s="79">
        <v>1000</v>
      </c>
    </row>
    <row r="12" spans="1:16" outlineLevel="1" x14ac:dyDescent="0.25">
      <c r="H12" s="260"/>
    </row>
    <row r="13" spans="1:16" outlineLevel="1" x14ac:dyDescent="0.25">
      <c r="A13" s="12" t="s">
        <v>168</v>
      </c>
      <c r="D13" s="79">
        <v>2000</v>
      </c>
      <c r="F13" s="12" t="s">
        <v>257</v>
      </c>
      <c r="H13" s="262">
        <f ca="1">OFFSET(I13,0,$H$5-1)</f>
        <v>0.3</v>
      </c>
      <c r="I13" s="263">
        <v>0.3</v>
      </c>
      <c r="J13" s="263">
        <v>0.3</v>
      </c>
      <c r="K13" s="263">
        <v>0.3</v>
      </c>
      <c r="L13" s="263">
        <v>0.3</v>
      </c>
      <c r="M13" s="263">
        <v>0.3</v>
      </c>
    </row>
    <row r="14" spans="1:16" outlineLevel="1" x14ac:dyDescent="0.25">
      <c r="A14" s="12" t="s">
        <v>130</v>
      </c>
      <c r="D14" s="264">
        <v>0.03</v>
      </c>
      <c r="F14" s="12" t="s">
        <v>119</v>
      </c>
      <c r="H14" s="262">
        <f ca="1">OFFSET(I14,0,$H$5-1)</f>
        <v>0.65</v>
      </c>
      <c r="I14" s="263">
        <v>0.65</v>
      </c>
      <c r="J14" s="263">
        <v>0.65</v>
      </c>
      <c r="K14" s="263">
        <v>0.65</v>
      </c>
      <c r="L14" s="263">
        <v>0.65</v>
      </c>
      <c r="M14" s="263">
        <v>0.65</v>
      </c>
    </row>
    <row r="15" spans="1:16" outlineLevel="1" x14ac:dyDescent="0.25">
      <c r="A15" s="12" t="s">
        <v>131</v>
      </c>
      <c r="D15" s="264">
        <v>0.03</v>
      </c>
      <c r="F15" s="12" t="s">
        <v>120</v>
      </c>
      <c r="H15" s="262">
        <f ca="1">OFFSET(I15,0,$H$5-1)</f>
        <v>1</v>
      </c>
      <c r="I15" s="263">
        <v>1</v>
      </c>
      <c r="J15" s="263">
        <v>1</v>
      </c>
      <c r="K15" s="263">
        <v>1</v>
      </c>
      <c r="L15" s="263">
        <v>1</v>
      </c>
      <c r="M15" s="263">
        <v>1</v>
      </c>
    </row>
    <row r="16" spans="1:16" outlineLevel="1" x14ac:dyDescent="0.25">
      <c r="A16" s="12" t="s">
        <v>142</v>
      </c>
      <c r="D16" s="79">
        <v>2000</v>
      </c>
      <c r="H16" s="128"/>
    </row>
    <row r="17" spans="1:13" outlineLevel="1" x14ac:dyDescent="0.25">
      <c r="D17" s="79"/>
      <c r="F17" s="47" t="s">
        <v>121</v>
      </c>
      <c r="H17" s="128"/>
    </row>
    <row r="18" spans="1:13" outlineLevel="1" x14ac:dyDescent="0.25">
      <c r="A18" s="12" t="s">
        <v>132</v>
      </c>
      <c r="D18" s="254" t="s">
        <v>270</v>
      </c>
      <c r="F18" s="52" t="s">
        <v>224</v>
      </c>
      <c r="G18" s="16"/>
      <c r="H18" s="265"/>
      <c r="I18" s="16"/>
      <c r="J18" s="16"/>
      <c r="K18" s="16"/>
      <c r="L18" s="16"/>
      <c r="M18" s="16"/>
    </row>
    <row r="19" spans="1:13" outlineLevel="1" x14ac:dyDescent="0.25">
      <c r="A19" s="12" t="s">
        <v>220</v>
      </c>
      <c r="D19" s="254" t="s">
        <v>271</v>
      </c>
      <c r="F19" s="12" t="s">
        <v>122</v>
      </c>
      <c r="H19" s="260">
        <f ca="1">OFFSET(I19,0,$H$5-1)</f>
        <v>100000</v>
      </c>
      <c r="I19" s="79">
        <v>0</v>
      </c>
      <c r="J19" s="79">
        <v>100000</v>
      </c>
      <c r="K19" s="79">
        <v>100000</v>
      </c>
      <c r="L19" s="79">
        <v>100000</v>
      </c>
      <c r="M19" s="79">
        <v>100000</v>
      </c>
    </row>
    <row r="20" spans="1:13" outlineLevel="1" x14ac:dyDescent="0.25">
      <c r="D20" s="79"/>
      <c r="F20" s="12" t="s">
        <v>123</v>
      </c>
      <c r="H20" s="260">
        <f ca="1">OFFSET(I20,0,$H$5-1)</f>
        <v>50000</v>
      </c>
      <c r="I20" s="79">
        <v>0</v>
      </c>
      <c r="J20" s="79">
        <v>0</v>
      </c>
      <c r="K20" s="79">
        <v>50000</v>
      </c>
      <c r="L20" s="79">
        <v>50000</v>
      </c>
      <c r="M20" s="79">
        <v>50000</v>
      </c>
    </row>
    <row r="21" spans="1:13" outlineLevel="1" x14ac:dyDescent="0.25">
      <c r="A21" s="12" t="s">
        <v>136</v>
      </c>
      <c r="D21" s="79">
        <v>50000</v>
      </c>
      <c r="F21" s="12" t="s">
        <v>124</v>
      </c>
      <c r="H21" s="260">
        <f ca="1">OFFSET(I21,0,$H$5-1)</f>
        <v>25000</v>
      </c>
      <c r="I21" s="79">
        <v>0</v>
      </c>
      <c r="J21" s="79">
        <v>0</v>
      </c>
      <c r="K21" s="79">
        <v>0</v>
      </c>
      <c r="L21" s="79">
        <v>25000</v>
      </c>
      <c r="M21" s="79">
        <v>25000</v>
      </c>
    </row>
    <row r="22" spans="1:13" outlineLevel="1" x14ac:dyDescent="0.25">
      <c r="A22" s="12" t="s">
        <v>137</v>
      </c>
      <c r="D22" s="79">
        <v>25000</v>
      </c>
      <c r="F22" s="47" t="s">
        <v>212</v>
      </c>
      <c r="H22" s="260"/>
      <c r="I22" s="79"/>
      <c r="J22" s="79"/>
      <c r="K22" s="79"/>
      <c r="L22" s="79"/>
      <c r="M22" s="79"/>
    </row>
    <row r="23" spans="1:13" outlineLevel="1" x14ac:dyDescent="0.25">
      <c r="A23" s="12" t="s">
        <v>199</v>
      </c>
      <c r="D23" s="12">
        <f ca="1">M37/D27</f>
        <v>21750.483558994198</v>
      </c>
      <c r="F23" s="12" t="s">
        <v>122</v>
      </c>
      <c r="H23" s="266">
        <f ca="1">OFFSET(I23,0,$H$5-1)</f>
        <v>5.5E-2</v>
      </c>
      <c r="I23" s="267">
        <v>5.5E-2</v>
      </c>
      <c r="J23" s="267">
        <v>5.5E-2</v>
      </c>
      <c r="K23" s="267">
        <v>5.5E-2</v>
      </c>
      <c r="L23" s="267">
        <v>5.5E-2</v>
      </c>
      <c r="M23" s="267">
        <v>5.5E-2</v>
      </c>
    </row>
    <row r="24" spans="1:13" outlineLevel="1" x14ac:dyDescent="0.25">
      <c r="A24" s="12" t="s">
        <v>198</v>
      </c>
      <c r="D24" s="57">
        <f ca="1">D21+D23</f>
        <v>71750.483558994194</v>
      </c>
      <c r="F24" s="12" t="s">
        <v>123</v>
      </c>
      <c r="H24" s="266">
        <f ca="1">OFFSET(I24,0,$H$5-1)</f>
        <v>5.7500000000000002E-2</v>
      </c>
      <c r="I24" s="267">
        <v>5.7500000000000002E-2</v>
      </c>
      <c r="J24" s="267">
        <v>5.7500000000000002E-2</v>
      </c>
      <c r="K24" s="267">
        <v>5.7500000000000002E-2</v>
      </c>
      <c r="L24" s="267">
        <v>5.7500000000000002E-2</v>
      </c>
      <c r="M24" s="267">
        <v>5.7500000000000002E-2</v>
      </c>
    </row>
    <row r="25" spans="1:13" outlineLevel="1" x14ac:dyDescent="0.25">
      <c r="F25" s="12" t="s">
        <v>124</v>
      </c>
      <c r="H25" s="266">
        <f ca="1">OFFSET(I25,0,$H$5-1)</f>
        <v>8.2500000000000004E-2</v>
      </c>
      <c r="I25" s="267">
        <v>8.2500000000000004E-2</v>
      </c>
      <c r="J25" s="267">
        <v>8.2500000000000004E-2</v>
      </c>
      <c r="K25" s="267">
        <v>8.2500000000000004E-2</v>
      </c>
      <c r="L25" s="267">
        <v>8.2500000000000004E-2</v>
      </c>
      <c r="M25" s="267">
        <v>8.2500000000000004E-2</v>
      </c>
    </row>
    <row r="26" spans="1:13" outlineLevel="1" x14ac:dyDescent="0.25">
      <c r="A26" s="12" t="s">
        <v>216</v>
      </c>
      <c r="D26" s="268">
        <v>0.01</v>
      </c>
      <c r="F26" s="47"/>
      <c r="H26" s="269">
        <f ca="1">OFFSET(I26,0,$H$5-1)</f>
        <v>0</v>
      </c>
    </row>
    <row r="27" spans="1:13" outlineLevel="1" x14ac:dyDescent="0.25">
      <c r="A27" s="12" t="s">
        <v>251</v>
      </c>
      <c r="D27" s="270">
        <f>D7*(1-D26)</f>
        <v>11.6325</v>
      </c>
    </row>
    <row r="28" spans="1:13" outlineLevel="1" x14ac:dyDescent="0.25">
      <c r="F28" s="47" t="s">
        <v>6</v>
      </c>
      <c r="H28" s="128"/>
    </row>
    <row r="29" spans="1:13" outlineLevel="1" x14ac:dyDescent="0.25">
      <c r="F29" s="16" t="s">
        <v>125</v>
      </c>
      <c r="G29" s="16"/>
      <c r="H29" s="271">
        <f ca="1">OFFSET(I29,0,$H$5-1)</f>
        <v>0.3</v>
      </c>
      <c r="I29" s="272">
        <v>0.15</v>
      </c>
      <c r="J29" s="272">
        <v>0.15</v>
      </c>
      <c r="K29" s="272">
        <v>0.2</v>
      </c>
      <c r="L29" s="272">
        <v>0.25</v>
      </c>
      <c r="M29" s="272">
        <v>0.3</v>
      </c>
    </row>
    <row r="30" spans="1:13" outlineLevel="1" x14ac:dyDescent="0.25">
      <c r="A30" s="251" t="s">
        <v>133</v>
      </c>
      <c r="B30" s="252"/>
      <c r="C30" s="253"/>
      <c r="D30" s="252"/>
      <c r="F30" s="12" t="s">
        <v>126</v>
      </c>
      <c r="H30" s="273">
        <f ca="1">OFFSET(I30,0,$H$5-1)</f>
        <v>0.55000000000000004</v>
      </c>
      <c r="I30" s="264">
        <v>0</v>
      </c>
      <c r="J30" s="264">
        <v>0.2</v>
      </c>
      <c r="K30" s="264">
        <v>0.4</v>
      </c>
      <c r="L30" s="264">
        <v>0.5</v>
      </c>
      <c r="M30" s="264">
        <v>0.55000000000000004</v>
      </c>
    </row>
    <row r="31" spans="1:13" outlineLevel="1" x14ac:dyDescent="0.25">
      <c r="A31" s="12" t="s">
        <v>114</v>
      </c>
      <c r="D31" s="274">
        <f>D8</f>
        <v>17.3</v>
      </c>
    </row>
    <row r="32" spans="1:13" outlineLevel="1" x14ac:dyDescent="0.25">
      <c r="A32" s="12" t="s">
        <v>125</v>
      </c>
      <c r="D32" s="275">
        <f ca="1">H29</f>
        <v>0.3</v>
      </c>
      <c r="H32" s="128"/>
    </row>
    <row r="33" spans="1:13" outlineLevel="1" x14ac:dyDescent="0.25">
      <c r="A33" s="16" t="s">
        <v>134</v>
      </c>
      <c r="B33" s="16"/>
      <c r="C33" s="105"/>
      <c r="D33" s="276">
        <f ca="1">D31*(1+D32)</f>
        <v>22.490000000000002</v>
      </c>
      <c r="H33" s="128"/>
    </row>
    <row r="34" spans="1:13" outlineLevel="1" x14ac:dyDescent="0.25">
      <c r="F34" s="251" t="s">
        <v>140</v>
      </c>
      <c r="G34" s="252"/>
      <c r="H34" s="253"/>
      <c r="I34" s="252"/>
      <c r="J34" s="251"/>
      <c r="K34" s="252"/>
      <c r="L34" s="253"/>
      <c r="M34" s="252"/>
    </row>
    <row r="35" spans="1:13" outlineLevel="1" x14ac:dyDescent="0.25">
      <c r="A35" s="12" t="s">
        <v>113</v>
      </c>
      <c r="D35" s="274">
        <f>D7</f>
        <v>11.75</v>
      </c>
      <c r="F35" s="47" t="s">
        <v>141</v>
      </c>
      <c r="K35" s="47" t="s">
        <v>259</v>
      </c>
    </row>
    <row r="36" spans="1:13" outlineLevel="1" x14ac:dyDescent="0.25">
      <c r="A36" s="12" t="s">
        <v>135</v>
      </c>
      <c r="D36" s="277">
        <f ca="1">D33/D35</f>
        <v>1.9140425531914895</v>
      </c>
      <c r="F36" s="16" t="s">
        <v>40</v>
      </c>
      <c r="G36" s="16"/>
      <c r="H36" s="278">
        <f ca="1">M43-(SUM(H37:H42))</f>
        <v>165878.95026881725</v>
      </c>
      <c r="I36" s="17"/>
      <c r="J36" s="17"/>
      <c r="K36" s="16" t="s">
        <v>126</v>
      </c>
      <c r="L36" s="278"/>
      <c r="M36" s="278">
        <f ca="1">D40*H30</f>
        <v>309237.5</v>
      </c>
    </row>
    <row r="37" spans="1:13" outlineLevel="1" x14ac:dyDescent="0.25">
      <c r="F37" s="12" t="s">
        <v>143</v>
      </c>
      <c r="H37" s="17">
        <f ca="1">M37</f>
        <v>253012.5</v>
      </c>
      <c r="I37" s="17"/>
      <c r="J37" s="17"/>
      <c r="K37" s="12" t="s">
        <v>260</v>
      </c>
      <c r="L37" s="17"/>
      <c r="M37" s="17">
        <f ca="1">D40-M36</f>
        <v>253012.5</v>
      </c>
    </row>
    <row r="38" spans="1:13" outlineLevel="1" x14ac:dyDescent="0.25">
      <c r="A38" s="12" t="s">
        <v>235</v>
      </c>
      <c r="D38" s="12">
        <f>D22</f>
        <v>25000</v>
      </c>
      <c r="F38" s="12" t="s">
        <v>144</v>
      </c>
      <c r="H38" s="17">
        <f ca="1">SUM(H19:H21)</f>
        <v>175000</v>
      </c>
      <c r="I38" s="17"/>
      <c r="J38" s="17"/>
      <c r="K38" s="12" t="s">
        <v>261</v>
      </c>
      <c r="L38" s="17"/>
      <c r="M38" s="17">
        <f>IF(D18="Yes",D41,0)</f>
        <v>16801.075268817203</v>
      </c>
    </row>
    <row r="39" spans="1:13" outlineLevel="1" x14ac:dyDescent="0.25">
      <c r="A39" s="12" t="s">
        <v>134</v>
      </c>
      <c r="D39" s="274">
        <f ca="1">D33</f>
        <v>22.490000000000002</v>
      </c>
      <c r="H39" s="17"/>
      <c r="I39" s="17"/>
      <c r="J39" s="17"/>
      <c r="K39" s="12" t="s">
        <v>262</v>
      </c>
      <c r="M39" s="279">
        <f>IF(D19="Yes",'Acquirer Model'!O90+'Acquirer Model'!O93,0)</f>
        <v>0</v>
      </c>
    </row>
    <row r="40" spans="1:13" outlineLevel="1" x14ac:dyDescent="0.25">
      <c r="A40" s="52" t="s">
        <v>133</v>
      </c>
      <c r="B40" s="52"/>
      <c r="C40" s="53"/>
      <c r="D40" s="52">
        <f ca="1">D38*D39</f>
        <v>562250</v>
      </c>
      <c r="H40" s="17"/>
      <c r="I40" s="17"/>
      <c r="J40" s="17"/>
      <c r="K40" s="12" t="s">
        <v>263</v>
      </c>
      <c r="L40" s="17"/>
      <c r="M40" s="17">
        <f ca="1">D15*(SUM(H19:H21))</f>
        <v>5250</v>
      </c>
    </row>
    <row r="41" spans="1:13" outlineLevel="1" x14ac:dyDescent="0.25">
      <c r="A41" s="12" t="s">
        <v>138</v>
      </c>
      <c r="D41" s="279">
        <f>'Target Model'!O90+'Target Model'!O93</f>
        <v>16801.075268817203</v>
      </c>
      <c r="H41" s="17"/>
      <c r="I41" s="17"/>
      <c r="J41" s="17"/>
      <c r="K41" s="12" t="s">
        <v>264</v>
      </c>
      <c r="L41" s="17"/>
      <c r="M41" s="17">
        <f ca="1">D14*(M37)</f>
        <v>7590.375</v>
      </c>
    </row>
    <row r="42" spans="1:13" outlineLevel="1" x14ac:dyDescent="0.25">
      <c r="A42" s="12" t="s">
        <v>139</v>
      </c>
      <c r="D42" s="279">
        <f>'Target Model'!O81</f>
        <v>72624.260755462165</v>
      </c>
      <c r="K42" s="12" t="s">
        <v>142</v>
      </c>
      <c r="L42" s="17"/>
      <c r="M42" s="17">
        <f>D16</f>
        <v>2000</v>
      </c>
    </row>
    <row r="43" spans="1:13" outlineLevel="1" x14ac:dyDescent="0.25">
      <c r="A43" s="52" t="s">
        <v>102</v>
      </c>
      <c r="B43" s="52"/>
      <c r="C43" s="53"/>
      <c r="D43" s="52">
        <f ca="1">D40+D41-D42</f>
        <v>506426.81451335509</v>
      </c>
      <c r="F43" s="52" t="s">
        <v>145</v>
      </c>
      <c r="G43" s="52"/>
      <c r="H43" s="52">
        <f ca="1">SUM(H36:H42)</f>
        <v>593891.45026881725</v>
      </c>
      <c r="J43" s="57"/>
      <c r="K43" s="52" t="s">
        <v>265</v>
      </c>
      <c r="L43" s="52"/>
      <c r="M43" s="52">
        <f ca="1">SUM(M36:M42)</f>
        <v>593891.45026881725</v>
      </c>
    </row>
    <row r="44" spans="1:13" outlineLevel="1" x14ac:dyDescent="0.25"/>
    <row r="45" spans="1:13" outlineLevel="1" x14ac:dyDescent="0.25"/>
    <row r="46" spans="1:13" outlineLevel="1" x14ac:dyDescent="0.25"/>
    <row r="47" spans="1:13" outlineLevel="1" x14ac:dyDescent="0.25">
      <c r="A47" s="251" t="s">
        <v>146</v>
      </c>
      <c r="B47" s="251"/>
      <c r="C47" s="280"/>
      <c r="D47" s="251"/>
      <c r="E47" s="251"/>
      <c r="F47" s="251"/>
      <c r="G47" s="251"/>
      <c r="H47" s="251"/>
      <c r="I47" s="251"/>
      <c r="J47" s="251"/>
      <c r="K47" s="251"/>
      <c r="L47" s="251"/>
      <c r="M47" s="251"/>
    </row>
    <row r="48" spans="1:13" outlineLevel="1" x14ac:dyDescent="0.25">
      <c r="A48" s="47" t="s">
        <v>147</v>
      </c>
      <c r="D48" s="12" t="s">
        <v>150</v>
      </c>
      <c r="E48" s="128" t="s">
        <v>152</v>
      </c>
      <c r="F48" s="128" t="s">
        <v>161</v>
      </c>
      <c r="I48" s="47" t="s">
        <v>162</v>
      </c>
    </row>
    <row r="49" spans="1:13" outlineLevel="1" x14ac:dyDescent="0.25">
      <c r="A49" s="16" t="s">
        <v>160</v>
      </c>
      <c r="B49" s="16"/>
      <c r="C49" s="105"/>
      <c r="D49" s="281">
        <f>'Target Model'!O81+'Target Model'!O82+'Target Model'!O83</f>
        <v>86896.32385980853</v>
      </c>
      <c r="E49" s="282">
        <v>168354</v>
      </c>
      <c r="F49" s="16">
        <f>E49-D49</f>
        <v>81457.67614019147</v>
      </c>
      <c r="I49" s="16" t="s">
        <v>169</v>
      </c>
      <c r="J49" s="16"/>
      <c r="K49" s="16"/>
      <c r="L49" s="16"/>
      <c r="M49" s="16">
        <f ca="1">D40</f>
        <v>562250</v>
      </c>
    </row>
    <row r="50" spans="1:13" outlineLevel="1" x14ac:dyDescent="0.25">
      <c r="A50" s="12" t="s">
        <v>148</v>
      </c>
      <c r="D50" s="279">
        <f>'Target Model'!O85</f>
        <v>22173.662914426524</v>
      </c>
      <c r="E50" s="79">
        <v>95854</v>
      </c>
      <c r="F50" s="12">
        <f>E50-D50</f>
        <v>73680.337085573468</v>
      </c>
      <c r="I50" s="12" t="s">
        <v>163</v>
      </c>
      <c r="M50" s="283">
        <f>'Target Model'!O87-'Target Model'!O94</f>
        <v>87899.25928767593</v>
      </c>
    </row>
    <row r="51" spans="1:13" outlineLevel="1" x14ac:dyDescent="0.25">
      <c r="A51" s="12" t="s">
        <v>149</v>
      </c>
      <c r="D51" s="279"/>
      <c r="F51" s="12">
        <f>E51-D51</f>
        <v>0</v>
      </c>
      <c r="I51" s="16" t="s">
        <v>164</v>
      </c>
      <c r="J51" s="16"/>
      <c r="K51" s="16"/>
      <c r="L51" s="16"/>
      <c r="M51" s="16">
        <f ca="1">M49-M50</f>
        <v>474350.74071232404</v>
      </c>
    </row>
    <row r="52" spans="1:13" outlineLevel="1" x14ac:dyDescent="0.25">
      <c r="A52" s="16" t="s">
        <v>151</v>
      </c>
      <c r="B52" s="16"/>
      <c r="C52" s="105"/>
      <c r="D52" s="16">
        <f>SUM(D49:D51)</f>
        <v>109069.98677423506</v>
      </c>
      <c r="E52" s="16">
        <f>SUM(E49:E51)</f>
        <v>264208</v>
      </c>
      <c r="F52" s="16">
        <f>SUM(F49:F51)</f>
        <v>155138.01322576494</v>
      </c>
      <c r="I52" s="12" t="s">
        <v>170</v>
      </c>
      <c r="M52" s="79">
        <v>0</v>
      </c>
    </row>
    <row r="53" spans="1:13" outlineLevel="1" x14ac:dyDescent="0.25">
      <c r="I53" s="12" t="s">
        <v>165</v>
      </c>
      <c r="M53" s="12">
        <f>F52</f>
        <v>155138.01322576494</v>
      </c>
    </row>
    <row r="54" spans="1:13" outlineLevel="1" x14ac:dyDescent="0.25">
      <c r="I54" s="16" t="s">
        <v>166</v>
      </c>
      <c r="J54" s="16"/>
      <c r="K54" s="16"/>
      <c r="L54" s="16"/>
      <c r="M54" s="16">
        <f ca="1">M51-M53</f>
        <v>319212.72748655907</v>
      </c>
    </row>
    <row r="55" spans="1:13" outlineLevel="1" x14ac:dyDescent="0.25">
      <c r="I55" s="52" t="s">
        <v>167</v>
      </c>
      <c r="J55" s="52"/>
      <c r="K55" s="52"/>
      <c r="L55" s="52"/>
      <c r="M55" s="52">
        <f ca="1">M54</f>
        <v>319212.72748655907</v>
      </c>
    </row>
    <row r="56" spans="1:13" outlineLevel="1" x14ac:dyDescent="0.25">
      <c r="I56" s="66"/>
      <c r="J56" s="66"/>
      <c r="K56" s="66"/>
      <c r="L56" s="66"/>
      <c r="M56" s="66"/>
    </row>
    <row r="58" spans="1:13" x14ac:dyDescent="0.25">
      <c r="A58" s="42" t="s">
        <v>217</v>
      </c>
      <c r="B58" s="43"/>
      <c r="C58" s="44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3" outlineLevel="1" x14ac:dyDescent="0.25">
      <c r="D59" s="36"/>
      <c r="E59" s="36"/>
      <c r="F59" s="36"/>
      <c r="G59" s="36"/>
      <c r="H59" s="36"/>
      <c r="I59" s="36"/>
      <c r="J59" s="36"/>
      <c r="K59" s="36"/>
      <c r="L59" s="36"/>
      <c r="M59" s="36"/>
    </row>
    <row r="60" spans="1:13" outlineLevel="1" x14ac:dyDescent="0.25">
      <c r="A60" s="251" t="s">
        <v>258</v>
      </c>
      <c r="B60" s="251"/>
      <c r="C60" s="280"/>
      <c r="D60" s="251"/>
      <c r="E60" s="251"/>
      <c r="F60" s="251"/>
      <c r="G60" s="251"/>
      <c r="H60" s="251"/>
      <c r="I60" s="251"/>
      <c r="J60" s="251"/>
      <c r="K60" s="251"/>
      <c r="L60" s="251"/>
      <c r="M60" s="251"/>
    </row>
    <row r="61" spans="1:13" outlineLevel="1" x14ac:dyDescent="0.25">
      <c r="A61" s="30" t="s">
        <v>179</v>
      </c>
      <c r="B61" s="30"/>
      <c r="C61" s="284"/>
      <c r="D61" s="285">
        <v>1</v>
      </c>
      <c r="E61" s="30">
        <f t="shared" ref="E61:M61" si="0">D61+1</f>
        <v>2</v>
      </c>
      <c r="F61" s="30">
        <f t="shared" si="0"/>
        <v>3</v>
      </c>
      <c r="G61" s="30">
        <f t="shared" si="0"/>
        <v>4</v>
      </c>
      <c r="H61" s="30">
        <f t="shared" si="0"/>
        <v>5</v>
      </c>
      <c r="I61" s="30">
        <f t="shared" si="0"/>
        <v>6</v>
      </c>
      <c r="J61" s="30">
        <f t="shared" si="0"/>
        <v>7</v>
      </c>
      <c r="K61" s="30">
        <f t="shared" si="0"/>
        <v>8</v>
      </c>
      <c r="L61" s="30">
        <f t="shared" si="0"/>
        <v>9</v>
      </c>
      <c r="M61" s="30">
        <f t="shared" si="0"/>
        <v>10</v>
      </c>
    </row>
    <row r="62" spans="1:13" outlineLevel="1" x14ac:dyDescent="0.25">
      <c r="D62" s="255" t="s">
        <v>173</v>
      </c>
      <c r="E62" s="255" t="s">
        <v>1</v>
      </c>
      <c r="F62" s="255" t="s">
        <v>152</v>
      </c>
      <c r="G62" s="255" t="s">
        <v>174</v>
      </c>
      <c r="H62" s="255" t="s">
        <v>175</v>
      </c>
      <c r="I62" s="255" t="s">
        <v>121</v>
      </c>
      <c r="J62" s="255" t="s">
        <v>121</v>
      </c>
      <c r="K62" s="255" t="s">
        <v>121</v>
      </c>
      <c r="L62" s="255" t="s">
        <v>178</v>
      </c>
      <c r="M62" s="255" t="s">
        <v>177</v>
      </c>
    </row>
    <row r="63" spans="1:13" outlineLevel="1" x14ac:dyDescent="0.25">
      <c r="D63" s="286">
        <f>'Acquirer Model'!O4</f>
        <v>43008</v>
      </c>
      <c r="E63" s="286">
        <f>'Target Model'!O4</f>
        <v>43008</v>
      </c>
      <c r="F63" s="16"/>
      <c r="G63" s="16"/>
      <c r="H63" s="287" t="s">
        <v>6</v>
      </c>
      <c r="I63" s="287" t="s">
        <v>272</v>
      </c>
      <c r="J63" s="287" t="s">
        <v>273</v>
      </c>
      <c r="K63" s="287" t="s">
        <v>274</v>
      </c>
      <c r="L63" s="16"/>
      <c r="M63" s="288">
        <f>D9</f>
        <v>43008</v>
      </c>
    </row>
    <row r="64" spans="1:13" outlineLevel="1" x14ac:dyDescent="0.25">
      <c r="A64" s="47" t="s">
        <v>39</v>
      </c>
    </row>
    <row r="65" spans="1:13" outlineLevel="1" x14ac:dyDescent="0.25">
      <c r="A65" s="12" t="s">
        <v>40</v>
      </c>
      <c r="C65" s="12"/>
      <c r="D65" s="283">
        <f>'Acquirer Model'!O81</f>
        <v>153654.01143309698</v>
      </c>
      <c r="E65" s="283">
        <f>'Target Model'!O81</f>
        <v>72624.260755462165</v>
      </c>
      <c r="F65" s="269"/>
      <c r="G65" s="17">
        <f>SUM(E65:F65)</f>
        <v>72624.260755462165</v>
      </c>
      <c r="H65" s="269">
        <f ca="1">-M36</f>
        <v>-309237.5</v>
      </c>
      <c r="I65" s="269">
        <f ca="1">H38</f>
        <v>175000</v>
      </c>
      <c r="J65" s="269">
        <f ca="1">-(M40+M41+M42)</f>
        <v>-14840.375</v>
      </c>
      <c r="K65" s="269">
        <f>-(M38+M39)</f>
        <v>-16801.075268817203</v>
      </c>
      <c r="L65" s="17">
        <f ca="1">SUM(G65:K65)</f>
        <v>-93254.689513355042</v>
      </c>
      <c r="M65" s="12">
        <f ca="1">D65+L65</f>
        <v>60399.321919741938</v>
      </c>
    </row>
    <row r="66" spans="1:13" outlineLevel="1" x14ac:dyDescent="0.25">
      <c r="A66" s="12" t="s">
        <v>41</v>
      </c>
      <c r="C66" s="12"/>
      <c r="D66" s="283">
        <f>'Acquirer Model'!O82</f>
        <v>8201.3340659340665</v>
      </c>
      <c r="E66" s="283">
        <f>'Target Model'!O82</f>
        <v>5868.8857625349556</v>
      </c>
      <c r="F66" s="269"/>
      <c r="G66" s="17">
        <f>SUM(E66:F66)</f>
        <v>5868.8857625349556</v>
      </c>
      <c r="H66" s="269"/>
      <c r="I66" s="269"/>
      <c r="J66" s="269"/>
      <c r="K66" s="269"/>
      <c r="L66" s="17">
        <f>SUM(G66:K66)</f>
        <v>5868.8857625349556</v>
      </c>
      <c r="M66" s="12">
        <f>D66+L66</f>
        <v>14070.219828469022</v>
      </c>
    </row>
    <row r="67" spans="1:13" outlineLevel="1" x14ac:dyDescent="0.25">
      <c r="A67" s="12" t="s">
        <v>42</v>
      </c>
      <c r="C67" s="12"/>
      <c r="D67" s="283">
        <f>'Acquirer Model'!O83</f>
        <v>15309.156923076926</v>
      </c>
      <c r="E67" s="283">
        <f>'Target Model'!O83</f>
        <v>8403.1773418114135</v>
      </c>
      <c r="F67" s="269">
        <f>F49</f>
        <v>81457.67614019147</v>
      </c>
      <c r="G67" s="17">
        <f>SUM(E67:F67)</f>
        <v>89860.853482002887</v>
      </c>
      <c r="H67" s="269"/>
      <c r="I67" s="269"/>
      <c r="J67" s="269"/>
      <c r="K67" s="269"/>
      <c r="L67" s="17">
        <f>SUM(G67:K67)</f>
        <v>89860.853482002887</v>
      </c>
      <c r="M67" s="12">
        <f>D67+L67</f>
        <v>105170.01040507981</v>
      </c>
    </row>
    <row r="68" spans="1:13" outlineLevel="1" x14ac:dyDescent="0.25">
      <c r="A68" s="52" t="s">
        <v>153</v>
      </c>
      <c r="B68" s="52"/>
      <c r="C68" s="52"/>
      <c r="D68" s="52">
        <f>SUM(D65:D67)</f>
        <v>177164.50242210797</v>
      </c>
      <c r="E68" s="52">
        <f>SUM(E65:E67)</f>
        <v>86896.32385980853</v>
      </c>
      <c r="F68" s="289"/>
      <c r="G68" s="126"/>
      <c r="H68" s="289"/>
      <c r="I68" s="289"/>
      <c r="J68" s="289"/>
      <c r="K68" s="289"/>
      <c r="L68" s="52">
        <f ca="1">SUM(L65:L67)</f>
        <v>2475.0497311828076</v>
      </c>
      <c r="M68" s="52">
        <f ca="1">SUM(M65:M67)</f>
        <v>179639.55215329077</v>
      </c>
    </row>
    <row r="69" spans="1:13" outlineLevel="1" x14ac:dyDescent="0.25">
      <c r="A69" s="12" t="s">
        <v>43</v>
      </c>
      <c r="C69" s="12"/>
      <c r="D69" s="283">
        <f>'Acquirer Model'!O85</f>
        <v>43142.892500000002</v>
      </c>
      <c r="E69" s="283">
        <f>'Target Model'!O85</f>
        <v>22173.662914426524</v>
      </c>
      <c r="F69" s="269">
        <f>F50</f>
        <v>73680.337085573468</v>
      </c>
      <c r="G69" s="17">
        <f>SUM(E69:F69)</f>
        <v>95854</v>
      </c>
      <c r="H69" s="269"/>
      <c r="I69" s="269"/>
      <c r="J69" s="269"/>
      <c r="K69" s="269"/>
      <c r="L69" s="17">
        <f>SUM(G69:K69)</f>
        <v>95854</v>
      </c>
      <c r="M69" s="12">
        <f>D69+L69</f>
        <v>138996.89250000002</v>
      </c>
    </row>
    <row r="70" spans="1:13" outlineLevel="1" x14ac:dyDescent="0.25">
      <c r="A70" s="12" t="s">
        <v>176</v>
      </c>
      <c r="C70" s="12"/>
      <c r="D70" s="283">
        <f>'Acquirer Model'!O86</f>
        <v>0</v>
      </c>
      <c r="E70" s="283">
        <f>'Target Model'!O86</f>
        <v>0</v>
      </c>
      <c r="F70" s="269"/>
      <c r="G70" s="17">
        <f>SUM(E70:F70)</f>
        <v>0</v>
      </c>
      <c r="H70" s="269">
        <f ca="1">M55</f>
        <v>319212.72748655907</v>
      </c>
      <c r="I70" s="269"/>
      <c r="J70" s="269"/>
      <c r="K70" s="269"/>
      <c r="L70" s="17">
        <f ca="1">SUM(G70:K70)</f>
        <v>319212.72748655907</v>
      </c>
      <c r="M70" s="12">
        <f ca="1">D70+L70</f>
        <v>319212.72748655907</v>
      </c>
    </row>
    <row r="71" spans="1:13" ht="18.75" outlineLevel="1" thickBot="1" x14ac:dyDescent="0.3">
      <c r="A71" s="86" t="s">
        <v>44</v>
      </c>
      <c r="B71" s="86"/>
      <c r="C71" s="86"/>
      <c r="D71" s="86">
        <f>SUM(D68:D70)</f>
        <v>220307.39492210798</v>
      </c>
      <c r="E71" s="86">
        <f>SUM(E68:E70)</f>
        <v>109069.98677423506</v>
      </c>
      <c r="F71" s="290"/>
      <c r="G71" s="291"/>
      <c r="H71" s="290"/>
      <c r="I71" s="290"/>
      <c r="J71" s="290"/>
      <c r="K71" s="290"/>
      <c r="L71" s="86">
        <f ca="1">SUM(L68:L70)</f>
        <v>417541.77721774188</v>
      </c>
      <c r="M71" s="86">
        <f ca="1">SUM(M68:M70)</f>
        <v>637849.17213984986</v>
      </c>
    </row>
    <row r="72" spans="1:13" ht="18.75" outlineLevel="1" thickTop="1" x14ac:dyDescent="0.25">
      <c r="A72" s="66"/>
      <c r="B72" s="66"/>
      <c r="C72" s="66"/>
      <c r="D72" s="66"/>
      <c r="E72" s="66"/>
      <c r="F72" s="292"/>
      <c r="G72" s="293"/>
      <c r="H72" s="292"/>
      <c r="I72" s="292"/>
      <c r="J72" s="292"/>
      <c r="K72" s="292"/>
      <c r="L72" s="293"/>
      <c r="M72" s="66"/>
    </row>
    <row r="73" spans="1:13" outlineLevel="1" x14ac:dyDescent="0.25">
      <c r="A73" s="47" t="s">
        <v>45</v>
      </c>
      <c r="B73" s="47"/>
      <c r="C73" s="47"/>
      <c r="D73" s="47"/>
      <c r="E73" s="47"/>
      <c r="F73" s="294"/>
      <c r="G73" s="72"/>
      <c r="H73" s="294"/>
      <c r="I73" s="294"/>
      <c r="J73" s="294"/>
      <c r="K73" s="294"/>
      <c r="L73" s="72"/>
      <c r="M73" s="47"/>
    </row>
    <row r="74" spans="1:13" outlineLevel="1" x14ac:dyDescent="0.25">
      <c r="A74" s="12" t="s">
        <v>154</v>
      </c>
      <c r="C74" s="12"/>
      <c r="D74" s="283">
        <f>'Acquirer Model'!O90</f>
        <v>0</v>
      </c>
      <c r="E74" s="283">
        <f>'Target Model'!O90</f>
        <v>0</v>
      </c>
      <c r="F74" s="269"/>
      <c r="G74" s="17">
        <f>SUM(E74:F74)</f>
        <v>0</v>
      </c>
      <c r="H74" s="269"/>
      <c r="I74" s="269"/>
      <c r="J74" s="269"/>
      <c r="K74" s="269"/>
      <c r="L74" s="17">
        <f>SUM(G74:K74)</f>
        <v>0</v>
      </c>
      <c r="M74" s="12">
        <f>D74+L74</f>
        <v>0</v>
      </c>
    </row>
    <row r="75" spans="1:13" outlineLevel="1" x14ac:dyDescent="0.25">
      <c r="A75" s="12" t="s">
        <v>46</v>
      </c>
      <c r="C75" s="12"/>
      <c r="D75" s="283">
        <f>'Acquirer Model'!O91</f>
        <v>7080.4850769230779</v>
      </c>
      <c r="E75" s="283">
        <f>'Target Model'!O91</f>
        <v>4369.6522177419356</v>
      </c>
      <c r="F75" s="269"/>
      <c r="G75" s="17">
        <f>SUM(E75:F75)</f>
        <v>4369.6522177419356</v>
      </c>
      <c r="H75" s="269"/>
      <c r="I75" s="269"/>
      <c r="J75" s="269"/>
      <c r="K75" s="269"/>
      <c r="L75" s="17">
        <f>SUM(G75:K75)</f>
        <v>4369.6522177419356</v>
      </c>
      <c r="M75" s="12">
        <f>D75+L75</f>
        <v>11450.137294665014</v>
      </c>
    </row>
    <row r="76" spans="1:13" outlineLevel="1" x14ac:dyDescent="0.25">
      <c r="A76" s="52" t="s">
        <v>156</v>
      </c>
      <c r="B76" s="52"/>
      <c r="C76" s="52"/>
      <c r="D76" s="52">
        <f>SUM(D74:D75)</f>
        <v>7080.4850769230779</v>
      </c>
      <c r="E76" s="52">
        <f>SUM(E74:E75)</f>
        <v>4369.6522177419356</v>
      </c>
      <c r="F76" s="289"/>
      <c r="G76" s="126"/>
      <c r="H76" s="289"/>
      <c r="I76" s="289"/>
      <c r="J76" s="289"/>
      <c r="K76" s="289"/>
      <c r="L76" s="52">
        <f>SUM(L74:L75)</f>
        <v>4369.6522177419356</v>
      </c>
      <c r="M76" s="52">
        <f>SUM(M74:M75)</f>
        <v>11450.137294665014</v>
      </c>
    </row>
    <row r="77" spans="1:13" outlineLevel="1" x14ac:dyDescent="0.25">
      <c r="A77" s="12" t="s">
        <v>155</v>
      </c>
      <c r="C77" s="12"/>
      <c r="D77" s="283">
        <f>'Acquirer Model'!O93</f>
        <v>30000</v>
      </c>
      <c r="E77" s="283">
        <f>'Target Model'!O93</f>
        <v>16801.075268817203</v>
      </c>
      <c r="F77" s="269"/>
      <c r="G77" s="17">
        <f>SUM(E77:F77)</f>
        <v>16801.075268817203</v>
      </c>
      <c r="H77" s="269"/>
      <c r="I77" s="269">
        <f ca="1">H38</f>
        <v>175000</v>
      </c>
      <c r="J77" s="269"/>
      <c r="K77" s="269">
        <f>K65</f>
        <v>-16801.075268817203</v>
      </c>
      <c r="L77" s="17">
        <f ca="1">SUM(G77:K77)</f>
        <v>175000</v>
      </c>
      <c r="M77" s="12">
        <f ca="1">D77+L77</f>
        <v>205000</v>
      </c>
    </row>
    <row r="78" spans="1:13" outlineLevel="1" x14ac:dyDescent="0.25">
      <c r="A78" s="52" t="s">
        <v>47</v>
      </c>
      <c r="B78" s="52"/>
      <c r="C78" s="52"/>
      <c r="D78" s="52">
        <f>SUM(D76:D77)</f>
        <v>37080.485076923076</v>
      </c>
      <c r="E78" s="52">
        <f>SUM(E76:E77)</f>
        <v>21170.727486559139</v>
      </c>
      <c r="F78" s="289"/>
      <c r="G78" s="126"/>
      <c r="H78" s="289"/>
      <c r="I78" s="289"/>
      <c r="J78" s="289"/>
      <c r="K78" s="289"/>
      <c r="L78" s="52">
        <f ca="1">SUM(L76:L77)</f>
        <v>179369.65221774194</v>
      </c>
      <c r="M78" s="52">
        <f ca="1">SUM(M76:M77)</f>
        <v>216450.13729466501</v>
      </c>
    </row>
    <row r="79" spans="1:13" outlineLevel="1" x14ac:dyDescent="0.25">
      <c r="A79" s="47" t="s">
        <v>48</v>
      </c>
      <c r="B79" s="47"/>
      <c r="C79" s="47"/>
      <c r="D79" s="47"/>
      <c r="E79" s="47"/>
      <c r="F79" s="294"/>
      <c r="G79" s="72"/>
      <c r="H79" s="294"/>
      <c r="I79" s="294"/>
      <c r="J79" s="294"/>
      <c r="K79" s="294"/>
      <c r="L79" s="72"/>
      <c r="M79" s="47"/>
    </row>
    <row r="80" spans="1:13" outlineLevel="1" x14ac:dyDescent="0.25">
      <c r="A80" s="12" t="s">
        <v>49</v>
      </c>
      <c r="C80" s="12"/>
      <c r="D80" s="283">
        <f>'Acquirer Model'!O96</f>
        <v>70000</v>
      </c>
      <c r="E80" s="283">
        <f>'Target Model'!O96</f>
        <v>39202.508960573476</v>
      </c>
      <c r="F80" s="269"/>
      <c r="G80" s="17">
        <f>SUM(E80:F80)</f>
        <v>39202.508960573476</v>
      </c>
      <c r="H80" s="269">
        <f>-G80</f>
        <v>-39202.508960573476</v>
      </c>
      <c r="I80" s="269">
        <f ca="1">M37</f>
        <v>253012.5</v>
      </c>
      <c r="J80" s="269"/>
      <c r="K80" s="269"/>
      <c r="L80" s="17">
        <f ca="1">SUM(G80:K80)</f>
        <v>253012.5</v>
      </c>
      <c r="M80" s="12">
        <f ca="1">D80+L80</f>
        <v>323012.5</v>
      </c>
    </row>
    <row r="81" spans="1:13" outlineLevel="1" x14ac:dyDescent="0.25">
      <c r="A81" s="12" t="s">
        <v>50</v>
      </c>
      <c r="C81" s="12"/>
      <c r="D81" s="283">
        <f>'Acquirer Model'!O97</f>
        <v>113226.90984518488</v>
      </c>
      <c r="E81" s="283">
        <f>'Target Model'!O97</f>
        <v>48696.750327102432</v>
      </c>
      <c r="F81" s="269"/>
      <c r="G81" s="17">
        <f>SUM(E81:F81)</f>
        <v>48696.750327102432</v>
      </c>
      <c r="H81" s="269">
        <f>-G81</f>
        <v>-48696.750327102432</v>
      </c>
      <c r="I81" s="269"/>
      <c r="J81" s="269">
        <f ca="1">J65</f>
        <v>-14840.375</v>
      </c>
      <c r="K81" s="269"/>
      <c r="L81" s="17">
        <f ca="1">SUM(G81:K81)</f>
        <v>-14840.375</v>
      </c>
      <c r="M81" s="12">
        <f ca="1">D81+L81</f>
        <v>98386.534845184884</v>
      </c>
    </row>
    <row r="82" spans="1:13" outlineLevel="1" x14ac:dyDescent="0.25">
      <c r="A82" s="101" t="s">
        <v>48</v>
      </c>
      <c r="B82" s="101"/>
      <c r="C82" s="101"/>
      <c r="D82" s="101">
        <f>SUM(D80:D81)</f>
        <v>183226.90984518488</v>
      </c>
      <c r="E82" s="101">
        <f>SUM(E80:E81)</f>
        <v>87899.259287675901</v>
      </c>
      <c r="F82" s="295"/>
      <c r="G82" s="101"/>
      <c r="H82" s="295"/>
      <c r="I82" s="295"/>
      <c r="J82" s="295"/>
      <c r="K82" s="295"/>
      <c r="L82" s="101">
        <f ca="1">SUM(L80:L81)</f>
        <v>238172.125</v>
      </c>
      <c r="M82" s="101">
        <f ca="1">SUM(M80:M81)</f>
        <v>421399.03484518488</v>
      </c>
    </row>
    <row r="83" spans="1:13" ht="18.75" outlineLevel="1" thickBot="1" x14ac:dyDescent="0.3">
      <c r="A83" s="86" t="s">
        <v>51</v>
      </c>
      <c r="B83" s="86"/>
      <c r="C83" s="86"/>
      <c r="D83" s="86">
        <f>SUM(D78,D82)</f>
        <v>220307.39492210795</v>
      </c>
      <c r="E83" s="86">
        <f>SUM(E82,E78)</f>
        <v>109069.98677423503</v>
      </c>
      <c r="F83" s="290"/>
      <c r="G83" s="86"/>
      <c r="H83" s="290"/>
      <c r="I83" s="290"/>
      <c r="J83" s="290"/>
      <c r="K83" s="290"/>
      <c r="L83" s="86">
        <f ca="1">SUM(L82,L78)</f>
        <v>417541.77721774194</v>
      </c>
      <c r="M83" s="86">
        <f ca="1">SUM(M82,M78)</f>
        <v>637849.17213984986</v>
      </c>
    </row>
    <row r="84" spans="1:13" ht="18.75" outlineLevel="1" thickTop="1" x14ac:dyDescent="0.25">
      <c r="M84" s="12" t="s">
        <v>275</v>
      </c>
    </row>
    <row r="85" spans="1:13" outlineLevel="1" x14ac:dyDescent="0.25">
      <c r="A85" s="30" t="s">
        <v>52</v>
      </c>
      <c r="B85" s="30"/>
      <c r="C85" s="284"/>
      <c r="D85" s="296">
        <f>D83-D71</f>
        <v>0</v>
      </c>
      <c r="E85" s="296">
        <f>E83-E71</f>
        <v>0</v>
      </c>
      <c r="F85" s="30"/>
      <c r="G85" s="30"/>
      <c r="H85" s="30"/>
      <c r="I85" s="30"/>
      <c r="L85" s="296">
        <f ca="1">L83-L71</f>
        <v>0</v>
      </c>
      <c r="M85" s="296">
        <f ca="1">M83-M71</f>
        <v>0</v>
      </c>
    </row>
    <row r="86" spans="1:13" outlineLevel="1" x14ac:dyDescent="0.25"/>
    <row r="88" spans="1:13" x14ac:dyDescent="0.25">
      <c r="A88" s="42" t="s">
        <v>191</v>
      </c>
      <c r="B88" s="43"/>
      <c r="C88" s="44"/>
      <c r="D88" s="43"/>
      <c r="E88" s="43"/>
      <c r="F88" s="43"/>
      <c r="G88" s="43"/>
      <c r="H88" s="43"/>
      <c r="I88" s="43"/>
      <c r="J88" s="43"/>
      <c r="K88" s="43"/>
      <c r="L88" s="43"/>
      <c r="M88" s="43"/>
    </row>
    <row r="89" spans="1:13" outlineLevel="1" x14ac:dyDescent="0.25">
      <c r="G89" s="130"/>
    </row>
    <row r="90" spans="1:13" ht="20.25" outlineLevel="1" x14ac:dyDescent="0.4">
      <c r="B90" s="297"/>
      <c r="I90" s="298">
        <f>'Pro Forma Model'!J2</f>
        <v>2018</v>
      </c>
      <c r="J90" s="298">
        <f>'Pro Forma Model'!K2</f>
        <v>2019</v>
      </c>
      <c r="K90" s="298">
        <f>'Pro Forma Model'!L2</f>
        <v>2020</v>
      </c>
      <c r="L90" s="298">
        <f>'Pro Forma Model'!M2</f>
        <v>2021</v>
      </c>
      <c r="M90" s="298">
        <f>'Pro Forma Model'!N2</f>
        <v>2022</v>
      </c>
    </row>
    <row r="91" spans="1:13" outlineLevel="1" x14ac:dyDescent="0.25">
      <c r="A91" s="16"/>
      <c r="B91" s="16"/>
      <c r="C91" s="105"/>
      <c r="D91" s="16"/>
      <c r="E91" s="16"/>
      <c r="F91" s="16"/>
      <c r="G91" s="299"/>
      <c r="H91" s="16"/>
      <c r="I91" s="16"/>
      <c r="J91" s="16"/>
      <c r="K91" s="16"/>
      <c r="L91" s="16"/>
      <c r="M91" s="16"/>
    </row>
    <row r="92" spans="1:13" ht="20.25" outlineLevel="1" x14ac:dyDescent="0.4">
      <c r="A92" s="292" t="s">
        <v>210</v>
      </c>
      <c r="B92" s="300"/>
      <c r="C92" s="300"/>
      <c r="D92" s="300"/>
      <c r="E92" s="300"/>
      <c r="F92" s="300"/>
      <c r="G92" s="300"/>
      <c r="H92" s="300"/>
      <c r="I92" s="300"/>
      <c r="J92" s="300"/>
      <c r="K92" s="300"/>
      <c r="L92" s="300"/>
      <c r="M92" s="300"/>
    </row>
    <row r="93" spans="1:13" outlineLevel="1" x14ac:dyDescent="0.25">
      <c r="A93" s="12" t="s">
        <v>192</v>
      </c>
      <c r="I93" s="283">
        <f>'Acquirer Model'!J75</f>
        <v>33098.601599999995</v>
      </c>
      <c r="J93" s="283">
        <f>'Acquirer Model'!K75</f>
        <v>49004.311017600005</v>
      </c>
      <c r="K93" s="283">
        <f>'Acquirer Model'!L75</f>
        <v>40290.104328768008</v>
      </c>
      <c r="L93" s="283">
        <f>'Acquirer Model'!M75</f>
        <v>42824.292575074571</v>
      </c>
      <c r="M93" s="283">
        <f>'Acquirer Model'!N75</f>
        <v>46787.531481800179</v>
      </c>
    </row>
    <row r="94" spans="1:13" outlineLevel="1" x14ac:dyDescent="0.25">
      <c r="A94" s="12" t="s">
        <v>193</v>
      </c>
      <c r="I94" s="283">
        <f>'Target Model'!J75</f>
        <v>23909.776090949821</v>
      </c>
      <c r="J94" s="283">
        <f>'Target Model'!K75</f>
        <v>34184.108635125449</v>
      </c>
      <c r="K94" s="283">
        <f>'Target Model'!L75</f>
        <v>32117.515928745517</v>
      </c>
      <c r="L94" s="283">
        <f>'Target Model'!M75</f>
        <v>35302.790093081014</v>
      </c>
      <c r="M94" s="283">
        <f>'Target Model'!N75</f>
        <v>38427.939633260845</v>
      </c>
    </row>
    <row r="95" spans="1:13" outlineLevel="1" x14ac:dyDescent="0.25">
      <c r="A95" s="12" t="s">
        <v>194</v>
      </c>
      <c r="I95" s="283">
        <f ca="1">'Pro Forma Model'!J45</f>
        <v>43658.552790197158</v>
      </c>
      <c r="J95" s="283">
        <f ca="1">'Pro Forma Model'!K45</f>
        <v>74431.62217149105</v>
      </c>
      <c r="K95" s="283">
        <f ca="1">'Pro Forma Model'!L45</f>
        <v>70056.40846572016</v>
      </c>
      <c r="L95" s="283">
        <f ca="1">'Pro Forma Model'!M45</f>
        <v>78412.418345372978</v>
      </c>
      <c r="M95" s="283">
        <f ca="1">'Pro Forma Model'!N45</f>
        <v>86323.7386277685</v>
      </c>
    </row>
    <row r="96" spans="1:13" outlineLevel="1" x14ac:dyDescent="0.25"/>
    <row r="97" spans="1:13" outlineLevel="1" x14ac:dyDescent="0.25">
      <c r="A97" s="12" t="s">
        <v>195</v>
      </c>
      <c r="I97" s="12">
        <f>$D$21</f>
        <v>50000</v>
      </c>
      <c r="J97" s="12">
        <f>$D$21</f>
        <v>50000</v>
      </c>
      <c r="K97" s="12">
        <f>$D$21</f>
        <v>50000</v>
      </c>
      <c r="L97" s="12">
        <f>$D$21</f>
        <v>50000</v>
      </c>
      <c r="M97" s="12">
        <f>$D$21</f>
        <v>50000</v>
      </c>
    </row>
    <row r="98" spans="1:13" outlineLevel="1" x14ac:dyDescent="0.25">
      <c r="A98" s="12" t="s">
        <v>196</v>
      </c>
      <c r="I98" s="12">
        <f>$D$22</f>
        <v>25000</v>
      </c>
      <c r="J98" s="12">
        <f>$D$22</f>
        <v>25000</v>
      </c>
      <c r="K98" s="12">
        <f>$D$22</f>
        <v>25000</v>
      </c>
      <c r="L98" s="12">
        <f>$D$22</f>
        <v>25000</v>
      </c>
      <c r="M98" s="12">
        <f>$D$22</f>
        <v>25000</v>
      </c>
    </row>
    <row r="99" spans="1:13" outlineLevel="1" x14ac:dyDescent="0.25">
      <c r="A99" s="12" t="s">
        <v>197</v>
      </c>
      <c r="I99" s="12">
        <f ca="1">$D$24</f>
        <v>71750.483558994194</v>
      </c>
      <c r="J99" s="12">
        <f ca="1">$D$24</f>
        <v>71750.483558994194</v>
      </c>
      <c r="K99" s="12">
        <f ca="1">$D$24</f>
        <v>71750.483558994194</v>
      </c>
      <c r="L99" s="12">
        <f ca="1">$D$24</f>
        <v>71750.483558994194</v>
      </c>
      <c r="M99" s="12">
        <f ca="1">$D$24</f>
        <v>71750.483558994194</v>
      </c>
    </row>
    <row r="100" spans="1:13" outlineLevel="1" x14ac:dyDescent="0.25"/>
    <row r="101" spans="1:13" outlineLevel="1" x14ac:dyDescent="0.25">
      <c r="A101" s="12" t="s">
        <v>200</v>
      </c>
      <c r="I101" s="124">
        <f>I93/I97</f>
        <v>0.66197203199999988</v>
      </c>
      <c r="J101" s="124">
        <f>J93/J97</f>
        <v>0.9800862203520001</v>
      </c>
      <c r="K101" s="124">
        <f>K93/K97</f>
        <v>0.80580208657536012</v>
      </c>
      <c r="L101" s="124">
        <f>L93/L97</f>
        <v>0.85648585150149137</v>
      </c>
      <c r="M101" s="124">
        <f>M93/M97</f>
        <v>0.93575062963600353</v>
      </c>
    </row>
    <row r="102" spans="1:13" outlineLevel="1" x14ac:dyDescent="0.25">
      <c r="A102" s="12" t="s">
        <v>201</v>
      </c>
      <c r="I102" s="124">
        <f t="shared" ref="I102:M103" si="1">I94/I98</f>
        <v>0.95639104363799288</v>
      </c>
      <c r="J102" s="124">
        <f t="shared" si="1"/>
        <v>1.3673643454050179</v>
      </c>
      <c r="K102" s="124">
        <f t="shared" si="1"/>
        <v>1.2847006371498206</v>
      </c>
      <c r="L102" s="124">
        <f t="shared" si="1"/>
        <v>1.4121116037232406</v>
      </c>
      <c r="M102" s="124">
        <f t="shared" si="1"/>
        <v>1.5371175853304337</v>
      </c>
    </row>
    <row r="103" spans="1:13" outlineLevel="1" x14ac:dyDescent="0.25">
      <c r="A103" s="12" t="s">
        <v>202</v>
      </c>
      <c r="I103" s="124">
        <f t="shared" ca="1" si="1"/>
        <v>0.60847747115600304</v>
      </c>
      <c r="J103" s="124">
        <f t="shared" ca="1" si="1"/>
        <v>1.0373675337016006</v>
      </c>
      <c r="K103" s="124">
        <f t="shared" ca="1" si="1"/>
        <v>0.97638935643017455</v>
      </c>
      <c r="L103" s="124">
        <f t="shared" ca="1" si="1"/>
        <v>1.0928486395621466</v>
      </c>
      <c r="M103" s="124">
        <f t="shared" ca="1" si="1"/>
        <v>1.2031102000419549</v>
      </c>
    </row>
    <row r="104" spans="1:13" outlineLevel="1" x14ac:dyDescent="0.25"/>
    <row r="105" spans="1:13" outlineLevel="1" x14ac:dyDescent="0.25">
      <c r="A105" s="301" t="s">
        <v>203</v>
      </c>
      <c r="B105" s="302"/>
      <c r="C105" s="303"/>
      <c r="D105" s="302"/>
      <c r="E105" s="302"/>
      <c r="F105" s="302"/>
      <c r="G105" s="302"/>
      <c r="H105" s="302"/>
      <c r="I105" s="304">
        <f ca="1">I103/I101-1</f>
        <v>-8.0810907799797826E-2</v>
      </c>
      <c r="J105" s="304">
        <f ca="1">J103/J101-1</f>
        <v>5.8445177740615417E-2</v>
      </c>
      <c r="K105" s="304">
        <f ca="1">K103/K101-1</f>
        <v>0.21169871944587082</v>
      </c>
      <c r="L105" s="304">
        <f ca="1">L103/L101-1</f>
        <v>0.2759681174490991</v>
      </c>
      <c r="M105" s="305">
        <f ca="1">M103/M101-1</f>
        <v>0.28571668769269354</v>
      </c>
    </row>
    <row r="106" spans="1:13" outlineLevel="1" x14ac:dyDescent="0.25">
      <c r="I106" s="306"/>
      <c r="J106" s="306"/>
      <c r="K106" s="306"/>
      <c r="L106" s="306"/>
      <c r="M106" s="306"/>
    </row>
    <row r="107" spans="1:13" ht="20.25" outlineLevel="1" x14ac:dyDescent="0.4">
      <c r="A107" s="292" t="s">
        <v>211</v>
      </c>
      <c r="B107" s="300"/>
      <c r="C107" s="300"/>
      <c r="D107" s="300"/>
      <c r="E107" s="300"/>
      <c r="F107" s="300"/>
      <c r="G107" s="300"/>
      <c r="H107" s="300"/>
      <c r="I107" s="300"/>
      <c r="J107" s="300"/>
      <c r="K107" s="300"/>
      <c r="L107" s="300"/>
      <c r="M107" s="300"/>
    </row>
    <row r="108" spans="1:13" outlineLevel="1" x14ac:dyDescent="0.25">
      <c r="A108" s="12" t="s">
        <v>204</v>
      </c>
      <c r="I108" s="283">
        <f>'Acquirer Model'!J110</f>
        <v>38099.324112876711</v>
      </c>
      <c r="J108" s="283">
        <f>'Acquirer Model'!K110</f>
        <v>54457.720463517806</v>
      </c>
      <c r="K108" s="283">
        <f>'Acquirer Model'!L110</f>
        <v>48888.281031119011</v>
      </c>
      <c r="L108" s="283">
        <f>'Acquirer Model'!M110</f>
        <v>52048.228009667699</v>
      </c>
      <c r="M108" s="283">
        <f>'Acquirer Model'!N110</f>
        <v>57202.842683973664</v>
      </c>
    </row>
    <row r="109" spans="1:13" outlineLevel="1" x14ac:dyDescent="0.25">
      <c r="A109" s="12" t="s">
        <v>205</v>
      </c>
      <c r="I109" s="283">
        <f>'Target Model'!J110</f>
        <v>28274.493033184812</v>
      </c>
      <c r="J109" s="283">
        <f>'Target Model'!K110</f>
        <v>37864.425682677858</v>
      </c>
      <c r="K109" s="283">
        <f>'Target Model'!L110</f>
        <v>35998.424560021434</v>
      </c>
      <c r="L109" s="283">
        <f>'Target Model'!M110</f>
        <v>39408.640605702574</v>
      </c>
      <c r="M109" s="283">
        <f>'Target Model'!N110</f>
        <v>42879.543661297648</v>
      </c>
    </row>
    <row r="110" spans="1:13" outlineLevel="1" x14ac:dyDescent="0.25">
      <c r="A110" s="12" t="s">
        <v>206</v>
      </c>
      <c r="I110" s="283">
        <f ca="1">'Pro Forma Model'!J80</f>
        <v>64271.189459843808</v>
      </c>
      <c r="J110" s="283">
        <f ca="1">'Pro Forma Model'!K80</f>
        <v>93090.100975662164</v>
      </c>
      <c r="K110" s="283">
        <f ca="1">'Pro Forma Model'!L80</f>
        <v>91033.801193064428</v>
      </c>
      <c r="L110" s="283">
        <f ca="1">'Pro Forma Model'!M80</f>
        <v>98537.856789240264</v>
      </c>
      <c r="M110" s="283">
        <f ca="1">'Pro Forma Model'!N80</f>
        <v>106633.18759799757</v>
      </c>
    </row>
    <row r="111" spans="1:13" outlineLevel="1" x14ac:dyDescent="0.25"/>
    <row r="112" spans="1:13" outlineLevel="1" x14ac:dyDescent="0.25">
      <c r="A112" s="12" t="s">
        <v>195</v>
      </c>
      <c r="I112" s="12">
        <f>$D$21</f>
        <v>50000</v>
      </c>
      <c r="J112" s="12">
        <f>$D$21</f>
        <v>50000</v>
      </c>
      <c r="K112" s="12">
        <f>$D$21</f>
        <v>50000</v>
      </c>
      <c r="L112" s="12">
        <f>$D$21</f>
        <v>50000</v>
      </c>
      <c r="M112" s="12">
        <f>$D$21</f>
        <v>50000</v>
      </c>
    </row>
    <row r="113" spans="1:13" outlineLevel="1" x14ac:dyDescent="0.25">
      <c r="A113" s="12" t="s">
        <v>196</v>
      </c>
      <c r="I113" s="12">
        <f>$D$22</f>
        <v>25000</v>
      </c>
      <c r="J113" s="12">
        <f>$D$22</f>
        <v>25000</v>
      </c>
      <c r="K113" s="12">
        <f>$D$22</f>
        <v>25000</v>
      </c>
      <c r="L113" s="12">
        <f>$D$22</f>
        <v>25000</v>
      </c>
      <c r="M113" s="12">
        <f>$D$22</f>
        <v>25000</v>
      </c>
    </row>
    <row r="114" spans="1:13" outlineLevel="1" x14ac:dyDescent="0.25">
      <c r="A114" s="12" t="s">
        <v>197</v>
      </c>
      <c r="I114" s="12">
        <f ca="1">$D$24</f>
        <v>71750.483558994194</v>
      </c>
      <c r="J114" s="12">
        <f ca="1">$D$24</f>
        <v>71750.483558994194</v>
      </c>
      <c r="K114" s="12">
        <f ca="1">$D$24</f>
        <v>71750.483558994194</v>
      </c>
      <c r="L114" s="12">
        <f ca="1">$D$24</f>
        <v>71750.483558994194</v>
      </c>
      <c r="M114" s="12">
        <f ca="1">$D$24</f>
        <v>71750.483558994194</v>
      </c>
    </row>
    <row r="115" spans="1:13" outlineLevel="1" x14ac:dyDescent="0.25"/>
    <row r="116" spans="1:13" outlineLevel="1" x14ac:dyDescent="0.25">
      <c r="A116" s="12" t="s">
        <v>207</v>
      </c>
      <c r="I116" s="124">
        <f t="shared" ref="I116:M118" si="2">I108/I112</f>
        <v>0.76198648225753418</v>
      </c>
      <c r="J116" s="124">
        <f t="shared" si="2"/>
        <v>1.0891544092703562</v>
      </c>
      <c r="K116" s="124">
        <f t="shared" si="2"/>
        <v>0.97776562062238026</v>
      </c>
      <c r="L116" s="124">
        <f t="shared" si="2"/>
        <v>1.0409645601933539</v>
      </c>
      <c r="M116" s="124">
        <f t="shared" si="2"/>
        <v>1.1440568536794733</v>
      </c>
    </row>
    <row r="117" spans="1:13" outlineLevel="1" x14ac:dyDescent="0.25">
      <c r="A117" s="12" t="s">
        <v>208</v>
      </c>
      <c r="I117" s="124">
        <f t="shared" si="2"/>
        <v>1.1309797213273924</v>
      </c>
      <c r="J117" s="124">
        <f t="shared" si="2"/>
        <v>1.5145770273071144</v>
      </c>
      <c r="K117" s="124">
        <f t="shared" si="2"/>
        <v>1.4399369824008574</v>
      </c>
      <c r="L117" s="124">
        <f t="shared" si="2"/>
        <v>1.5763456242281029</v>
      </c>
      <c r="M117" s="124">
        <f t="shared" si="2"/>
        <v>1.7151817464519059</v>
      </c>
    </row>
    <row r="118" spans="1:13" outlineLevel="1" x14ac:dyDescent="0.25">
      <c r="A118" s="12" t="s">
        <v>209</v>
      </c>
      <c r="I118" s="124">
        <f t="shared" ca="1" si="2"/>
        <v>0.89575966978674348</v>
      </c>
      <c r="J118" s="124">
        <f t="shared" ca="1" si="2"/>
        <v>1.2974142661926766</v>
      </c>
      <c r="K118" s="124">
        <f t="shared" ca="1" si="2"/>
        <v>1.2687552289207256</v>
      </c>
      <c r="L118" s="124">
        <f t="shared" ca="1" si="2"/>
        <v>1.3733406647806232</v>
      </c>
      <c r="M118" s="124">
        <f t="shared" ca="1" si="2"/>
        <v>1.4861668146155749</v>
      </c>
    </row>
    <row r="119" spans="1:13" outlineLevel="1" x14ac:dyDescent="0.25"/>
    <row r="120" spans="1:13" outlineLevel="1" x14ac:dyDescent="0.25">
      <c r="A120" s="301" t="s">
        <v>203</v>
      </c>
      <c r="B120" s="302"/>
      <c r="C120" s="303"/>
      <c r="D120" s="302"/>
      <c r="E120" s="302"/>
      <c r="F120" s="302"/>
      <c r="G120" s="302"/>
      <c r="H120" s="302"/>
      <c r="I120" s="304">
        <f ca="1">I118/I116-1</f>
        <v>0.17555847858728413</v>
      </c>
      <c r="J120" s="304">
        <f ca="1">J118/J116-1</f>
        <v>0.1912124260340986</v>
      </c>
      <c r="K120" s="304">
        <f ca="1">K118/K116-1</f>
        <v>0.29760670876638184</v>
      </c>
      <c r="L120" s="304">
        <f ca="1">L118/L116-1</f>
        <v>0.31929627318487386</v>
      </c>
      <c r="M120" s="305">
        <f ca="1">M118/M116-1</f>
        <v>0.29903230756043309</v>
      </c>
    </row>
    <row r="121" spans="1:13" outlineLevel="1" x14ac:dyDescent="0.25">
      <c r="I121" s="306"/>
      <c r="J121" s="306"/>
      <c r="K121" s="306"/>
      <c r="L121" s="306"/>
      <c r="M121" s="306"/>
    </row>
    <row r="123" spans="1:13" x14ac:dyDescent="0.25">
      <c r="A123" s="42" t="s">
        <v>244</v>
      </c>
      <c r="B123" s="43"/>
      <c r="C123" s="44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spans="1:13" outlineLevel="1" x14ac:dyDescent="0.25"/>
    <row r="125" spans="1:13" outlineLevel="1" x14ac:dyDescent="0.25">
      <c r="A125" s="307" t="s">
        <v>239</v>
      </c>
      <c r="B125" s="307"/>
      <c r="C125" s="307"/>
      <c r="D125" s="307"/>
      <c r="E125" s="307"/>
      <c r="F125" s="307"/>
      <c r="H125" s="307" t="s">
        <v>245</v>
      </c>
      <c r="I125" s="307"/>
      <c r="J125" s="307"/>
      <c r="K125" s="307"/>
      <c r="L125" s="307"/>
      <c r="M125" s="307"/>
    </row>
    <row r="126" spans="1:13" outlineLevel="1" x14ac:dyDescent="0.25">
      <c r="C126" s="12"/>
      <c r="D126" s="255" t="s">
        <v>134</v>
      </c>
      <c r="E126" s="255" t="s">
        <v>243</v>
      </c>
      <c r="F126" s="255" t="s">
        <v>82</v>
      </c>
      <c r="K126" s="255" t="s">
        <v>248</v>
      </c>
      <c r="L126" s="255" t="s">
        <v>249</v>
      </c>
      <c r="M126" s="255" t="s">
        <v>250</v>
      </c>
    </row>
    <row r="127" spans="1:13" outlineLevel="1" x14ac:dyDescent="0.25">
      <c r="A127" s="16" t="s">
        <v>241</v>
      </c>
      <c r="B127" s="16"/>
      <c r="C127" s="105"/>
      <c r="D127" s="308">
        <f ca="1">D33</f>
        <v>22.490000000000002</v>
      </c>
      <c r="E127" s="308">
        <f>D8</f>
        <v>17.3</v>
      </c>
      <c r="F127" s="309">
        <f>'Target Model'!C186</f>
        <v>17.530875724990839</v>
      </c>
      <c r="H127" s="52" t="s">
        <v>247</v>
      </c>
      <c r="I127" s="52"/>
      <c r="J127" s="16"/>
      <c r="K127" s="310">
        <f>'Acquirer Model'!C184</f>
        <v>578336.62507414899</v>
      </c>
      <c r="L127" s="310">
        <f ca="1">'Pro Forma Model'!C196</f>
        <v>840368.97679592331</v>
      </c>
      <c r="M127" s="311">
        <f ca="1">L127/K127-1</f>
        <v>0.45307929735243535</v>
      </c>
    </row>
    <row r="128" spans="1:13" outlineLevel="1" x14ac:dyDescent="0.25">
      <c r="A128" s="47" t="s">
        <v>173</v>
      </c>
      <c r="E128" s="270"/>
      <c r="F128" s="312"/>
      <c r="H128" s="12" t="s">
        <v>40</v>
      </c>
      <c r="K128" s="283">
        <f>'Acquirer Model'!C182</f>
        <v>153654.01143309698</v>
      </c>
      <c r="L128" s="283">
        <f ca="1">'Pro Forma Model'!C194</f>
        <v>60399.321919741938</v>
      </c>
      <c r="M128" s="313">
        <f ca="1">L128/K128-1</f>
        <v>-0.60691347166005749</v>
      </c>
    </row>
    <row r="129" spans="1:13" outlineLevel="1" x14ac:dyDescent="0.25">
      <c r="A129" s="12" t="s">
        <v>240</v>
      </c>
      <c r="E129" s="270">
        <f>D7</f>
        <v>11.75</v>
      </c>
      <c r="F129" s="312">
        <f>'Acquirer Model'!C186</f>
        <v>11.56673250148298</v>
      </c>
      <c r="H129" s="12" t="s">
        <v>246</v>
      </c>
      <c r="K129" s="283">
        <f>'Acquirer Model'!C183</f>
        <v>30000</v>
      </c>
      <c r="L129" s="283">
        <f ca="1">'Pro Forma Model'!C195</f>
        <v>205000</v>
      </c>
      <c r="M129" s="313">
        <f ca="1">L129/K129-1</f>
        <v>5.833333333333333</v>
      </c>
    </row>
    <row r="130" spans="1:13" outlineLevel="1" x14ac:dyDescent="0.25">
      <c r="A130" s="12" t="s">
        <v>242</v>
      </c>
      <c r="E130" s="314"/>
      <c r="F130" s="312">
        <f ca="1">'Pro Forma Model'!C198</f>
        <v>11.712380671343642</v>
      </c>
      <c r="H130" s="16" t="s">
        <v>102</v>
      </c>
      <c r="I130" s="16"/>
      <c r="J130" s="16"/>
      <c r="K130" s="13">
        <f>K127-K128+K129</f>
        <v>454682.61364105204</v>
      </c>
      <c r="L130" s="13">
        <f ca="1">L127-L128+L129</f>
        <v>984969.65487618139</v>
      </c>
      <c r="M130" s="315">
        <f ca="1">L130/K130-1</f>
        <v>1.1662795658462608</v>
      </c>
    </row>
    <row r="131" spans="1:13" outlineLevel="1" x14ac:dyDescent="0.25">
      <c r="A131" s="52" t="s">
        <v>238</v>
      </c>
      <c r="B131" s="52"/>
      <c r="C131" s="53"/>
      <c r="D131" s="53"/>
      <c r="E131" s="53"/>
      <c r="F131" s="316">
        <f ca="1">F130-F129</f>
        <v>0.14564816986066198</v>
      </c>
      <c r="M131" s="317"/>
    </row>
    <row r="132" spans="1:13" outlineLevel="1" x14ac:dyDescent="0.25">
      <c r="E132" s="318"/>
      <c r="F132" s="318">
        <f ca="1">F131/F129</f>
        <v>1.2591989124153111E-2</v>
      </c>
      <c r="H132" s="57" t="s">
        <v>85</v>
      </c>
      <c r="I132" s="57"/>
      <c r="K132" s="57">
        <f>D21</f>
        <v>50000</v>
      </c>
      <c r="L132" s="57">
        <f ca="1">D24</f>
        <v>71750.483558994194</v>
      </c>
      <c r="M132" s="313">
        <f ca="1">L132/K132-1</f>
        <v>0.43500967117988387</v>
      </c>
    </row>
    <row r="133" spans="1:13" outlineLevel="1" x14ac:dyDescent="0.25">
      <c r="H133" s="66" t="s">
        <v>108</v>
      </c>
      <c r="I133" s="66"/>
      <c r="K133" s="319">
        <f>K127/K132</f>
        <v>11.56673250148298</v>
      </c>
      <c r="L133" s="319">
        <f ca="1">L127/L132</f>
        <v>11.712380671343642</v>
      </c>
      <c r="M133" s="320">
        <f ca="1">L133/K133-1</f>
        <v>1.2591989124153047E-2</v>
      </c>
    </row>
    <row r="134" spans="1:13" outlineLevel="1" x14ac:dyDescent="0.25">
      <c r="H134" s="66"/>
      <c r="I134" s="66"/>
      <c r="L134" s="319"/>
      <c r="M134" s="319"/>
    </row>
    <row r="135" spans="1:13" outlineLevel="1" x14ac:dyDescent="0.25"/>
    <row r="136" spans="1:13" outlineLevel="1" x14ac:dyDescent="0.25">
      <c r="A136" s="307" t="s">
        <v>254</v>
      </c>
      <c r="B136" s="307"/>
      <c r="C136" s="307"/>
      <c r="D136" s="307"/>
      <c r="E136" s="307"/>
      <c r="F136" s="307"/>
      <c r="H136" s="307" t="s">
        <v>232</v>
      </c>
      <c r="I136" s="307"/>
      <c r="J136" s="307"/>
      <c r="K136" s="307"/>
      <c r="L136" s="307"/>
      <c r="M136" s="307"/>
    </row>
    <row r="137" spans="1:13" outlineLevel="1" x14ac:dyDescent="0.25">
      <c r="C137" s="321" t="s">
        <v>125</v>
      </c>
      <c r="D137" s="321"/>
      <c r="E137" s="321"/>
      <c r="F137" s="321"/>
      <c r="J137" s="321" t="s">
        <v>125</v>
      </c>
      <c r="K137" s="321"/>
      <c r="L137" s="321"/>
      <c r="M137" s="321"/>
    </row>
    <row r="138" spans="1:13" outlineLevel="1" x14ac:dyDescent="0.25">
      <c r="B138" s="322">
        <f ca="1">F132</f>
        <v>1.2591989124153111E-2</v>
      </c>
      <c r="C138" s="323">
        <v>0.2</v>
      </c>
      <c r="D138" s="324">
        <f>C138+0.05</f>
        <v>0.25</v>
      </c>
      <c r="E138" s="324">
        <f>D138+0.05</f>
        <v>0.3</v>
      </c>
      <c r="F138" s="324">
        <f>E138+0.05</f>
        <v>0.35</v>
      </c>
      <c r="I138" s="322">
        <f ca="1">J105</f>
        <v>5.8445177740615417E-2</v>
      </c>
      <c r="J138" s="323">
        <v>0.2</v>
      </c>
      <c r="K138" s="324">
        <f>J138+0.05</f>
        <v>0.25</v>
      </c>
      <c r="L138" s="324">
        <f>K138+0.05</f>
        <v>0.3</v>
      </c>
      <c r="M138" s="324">
        <f>L138+0.05</f>
        <v>0.35</v>
      </c>
    </row>
    <row r="139" spans="1:13" outlineLevel="1" x14ac:dyDescent="0.25">
      <c r="A139" s="12" t="s">
        <v>234</v>
      </c>
      <c r="B139" s="325">
        <v>6500</v>
      </c>
      <c r="C139" s="326">
        <f t="dataTable" ref="C139:F144" dt2D="1" dtr="1" r1="H29" r2="H8" ca="1"/>
        <v>6.6834967921022309E-2</v>
      </c>
      <c r="D139" s="326">
        <v>3.9393531869609387E-2</v>
      </c>
      <c r="E139" s="326">
        <v>1.2591989124153111E-2</v>
      </c>
      <c r="F139" s="326">
        <v>-1.3591784399404115E-2</v>
      </c>
      <c r="H139" s="12" t="s">
        <v>233</v>
      </c>
      <c r="I139" s="327">
        <v>18</v>
      </c>
      <c r="J139" s="328">
        <f t="dataTable" ref="J139:M144" dt2D="1" dtr="1" r1="H29" r2="D8" ca="1"/>
        <v>7.1296694905542246E-2</v>
      </c>
      <c r="K139" s="329">
        <v>5.8302530142536835E-2</v>
      </c>
      <c r="L139" s="329">
        <v>4.5619810074251088E-2</v>
      </c>
      <c r="M139" s="329">
        <v>3.3237470218108633E-2</v>
      </c>
    </row>
    <row r="140" spans="1:13" outlineLevel="1" x14ac:dyDescent="0.25">
      <c r="B140" s="330">
        <f>B139-1000</f>
        <v>5500</v>
      </c>
      <c r="C140" s="331">
        <v>5.9013065882778881E-2</v>
      </c>
      <c r="D140" s="332">
        <v>3.1663903206927704E-2</v>
      </c>
      <c r="E140" s="332">
        <v>4.9524821597221281E-3</v>
      </c>
      <c r="F140" s="331">
        <v>-2.1143246949415807E-2</v>
      </c>
      <c r="I140" s="333">
        <f>I139+1</f>
        <v>19</v>
      </c>
      <c r="J140" s="275">
        <v>5.4040909215788746E-2</v>
      </c>
      <c r="K140" s="334">
        <v>4.0769353698823618E-2</v>
      </c>
      <c r="L140" s="334">
        <v>2.7827849955186501E-2</v>
      </c>
      <c r="M140" s="275">
        <v>1.5204237059809333E-2</v>
      </c>
    </row>
    <row r="141" spans="1:13" outlineLevel="1" x14ac:dyDescent="0.25">
      <c r="B141" s="330">
        <f>B140-1000</f>
        <v>4500</v>
      </c>
      <c r="C141" s="331">
        <v>5.1191163844535134E-2</v>
      </c>
      <c r="D141" s="332">
        <v>2.3934274544246018E-2</v>
      </c>
      <c r="E141" s="332">
        <v>-2.6870248047087008E-3</v>
      </c>
      <c r="F141" s="331">
        <v>-2.8694709499427502E-2</v>
      </c>
      <c r="I141" s="333">
        <f>I140+1</f>
        <v>20</v>
      </c>
      <c r="J141" s="275">
        <v>3.733220259677994E-2</v>
      </c>
      <c r="K141" s="334">
        <v>2.3807662797604268E-2</v>
      </c>
      <c r="L141" s="334">
        <v>1.0631245000981338E-2</v>
      </c>
      <c r="M141" s="275">
        <v>-2.210321009196381E-3</v>
      </c>
    </row>
    <row r="142" spans="1:13" outlineLevel="1" x14ac:dyDescent="0.25">
      <c r="B142" s="330">
        <f>B141-1000</f>
        <v>3500</v>
      </c>
      <c r="C142" s="331">
        <v>4.3369261806291706E-2</v>
      </c>
      <c r="D142" s="332">
        <v>1.6204645881564641E-2</v>
      </c>
      <c r="E142" s="332">
        <v>-1.032653176913953E-2</v>
      </c>
      <c r="F142" s="331">
        <v>-3.6246172049439043E-2</v>
      </c>
      <c r="I142" s="333">
        <f>I141+1</f>
        <v>21</v>
      </c>
      <c r="J142" s="275">
        <v>2.1144964064710559E-2</v>
      </c>
      <c r="K142" s="334">
        <v>7.3899645487653931E-3</v>
      </c>
      <c r="L142" s="334">
        <v>-5.9993957395410025E-3</v>
      </c>
      <c r="M142" s="275">
        <v>-1.9037504852264298E-2</v>
      </c>
    </row>
    <row r="143" spans="1:13" outlineLevel="1" x14ac:dyDescent="0.25">
      <c r="B143" s="330">
        <f>B142-1000</f>
        <v>2500</v>
      </c>
      <c r="C143" s="331">
        <v>3.5547359768048271E-2</v>
      </c>
      <c r="D143" s="332">
        <v>8.4750172188829565E-3</v>
      </c>
      <c r="E143" s="332">
        <v>-1.7966038733570357E-2</v>
      </c>
      <c r="F143" s="331">
        <v>-4.3797634599450887E-2</v>
      </c>
      <c r="I143" s="333">
        <f>I142+1</f>
        <v>22</v>
      </c>
      <c r="J143" s="275">
        <v>5.4551566783131999E-3</v>
      </c>
      <c r="K143" s="334">
        <v>-8.5094982755523629E-3</v>
      </c>
      <c r="L143" s="334">
        <v>-2.2091559943010597E-2</v>
      </c>
      <c r="M143" s="275">
        <v>-3.5306538862699743E-2</v>
      </c>
    </row>
    <row r="144" spans="1:13" outlineLevel="1" x14ac:dyDescent="0.25">
      <c r="B144" s="330">
        <f>B143-1000</f>
        <v>1500</v>
      </c>
      <c r="C144" s="331">
        <v>2.7725457729804684E-2</v>
      </c>
      <c r="D144" s="331">
        <v>7.4538855620142523E-4</v>
      </c>
      <c r="E144" s="331">
        <v>-2.5605545698001341E-2</v>
      </c>
      <c r="F144" s="331">
        <v>-5.1349097149462584E-2</v>
      </c>
      <c r="I144" s="333">
        <f>I143+1</f>
        <v>23</v>
      </c>
      <c r="J144" s="275">
        <v>-9.7598015564154261E-3</v>
      </c>
      <c r="K144" s="275">
        <v>-2.3914882081090716E-2</v>
      </c>
      <c r="L144" s="275">
        <v>-3.7670983620389009E-2</v>
      </c>
      <c r="M144" s="275">
        <v>-5.1044740343489381E-2</v>
      </c>
    </row>
    <row r="145" outlineLevel="1" x14ac:dyDescent="0.25"/>
    <row r="146" outlineLevel="1" x14ac:dyDescent="0.25"/>
  </sheetData>
  <sheetProtection algorithmName="SHA-512" hashValue="+lDcfb/BjeSr2r/wlm0LwoQ/3iKHO8gp+EOWus1Hitv4JK4wXguIqpSBvRqK23YkOj4/vwo8eJ7wyVUjiPsJpQ==" saltValue="kx5ZFwSd3uqnxKyFUx45SA==" spinCount="100000" sheet="1" objects="1" scenarios="1"/>
  <protectedRanges>
    <protectedRange sqref="D18 D19" name="Debt Replacement"/>
    <protectedRange sqref="H5" name="Scenarios 2"/>
    <protectedRange sqref="H29 H30" name="Transaction Scenarios"/>
  </protectedRanges>
  <conditionalFormatting sqref="D3:M3">
    <cfRule type="containsText" dxfId="17" priority="3" operator="containsText" text="OK">
      <formula>NOT(ISERROR(SEARCH("OK",D3)))</formula>
    </cfRule>
    <cfRule type="containsText" dxfId="16" priority="4" operator="containsText" text="ERROR">
      <formula>NOT(ISERROR(SEARCH("ERROR",D3)))</formula>
    </cfRule>
  </conditionalFormatting>
  <conditionalFormatting sqref="D59:M59">
    <cfRule type="containsText" dxfId="15" priority="1" operator="containsText" text="OK">
      <formula>NOT(ISERROR(SEARCH("OK",D59)))</formula>
    </cfRule>
    <cfRule type="containsText" dxfId="14" priority="2" operator="containsText" text="ERROR">
      <formula>NOT(ISERROR(SEARCH("ERROR",D59)))</formula>
    </cfRule>
  </conditionalFormatting>
  <dataValidations count="2">
    <dataValidation type="list" allowBlank="1" showInputMessage="1" showErrorMessage="1" sqref="D18:D19" xr:uid="{DBD9A0FF-EC33-42B1-8E72-FE7AE1E73BEC}">
      <formula1>"Yes,No"</formula1>
    </dataValidation>
    <dataValidation type="list" allowBlank="1" showInputMessage="1" showErrorMessage="1" sqref="H5" xr:uid="{D63B855F-287F-4C22-B2E9-FE02817D9EEE}">
      <formula1>$I$5:$M$5</formula1>
    </dataValidation>
  </dataValidations>
  <pageMargins left="0.7" right="0.7" top="0.35" bottom="0.32" header="0.22" footer="0.24"/>
  <pageSetup scale="54" fitToHeight="0" orientation="landscape" r:id="rId1"/>
  <rowBreaks count="2" manualBreakCount="2">
    <brk id="57" max="16383" man="1"/>
    <brk id="8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31"/>
  <sheetViews>
    <sheetView showGridLines="0" view="pageBreakPreview" zoomScale="60" zoomScaleNormal="70" workbookViewId="0">
      <pane ySplit="6" topLeftCell="A7" activePane="bottomLeft" state="frozen"/>
      <selection activeCell="K16" sqref="K16"/>
      <selection pane="bottomLeft" activeCell="K217" sqref="K217:K219"/>
    </sheetView>
  </sheetViews>
  <sheetFormatPr defaultColWidth="9.140625" defaultRowHeight="15.75" outlineLevelRow="1" x14ac:dyDescent="0.25"/>
  <cols>
    <col min="1" max="2" width="14.42578125" style="3" customWidth="1"/>
    <col min="3" max="3" width="14.42578125" style="144" customWidth="1"/>
    <col min="4" max="14" width="14.42578125" style="3" customWidth="1"/>
    <col min="15" max="16384" width="9.140625" style="3"/>
  </cols>
  <sheetData>
    <row r="1" spans="1:16" ht="33.75" x14ac:dyDescent="0.5">
      <c r="B1" s="17"/>
      <c r="C1" s="18"/>
      <c r="D1" s="133" t="s">
        <v>218</v>
      </c>
      <c r="F1" s="20"/>
      <c r="H1" s="20"/>
      <c r="I1" s="21"/>
      <c r="J1" s="20"/>
      <c r="K1" s="20"/>
      <c r="L1" s="20"/>
      <c r="M1" s="20"/>
      <c r="N1" s="20"/>
      <c r="O1" s="21"/>
      <c r="P1" s="20"/>
    </row>
    <row r="2" spans="1:16" ht="21" customHeight="1" x14ac:dyDescent="0.25">
      <c r="A2" s="136"/>
      <c r="B2" s="136"/>
      <c r="C2" s="137"/>
      <c r="D2" s="137"/>
      <c r="E2" s="137"/>
      <c r="F2" s="137"/>
      <c r="G2" s="137"/>
      <c r="H2" s="138" t="s">
        <v>190</v>
      </c>
      <c r="I2" s="25">
        <f>'Acquirer Model'!I2</f>
        <v>2017</v>
      </c>
      <c r="J2" s="25">
        <f>'Acquirer Model'!J2</f>
        <v>2018</v>
      </c>
      <c r="K2" s="25">
        <f>'Acquirer Model'!K2</f>
        <v>2019</v>
      </c>
      <c r="L2" s="25">
        <f>'Acquirer Model'!L2</f>
        <v>2020</v>
      </c>
      <c r="M2" s="25">
        <f>'Acquirer Model'!M2</f>
        <v>2021</v>
      </c>
      <c r="N2" s="25">
        <f>'Acquirer Model'!N2</f>
        <v>2022</v>
      </c>
    </row>
    <row r="3" spans="1:16" outlineLevel="1" x14ac:dyDescent="0.25">
      <c r="A3" s="139" t="s">
        <v>10</v>
      </c>
      <c r="B3" s="139"/>
      <c r="C3" s="140"/>
      <c r="D3" s="141"/>
      <c r="E3" s="141"/>
      <c r="F3" s="141"/>
      <c r="G3" s="141"/>
      <c r="H3" s="142" t="str">
        <f t="shared" ref="H3:N3" ca="1" si="0">IFERROR(IF(ABS(H71)&gt;1,"ERROR","ok"),"ok")</f>
        <v>ok</v>
      </c>
      <c r="I3" s="142" t="str">
        <f t="shared" ca="1" si="0"/>
        <v>ok</v>
      </c>
      <c r="J3" s="142" t="str">
        <f t="shared" ca="1" si="0"/>
        <v>ok</v>
      </c>
      <c r="K3" s="142" t="str">
        <f t="shared" ca="1" si="0"/>
        <v>ok</v>
      </c>
      <c r="L3" s="142" t="str">
        <f t="shared" ca="1" si="0"/>
        <v>ok</v>
      </c>
      <c r="M3" s="142" t="str">
        <f t="shared" ca="1" si="0"/>
        <v>ok</v>
      </c>
      <c r="N3" s="142" t="str">
        <f t="shared" ca="1" si="0"/>
        <v>ok</v>
      </c>
    </row>
    <row r="4" spans="1:16" outlineLevel="1" x14ac:dyDescent="0.25">
      <c r="A4" s="143" t="s">
        <v>157</v>
      </c>
      <c r="D4" s="145"/>
      <c r="E4" s="146"/>
      <c r="F4" s="146"/>
      <c r="G4" s="145"/>
      <c r="H4" s="145">
        <v>43008</v>
      </c>
      <c r="I4" s="145">
        <v>43100</v>
      </c>
      <c r="J4" s="145">
        <v>43465</v>
      </c>
      <c r="K4" s="145">
        <v>43830</v>
      </c>
      <c r="L4" s="145">
        <v>44196</v>
      </c>
      <c r="M4" s="145">
        <v>44561</v>
      </c>
      <c r="N4" s="145">
        <v>44561</v>
      </c>
    </row>
    <row r="5" spans="1:16" outlineLevel="1" x14ac:dyDescent="0.25">
      <c r="A5" s="143" t="s">
        <v>158</v>
      </c>
      <c r="D5" s="147"/>
      <c r="E5" s="148"/>
      <c r="F5" s="148"/>
      <c r="G5" s="147"/>
      <c r="H5" s="147">
        <v>273</v>
      </c>
      <c r="I5" s="147">
        <v>92</v>
      </c>
      <c r="J5" s="147">
        <v>365</v>
      </c>
      <c r="K5" s="147">
        <v>365</v>
      </c>
      <c r="L5" s="147">
        <v>366</v>
      </c>
      <c r="M5" s="147">
        <v>365</v>
      </c>
      <c r="N5" s="147">
        <v>365</v>
      </c>
    </row>
    <row r="6" spans="1:16" outlineLevel="1" x14ac:dyDescent="0.25">
      <c r="A6" s="143" t="s">
        <v>159</v>
      </c>
      <c r="D6" s="149"/>
      <c r="E6" s="150"/>
      <c r="F6" s="150"/>
      <c r="G6" s="149"/>
      <c r="H6" s="149">
        <v>0.75</v>
      </c>
      <c r="I6" s="149">
        <v>0.25</v>
      </c>
      <c r="J6" s="149">
        <v>1</v>
      </c>
      <c r="K6" s="149">
        <v>1</v>
      </c>
      <c r="L6" s="149">
        <v>1</v>
      </c>
      <c r="M6" s="149">
        <v>1</v>
      </c>
      <c r="N6" s="149">
        <v>1</v>
      </c>
    </row>
    <row r="8" spans="1:16" ht="20.25" x14ac:dyDescent="0.3">
      <c r="A8" s="151" t="s">
        <v>12</v>
      </c>
      <c r="B8" s="152"/>
      <c r="C8" s="153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</row>
    <row r="9" spans="1:16" outlineLevel="1" x14ac:dyDescent="0.25">
      <c r="D9" s="6"/>
      <c r="E9" s="6"/>
      <c r="F9" s="6"/>
      <c r="G9" s="6"/>
      <c r="H9" s="6"/>
      <c r="I9" s="154"/>
      <c r="J9" s="154"/>
      <c r="K9" s="154"/>
      <c r="L9" s="154"/>
      <c r="M9" s="154"/>
      <c r="N9" s="154"/>
    </row>
    <row r="10" spans="1:16" outlineLevel="1" x14ac:dyDescent="0.25">
      <c r="A10" s="155"/>
      <c r="D10" s="6"/>
      <c r="E10" s="6"/>
      <c r="F10" s="6"/>
      <c r="G10" s="6"/>
      <c r="H10" s="6"/>
      <c r="I10" s="154"/>
      <c r="J10" s="154"/>
      <c r="K10" s="154"/>
      <c r="L10" s="154"/>
      <c r="M10" s="154"/>
      <c r="N10" s="154"/>
    </row>
    <row r="11" spans="1:16" outlineLevel="1" x14ac:dyDescent="0.25">
      <c r="A11" s="155" t="s">
        <v>223</v>
      </c>
      <c r="D11" s="6"/>
      <c r="E11" s="6"/>
      <c r="F11" s="6"/>
      <c r="G11" s="156" t="s">
        <v>52</v>
      </c>
      <c r="H11" s="6"/>
      <c r="I11" s="154"/>
      <c r="J11" s="154"/>
      <c r="K11" s="154"/>
      <c r="L11" s="154"/>
      <c r="M11" s="154"/>
      <c r="N11" s="154"/>
    </row>
    <row r="12" spans="1:16" outlineLevel="1" x14ac:dyDescent="0.25">
      <c r="A12" s="157" t="s">
        <v>122</v>
      </c>
      <c r="D12" s="6"/>
      <c r="E12" s="6"/>
      <c r="F12" s="6"/>
      <c r="G12" s="158">
        <f>SUM(H12:N12)</f>
        <v>1</v>
      </c>
      <c r="H12" s="159">
        <v>0</v>
      </c>
      <c r="I12" s="159">
        <v>0.25</v>
      </c>
      <c r="J12" s="159">
        <v>0.25</v>
      </c>
      <c r="K12" s="159">
        <v>0.25</v>
      </c>
      <c r="L12" s="159">
        <v>0.25</v>
      </c>
      <c r="M12" s="159">
        <v>0</v>
      </c>
      <c r="N12" s="159">
        <v>0</v>
      </c>
    </row>
    <row r="13" spans="1:16" outlineLevel="1" x14ac:dyDescent="0.25">
      <c r="A13" s="157" t="s">
        <v>123</v>
      </c>
      <c r="D13" s="6"/>
      <c r="E13" s="6"/>
      <c r="F13" s="6"/>
      <c r="G13" s="158">
        <f>SUM(H13:N13)</f>
        <v>1</v>
      </c>
      <c r="H13" s="159">
        <v>0</v>
      </c>
      <c r="I13" s="159">
        <v>0</v>
      </c>
      <c r="J13" s="159">
        <v>0.2</v>
      </c>
      <c r="K13" s="159">
        <v>0.2</v>
      </c>
      <c r="L13" s="159">
        <v>0.2</v>
      </c>
      <c r="M13" s="159">
        <v>0.2</v>
      </c>
      <c r="N13" s="159">
        <v>0.2</v>
      </c>
    </row>
    <row r="14" spans="1:16" outlineLevel="1" x14ac:dyDescent="0.25">
      <c r="A14" s="157" t="s">
        <v>124</v>
      </c>
      <c r="D14" s="6"/>
      <c r="E14" s="6"/>
      <c r="F14" s="6"/>
      <c r="G14" s="158">
        <f>SUM(H14:N14)</f>
        <v>1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  <c r="M14" s="159">
        <v>0</v>
      </c>
      <c r="N14" s="159">
        <v>1</v>
      </c>
    </row>
    <row r="15" spans="1:16" outlineLevel="1" x14ac:dyDescent="0.25">
      <c r="D15" s="6"/>
      <c r="E15" s="6"/>
      <c r="F15" s="6"/>
      <c r="G15" s="6"/>
      <c r="H15" s="6"/>
      <c r="I15" s="154"/>
      <c r="J15" s="154"/>
      <c r="K15" s="154"/>
      <c r="L15" s="154"/>
      <c r="M15" s="154"/>
      <c r="N15" s="154"/>
    </row>
    <row r="16" spans="1:16" s="160" customFormat="1" outlineLevel="1" x14ac:dyDescent="0.25">
      <c r="C16" s="161"/>
      <c r="D16" s="162"/>
      <c r="E16" s="162"/>
      <c r="F16" s="162"/>
      <c r="G16" s="162"/>
      <c r="H16" s="162"/>
      <c r="I16" s="163"/>
      <c r="J16" s="163"/>
      <c r="K16" s="163"/>
      <c r="L16" s="163"/>
      <c r="M16" s="163"/>
      <c r="N16" s="163"/>
    </row>
    <row r="17" spans="1:14" s="160" customFormat="1" outlineLevel="1" x14ac:dyDescent="0.25">
      <c r="A17" s="164" t="s">
        <v>14</v>
      </c>
      <c r="B17" s="165"/>
      <c r="C17" s="166"/>
      <c r="D17" s="167"/>
      <c r="E17" s="168"/>
      <c r="F17" s="168"/>
      <c r="G17" s="168"/>
      <c r="H17" s="168"/>
      <c r="I17" s="169"/>
      <c r="J17" s="169"/>
      <c r="K17" s="169"/>
      <c r="L17" s="169"/>
      <c r="M17" s="169"/>
      <c r="N17" s="169"/>
    </row>
    <row r="18" spans="1:14" outlineLevel="1" x14ac:dyDescent="0.25">
      <c r="A18" s="164" t="s">
        <v>15</v>
      </c>
      <c r="B18" s="170"/>
      <c r="C18" s="171"/>
      <c r="D18" s="168"/>
      <c r="E18" s="168"/>
      <c r="F18" s="168"/>
      <c r="G18" s="168"/>
      <c r="H18" s="168"/>
      <c r="I18" s="172"/>
      <c r="J18" s="172"/>
      <c r="K18" s="172"/>
      <c r="L18" s="172"/>
      <c r="M18" s="172"/>
      <c r="N18" s="172"/>
    </row>
    <row r="19" spans="1:14" outlineLevel="1" x14ac:dyDescent="0.25">
      <c r="A19" s="164" t="s">
        <v>185</v>
      </c>
      <c r="B19" s="170"/>
      <c r="C19" s="171"/>
      <c r="D19" s="168"/>
      <c r="E19" s="168"/>
      <c r="F19" s="168"/>
      <c r="G19" s="168"/>
      <c r="H19" s="168"/>
      <c r="I19" s="172"/>
      <c r="J19" s="172"/>
      <c r="K19" s="172"/>
      <c r="L19" s="172"/>
      <c r="M19" s="172"/>
      <c r="N19" s="172"/>
    </row>
    <row r="20" spans="1:14" outlineLevel="1" x14ac:dyDescent="0.25">
      <c r="A20" s="164"/>
      <c r="B20" s="170"/>
      <c r="C20" s="171"/>
      <c r="D20" s="168"/>
      <c r="E20" s="168"/>
      <c r="F20" s="168"/>
      <c r="G20" s="168"/>
      <c r="H20" s="168"/>
      <c r="I20" s="172"/>
      <c r="J20" s="172"/>
      <c r="K20" s="172"/>
      <c r="L20" s="172"/>
      <c r="M20" s="172"/>
      <c r="N20" s="172"/>
    </row>
    <row r="21" spans="1:14" outlineLevel="1" x14ac:dyDescent="0.25">
      <c r="A21" s="170" t="s">
        <v>18</v>
      </c>
      <c r="B21" s="170"/>
      <c r="C21" s="171"/>
      <c r="D21" s="168"/>
      <c r="E21" s="168"/>
      <c r="F21" s="168"/>
      <c r="G21" s="168"/>
      <c r="H21" s="168"/>
      <c r="I21" s="168">
        <v>0.2</v>
      </c>
      <c r="J21" s="168">
        <v>0.2</v>
      </c>
      <c r="K21" s="168">
        <v>0.2</v>
      </c>
      <c r="L21" s="168">
        <v>0.2</v>
      </c>
      <c r="M21" s="168">
        <v>0.2</v>
      </c>
      <c r="N21" s="168">
        <v>0.2</v>
      </c>
    </row>
    <row r="22" spans="1:14" outlineLevel="1" x14ac:dyDescent="0.25">
      <c r="A22" s="170" t="s">
        <v>20</v>
      </c>
      <c r="B22" s="173"/>
      <c r="C22" s="174"/>
      <c r="D22" s="168"/>
      <c r="E22" s="168"/>
      <c r="F22" s="168"/>
      <c r="G22" s="168"/>
      <c r="H22" s="168"/>
      <c r="I22" s="168">
        <v>0.3</v>
      </c>
      <c r="J22" s="168">
        <v>0.3</v>
      </c>
      <c r="K22" s="168">
        <v>0.3</v>
      </c>
      <c r="L22" s="168">
        <v>0.3</v>
      </c>
      <c r="M22" s="168">
        <v>0.3</v>
      </c>
      <c r="N22" s="168">
        <v>0.3</v>
      </c>
    </row>
    <row r="23" spans="1:14" outlineLevel="1" x14ac:dyDescent="0.25">
      <c r="A23" s="175" t="s">
        <v>21</v>
      </c>
      <c r="B23" s="175"/>
      <c r="C23" s="176"/>
      <c r="D23" s="154"/>
      <c r="E23" s="154"/>
      <c r="F23" s="154"/>
      <c r="G23" s="154"/>
      <c r="H23" s="154"/>
      <c r="I23" s="154">
        <v>18</v>
      </c>
      <c r="J23" s="154">
        <v>18</v>
      </c>
      <c r="K23" s="154">
        <v>18</v>
      </c>
      <c r="L23" s="154">
        <v>18</v>
      </c>
      <c r="M23" s="154">
        <v>18</v>
      </c>
      <c r="N23" s="154">
        <v>18</v>
      </c>
    </row>
    <row r="24" spans="1:14" outlineLevel="1" x14ac:dyDescent="0.25">
      <c r="A24" s="175" t="s">
        <v>22</v>
      </c>
      <c r="B24" s="175"/>
      <c r="C24" s="176"/>
      <c r="D24" s="154"/>
      <c r="E24" s="154"/>
      <c r="F24" s="154"/>
      <c r="G24" s="154"/>
      <c r="H24" s="154"/>
      <c r="I24" s="154">
        <v>80</v>
      </c>
      <c r="J24" s="154">
        <v>90</v>
      </c>
      <c r="K24" s="154">
        <v>100</v>
      </c>
      <c r="L24" s="154">
        <v>100</v>
      </c>
      <c r="M24" s="154">
        <v>100</v>
      </c>
      <c r="N24" s="154">
        <v>100</v>
      </c>
    </row>
    <row r="25" spans="1:14" outlineLevel="1" x14ac:dyDescent="0.25">
      <c r="A25" s="175" t="s">
        <v>23</v>
      </c>
      <c r="B25" s="175"/>
      <c r="C25" s="176"/>
      <c r="D25" s="154"/>
      <c r="E25" s="154"/>
      <c r="F25" s="154"/>
      <c r="G25" s="154"/>
      <c r="H25" s="154"/>
      <c r="I25" s="154">
        <v>37</v>
      </c>
      <c r="J25" s="154">
        <v>37</v>
      </c>
      <c r="K25" s="154">
        <v>37</v>
      </c>
      <c r="L25" s="154">
        <v>37</v>
      </c>
      <c r="M25" s="154">
        <v>37</v>
      </c>
      <c r="N25" s="154">
        <v>37</v>
      </c>
    </row>
    <row r="26" spans="1:14" outlineLevel="1" x14ac:dyDescent="0.25">
      <c r="A26" s="175"/>
      <c r="B26" s="175"/>
      <c r="C26" s="17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</row>
    <row r="27" spans="1:14" outlineLevel="1" x14ac:dyDescent="0.25">
      <c r="A27" s="175" t="s">
        <v>26</v>
      </c>
      <c r="B27" s="175"/>
      <c r="C27" s="177"/>
      <c r="D27" s="154"/>
      <c r="E27" s="154"/>
      <c r="F27" s="154"/>
      <c r="G27" s="154"/>
      <c r="H27" s="154"/>
      <c r="I27" s="154">
        <v>0</v>
      </c>
      <c r="J27" s="154">
        <v>0</v>
      </c>
      <c r="K27" s="154">
        <v>0</v>
      </c>
      <c r="L27" s="154">
        <v>0</v>
      </c>
      <c r="M27" s="154">
        <v>0</v>
      </c>
      <c r="N27" s="154">
        <v>0</v>
      </c>
    </row>
    <row r="28" spans="1:14" outlineLevel="1" x14ac:dyDescent="0.25">
      <c r="A28" s="175" t="s">
        <v>230</v>
      </c>
      <c r="B28" s="175"/>
      <c r="C28" s="177"/>
      <c r="D28" s="154"/>
      <c r="E28" s="154"/>
      <c r="F28" s="154"/>
      <c r="G28" s="154"/>
      <c r="H28" s="154"/>
      <c r="I28" s="154">
        <v>0</v>
      </c>
      <c r="J28" s="154">
        <v>0</v>
      </c>
      <c r="K28" s="154">
        <v>0</v>
      </c>
      <c r="L28" s="154">
        <v>500</v>
      </c>
      <c r="M28" s="154">
        <v>500</v>
      </c>
      <c r="N28" s="154">
        <v>500</v>
      </c>
    </row>
    <row r="29" spans="1:14" outlineLevel="1" x14ac:dyDescent="0.25">
      <c r="D29" s="6"/>
      <c r="E29" s="6"/>
      <c r="F29" s="6"/>
      <c r="G29" s="6"/>
      <c r="H29" s="6"/>
      <c r="I29" s="154"/>
      <c r="J29" s="154"/>
      <c r="K29" s="154"/>
      <c r="L29" s="154"/>
      <c r="M29" s="154"/>
      <c r="N29" s="154"/>
    </row>
    <row r="30" spans="1:14" x14ac:dyDescent="0.25">
      <c r="D30" s="6"/>
      <c r="E30" s="6"/>
      <c r="F30" s="6"/>
      <c r="G30" s="6"/>
      <c r="H30" s="6"/>
      <c r="I30" s="154"/>
      <c r="J30" s="154"/>
      <c r="K30" s="154"/>
      <c r="L30" s="154"/>
      <c r="M30" s="154"/>
      <c r="N30" s="154"/>
    </row>
    <row r="31" spans="1:14" ht="18" x14ac:dyDescent="0.25">
      <c r="A31" s="136" t="s">
        <v>28</v>
      </c>
      <c r="B31" s="136"/>
      <c r="C31" s="137"/>
      <c r="D31" s="137"/>
      <c r="E31" s="137"/>
      <c r="F31" s="137"/>
      <c r="G31" s="137"/>
      <c r="H31" s="138" t="str">
        <f>H$2</f>
        <v>CLOSE</v>
      </c>
      <c r="I31" s="25">
        <f t="shared" ref="I31:N31" si="1">I$2</f>
        <v>2017</v>
      </c>
      <c r="J31" s="25">
        <f t="shared" si="1"/>
        <v>2018</v>
      </c>
      <c r="K31" s="25">
        <f t="shared" si="1"/>
        <v>2019</v>
      </c>
      <c r="L31" s="25">
        <f t="shared" si="1"/>
        <v>2020</v>
      </c>
      <c r="M31" s="25">
        <f t="shared" si="1"/>
        <v>2021</v>
      </c>
      <c r="N31" s="25">
        <f t="shared" si="1"/>
        <v>2022</v>
      </c>
    </row>
    <row r="32" spans="1:14" outlineLevel="1" x14ac:dyDescent="0.25">
      <c r="A32" s="178"/>
      <c r="B32" s="178"/>
      <c r="C32" s="179"/>
      <c r="D32" s="165"/>
      <c r="E32" s="165"/>
      <c r="F32" s="165"/>
      <c r="G32" s="165"/>
      <c r="H32" s="165"/>
      <c r="I32" s="180"/>
      <c r="J32" s="180"/>
      <c r="K32" s="180"/>
      <c r="L32" s="180"/>
      <c r="M32" s="180"/>
      <c r="N32" s="180"/>
    </row>
    <row r="33" spans="1:14" outlineLevel="1" x14ac:dyDescent="0.25">
      <c r="A33" s="155" t="s">
        <v>9</v>
      </c>
      <c r="B33" s="181"/>
      <c r="C33" s="182"/>
      <c r="D33" s="2"/>
      <c r="E33" s="2"/>
      <c r="F33" s="2"/>
      <c r="G33" s="2"/>
      <c r="H33" s="2"/>
      <c r="I33" s="2">
        <f t="shared" ref="I33:N33" si="2">I208</f>
        <v>65738.145654121865</v>
      </c>
      <c r="J33" s="2">
        <f t="shared" ca="1" si="2"/>
        <v>296053.01000896061</v>
      </c>
      <c r="K33" s="2">
        <f t="shared" ca="1" si="2"/>
        <v>329971.68881003588</v>
      </c>
      <c r="L33" s="2">
        <f t="shared" ca="1" si="2"/>
        <v>362814.58237103949</v>
      </c>
      <c r="M33" s="2">
        <f t="shared" ca="1" si="2"/>
        <v>391319.7489607227</v>
      </c>
      <c r="N33" s="2">
        <f t="shared" ca="1" si="2"/>
        <v>416771.30980507005</v>
      </c>
    </row>
    <row r="34" spans="1:14" outlineLevel="1" x14ac:dyDescent="0.25">
      <c r="A34" s="160" t="s">
        <v>29</v>
      </c>
      <c r="B34" s="160"/>
      <c r="C34" s="161"/>
      <c r="D34" s="2"/>
      <c r="E34" s="2"/>
      <c r="F34" s="2"/>
      <c r="G34" s="2"/>
      <c r="H34" s="2"/>
      <c r="I34" s="2">
        <f t="shared" ref="I34:N34" si="3">I214</f>
        <v>27610.021174731184</v>
      </c>
      <c r="J34" s="2">
        <f t="shared" ca="1" si="3"/>
        <v>123968.41650367384</v>
      </c>
      <c r="K34" s="2">
        <f t="shared" ca="1" si="3"/>
        <v>137757.02680401434</v>
      </c>
      <c r="L34" s="2">
        <f t="shared" ca="1" si="3"/>
        <v>152587.7584424158</v>
      </c>
      <c r="M34" s="2">
        <f t="shared" ca="1" si="3"/>
        <v>167227.15502451308</v>
      </c>
      <c r="N34" s="2">
        <f t="shared" ca="1" si="3"/>
        <v>178399.9772430677</v>
      </c>
    </row>
    <row r="35" spans="1:14" outlineLevel="1" x14ac:dyDescent="0.25">
      <c r="A35" s="183" t="s">
        <v>30</v>
      </c>
      <c r="B35" s="183"/>
      <c r="C35" s="184"/>
      <c r="D35" s="185"/>
      <c r="E35" s="185"/>
      <c r="F35" s="185"/>
      <c r="G35" s="185"/>
      <c r="H35" s="185"/>
      <c r="I35" s="185">
        <f t="shared" ref="I35:N35" si="4">I33-I34</f>
        <v>38128.124479390681</v>
      </c>
      <c r="J35" s="185">
        <f t="shared" ca="1" si="4"/>
        <v>172084.59350528679</v>
      </c>
      <c r="K35" s="185">
        <f t="shared" ca="1" si="4"/>
        <v>192214.66200602154</v>
      </c>
      <c r="L35" s="185">
        <f t="shared" ca="1" si="4"/>
        <v>210226.82392862369</v>
      </c>
      <c r="M35" s="185">
        <f t="shared" ca="1" si="4"/>
        <v>224092.59393620963</v>
      </c>
      <c r="N35" s="185">
        <f t="shared" ca="1" si="4"/>
        <v>238371.33256200235</v>
      </c>
    </row>
    <row r="36" spans="1:14" outlineLevel="1" x14ac:dyDescent="0.25">
      <c r="A36" s="178" t="s">
        <v>31</v>
      </c>
      <c r="B36" s="178"/>
      <c r="C36" s="179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</row>
    <row r="37" spans="1:14" outlineLevel="1" x14ac:dyDescent="0.25">
      <c r="A37" s="160" t="s">
        <v>186</v>
      </c>
      <c r="D37" s="2"/>
      <c r="E37" s="2"/>
      <c r="F37" s="2"/>
      <c r="G37" s="2"/>
      <c r="H37" s="2"/>
      <c r="I37" s="2">
        <f t="shared" ref="I37:N37" si="5">I220</f>
        <v>10932.7263046595</v>
      </c>
      <c r="J37" s="2">
        <f t="shared" ca="1" si="5"/>
        <v>48505.822801433693</v>
      </c>
      <c r="K37" s="2">
        <f t="shared" ca="1" si="5"/>
        <v>53313.745529605745</v>
      </c>
      <c r="L37" s="2">
        <f t="shared" ca="1" si="5"/>
        <v>57947.718278166321</v>
      </c>
      <c r="M37" s="2">
        <f t="shared" ca="1" si="5"/>
        <v>62683.535740419633</v>
      </c>
      <c r="N37" s="2">
        <f t="shared" ca="1" si="5"/>
        <v>66921.151788984484</v>
      </c>
    </row>
    <row r="38" spans="1:14" outlineLevel="1" x14ac:dyDescent="0.25">
      <c r="A38" s="3" t="s">
        <v>183</v>
      </c>
      <c r="D38" s="2"/>
      <c r="E38" s="2"/>
      <c r="F38" s="2"/>
      <c r="G38" s="2"/>
      <c r="H38" s="2"/>
      <c r="I38" s="2">
        <f t="shared" ref="I38:N38" si="6">I226</f>
        <v>5500</v>
      </c>
      <c r="J38" s="2">
        <f t="shared" ca="1" si="6"/>
        <v>21700</v>
      </c>
      <c r="K38" s="2">
        <f t="shared" ca="1" si="6"/>
        <v>-650</v>
      </c>
      <c r="L38" s="2">
        <f t="shared" ca="1" si="6"/>
        <v>21000</v>
      </c>
      <c r="M38" s="2">
        <f t="shared" ca="1" si="6"/>
        <v>21000</v>
      </c>
      <c r="N38" s="2">
        <f t="shared" ca="1" si="6"/>
        <v>21000</v>
      </c>
    </row>
    <row r="39" spans="1:14" outlineLevel="1" x14ac:dyDescent="0.25">
      <c r="A39" s="3" t="s">
        <v>32</v>
      </c>
      <c r="D39" s="2"/>
      <c r="E39" s="2"/>
      <c r="F39" s="2"/>
      <c r="G39" s="2"/>
      <c r="H39" s="2"/>
      <c r="I39" s="1">
        <f t="shared" ref="I39:N39" si="7">I111</f>
        <v>6949.8446250000015</v>
      </c>
      <c r="J39" s="1">
        <f t="shared" si="7"/>
        <v>27446.909575000005</v>
      </c>
      <c r="K39" s="1">
        <f t="shared" si="7"/>
        <v>26107.527660000007</v>
      </c>
      <c r="L39" s="1">
        <f t="shared" si="7"/>
        <v>25036.022128000004</v>
      </c>
      <c r="M39" s="1">
        <f t="shared" si="7"/>
        <v>24178.817702400003</v>
      </c>
      <c r="N39" s="1">
        <f t="shared" si="7"/>
        <v>23493.054161920005</v>
      </c>
    </row>
    <row r="40" spans="1:14" outlineLevel="1" x14ac:dyDescent="0.25">
      <c r="A40" s="187" t="s">
        <v>33</v>
      </c>
      <c r="B40" s="187"/>
      <c r="C40" s="188"/>
      <c r="D40" s="2"/>
      <c r="E40" s="2"/>
      <c r="F40" s="2"/>
      <c r="G40" s="2"/>
      <c r="H40" s="2"/>
      <c r="I40" s="189">
        <f t="shared" ref="I40:N40" ca="1" si="8">I160</f>
        <v>3359.375</v>
      </c>
      <c r="J40" s="189">
        <f t="shared" ca="1" si="8"/>
        <v>12062.5</v>
      </c>
      <c r="K40" s="189">
        <f t="shared" ca="1" si="8"/>
        <v>7112.5</v>
      </c>
      <c r="L40" s="189">
        <f t="shared" ca="1" si="8"/>
        <v>6162.5</v>
      </c>
      <c r="M40" s="189">
        <f t="shared" ca="1" si="8"/>
        <v>4212.5</v>
      </c>
      <c r="N40" s="189">
        <f t="shared" ca="1" si="8"/>
        <v>3637.5</v>
      </c>
    </row>
    <row r="41" spans="1:14" outlineLevel="1" x14ac:dyDescent="0.25">
      <c r="A41" s="178" t="s">
        <v>34</v>
      </c>
      <c r="B41" s="160"/>
      <c r="C41" s="161"/>
      <c r="D41" s="190"/>
      <c r="E41" s="190"/>
      <c r="F41" s="190"/>
      <c r="G41" s="190"/>
      <c r="H41" s="190"/>
      <c r="I41" s="180">
        <f t="shared" ref="I41:N41" ca="1" si="9">SUM(I37:I40)</f>
        <v>26741.945929659501</v>
      </c>
      <c r="J41" s="180">
        <f t="shared" ca="1" si="9"/>
        <v>109715.23237643371</v>
      </c>
      <c r="K41" s="180">
        <f t="shared" ca="1" si="9"/>
        <v>85883.773189605752</v>
      </c>
      <c r="L41" s="180">
        <f t="shared" ca="1" si="9"/>
        <v>110146.24040616633</v>
      </c>
      <c r="M41" s="180">
        <f t="shared" ca="1" si="9"/>
        <v>112074.85344281964</v>
      </c>
      <c r="N41" s="180">
        <f t="shared" ca="1" si="9"/>
        <v>115051.70595090449</v>
      </c>
    </row>
    <row r="42" spans="1:14" outlineLevel="1" x14ac:dyDescent="0.25">
      <c r="A42" s="183" t="s">
        <v>35</v>
      </c>
      <c r="B42" s="183"/>
      <c r="C42" s="184"/>
      <c r="D42" s="185"/>
      <c r="E42" s="185"/>
      <c r="F42" s="185"/>
      <c r="G42" s="185"/>
      <c r="H42" s="185"/>
      <c r="I42" s="185">
        <f t="shared" ref="I42:N42" ca="1" si="10">I35-I41</f>
        <v>11386.178549731179</v>
      </c>
      <c r="J42" s="185">
        <f t="shared" ca="1" si="10"/>
        <v>62369.361128853081</v>
      </c>
      <c r="K42" s="185">
        <f t="shared" ca="1" si="10"/>
        <v>106330.88881641578</v>
      </c>
      <c r="L42" s="185">
        <f t="shared" ca="1" si="10"/>
        <v>100080.58352245737</v>
      </c>
      <c r="M42" s="185">
        <f t="shared" ca="1" si="10"/>
        <v>112017.74049338998</v>
      </c>
      <c r="N42" s="185">
        <f t="shared" ca="1" si="10"/>
        <v>123319.62661109786</v>
      </c>
    </row>
    <row r="43" spans="1:14" outlineLevel="1" x14ac:dyDescent="0.25">
      <c r="A43" s="178"/>
      <c r="B43" s="178"/>
      <c r="C43" s="179"/>
      <c r="D43" s="165"/>
      <c r="E43" s="165"/>
      <c r="F43" s="165"/>
      <c r="G43" s="165"/>
      <c r="H43" s="165"/>
      <c r="I43" s="180"/>
      <c r="J43" s="180"/>
      <c r="K43" s="180"/>
      <c r="L43" s="180"/>
      <c r="M43" s="180"/>
      <c r="N43" s="180"/>
    </row>
    <row r="44" spans="1:14" outlineLevel="1" x14ac:dyDescent="0.25">
      <c r="A44" s="160" t="s">
        <v>36</v>
      </c>
      <c r="B44" s="160"/>
      <c r="C44" s="161"/>
      <c r="D44" s="2"/>
      <c r="E44" s="2"/>
      <c r="F44" s="2"/>
      <c r="G44" s="2"/>
      <c r="H44" s="2"/>
      <c r="I44" s="191">
        <f t="shared" ref="I44:N44" ca="1" si="11">IF(I42&gt;0,I42*I22,0)</f>
        <v>3415.8535649193536</v>
      </c>
      <c r="J44" s="191">
        <f t="shared" ca="1" si="11"/>
        <v>18710.808338655923</v>
      </c>
      <c r="K44" s="191">
        <f t="shared" ca="1" si="11"/>
        <v>31899.266644924734</v>
      </c>
      <c r="L44" s="191">
        <f t="shared" ca="1" si="11"/>
        <v>30024.175056737207</v>
      </c>
      <c r="M44" s="191">
        <f t="shared" ca="1" si="11"/>
        <v>33605.322148016996</v>
      </c>
      <c r="N44" s="191">
        <f t="shared" ca="1" si="11"/>
        <v>36995.887983329354</v>
      </c>
    </row>
    <row r="45" spans="1:14" ht="16.5" outlineLevel="1" thickBot="1" x14ac:dyDescent="0.3">
      <c r="A45" s="192" t="s">
        <v>37</v>
      </c>
      <c r="B45" s="192"/>
      <c r="C45" s="193"/>
      <c r="D45" s="194"/>
      <c r="E45" s="194"/>
      <c r="F45" s="194"/>
      <c r="G45" s="194"/>
      <c r="H45" s="194"/>
      <c r="I45" s="194">
        <f t="shared" ref="I45:N45" ca="1" si="12">I42-I44</f>
        <v>7970.3249848118257</v>
      </c>
      <c r="J45" s="194">
        <f t="shared" ca="1" si="12"/>
        <v>43658.552790197158</v>
      </c>
      <c r="K45" s="194">
        <f t="shared" ca="1" si="12"/>
        <v>74431.62217149105</v>
      </c>
      <c r="L45" s="194">
        <f t="shared" ca="1" si="12"/>
        <v>70056.40846572016</v>
      </c>
      <c r="M45" s="194">
        <f t="shared" ca="1" si="12"/>
        <v>78412.418345372978</v>
      </c>
      <c r="N45" s="194">
        <f t="shared" ca="1" si="12"/>
        <v>86323.7386277685</v>
      </c>
    </row>
    <row r="46" spans="1:14" ht="16.5" outlineLevel="1" collapsed="1" thickTop="1" x14ac:dyDescent="0.25">
      <c r="D46" s="175"/>
      <c r="E46" s="175"/>
      <c r="F46" s="175"/>
      <c r="G46" s="175"/>
      <c r="H46" s="175"/>
    </row>
    <row r="47" spans="1:14" x14ac:dyDescent="0.25">
      <c r="D47" s="175"/>
      <c r="E47" s="175"/>
      <c r="F47" s="175"/>
      <c r="G47" s="175"/>
      <c r="H47" s="175"/>
    </row>
    <row r="48" spans="1:14" ht="18" x14ac:dyDescent="0.25">
      <c r="A48" s="136" t="s">
        <v>38</v>
      </c>
      <c r="B48" s="136"/>
      <c r="C48" s="137"/>
      <c r="D48" s="137"/>
      <c r="E48" s="137"/>
      <c r="F48" s="137"/>
      <c r="G48" s="137"/>
      <c r="H48" s="138" t="str">
        <f>H$2</f>
        <v>CLOSE</v>
      </c>
      <c r="I48" s="25">
        <f t="shared" ref="I48:N48" si="13">I$2</f>
        <v>2017</v>
      </c>
      <c r="J48" s="25">
        <f t="shared" si="13"/>
        <v>2018</v>
      </c>
      <c r="K48" s="25">
        <f t="shared" si="13"/>
        <v>2019</v>
      </c>
      <c r="L48" s="25">
        <f t="shared" si="13"/>
        <v>2020</v>
      </c>
      <c r="M48" s="25">
        <f t="shared" si="13"/>
        <v>2021</v>
      </c>
      <c r="N48" s="25">
        <f t="shared" si="13"/>
        <v>2022</v>
      </c>
    </row>
    <row r="49" spans="1:14" outlineLevel="1" x14ac:dyDescent="0.25">
      <c r="D49" s="175"/>
      <c r="E49" s="175"/>
      <c r="F49" s="175"/>
      <c r="G49" s="175"/>
      <c r="H49" s="175"/>
    </row>
    <row r="50" spans="1:14" outlineLevel="1" x14ac:dyDescent="0.25">
      <c r="A50" s="181" t="s">
        <v>39</v>
      </c>
      <c r="D50" s="175"/>
      <c r="E50" s="175"/>
      <c r="F50" s="175"/>
      <c r="G50" s="175"/>
      <c r="H50" s="175"/>
    </row>
    <row r="51" spans="1:14" ht="16.5" outlineLevel="1" x14ac:dyDescent="0.3">
      <c r="A51" s="3" t="s">
        <v>40</v>
      </c>
      <c r="C51" s="195"/>
      <c r="D51" s="1"/>
      <c r="E51" s="1"/>
      <c r="F51" s="1"/>
      <c r="G51" s="2"/>
      <c r="H51" s="2">
        <f ca="1">'Deal Assumptions &amp; Analysis'!M65</f>
        <v>60399.321919741938</v>
      </c>
      <c r="I51" s="1">
        <f t="shared" ref="I51:N51" ca="1" si="14">I95</f>
        <v>127155.58955226764</v>
      </c>
      <c r="J51" s="1">
        <f t="shared" ca="1" si="14"/>
        <v>135676.77901211145</v>
      </c>
      <c r="K51" s="1">
        <f t="shared" ca="1" si="14"/>
        <v>153016.8799877736</v>
      </c>
      <c r="L51" s="1">
        <f t="shared" ca="1" si="14"/>
        <v>187800.68118083803</v>
      </c>
      <c r="M51" s="1">
        <f t="shared" ca="1" si="14"/>
        <v>255088.53797007829</v>
      </c>
      <c r="N51" s="1">
        <f t="shared" ca="1" si="14"/>
        <v>305471.7255680759</v>
      </c>
    </row>
    <row r="52" spans="1:14" ht="16.5" outlineLevel="1" x14ac:dyDescent="0.3">
      <c r="A52" s="3" t="s">
        <v>41</v>
      </c>
      <c r="C52" s="195"/>
      <c r="D52" s="2"/>
      <c r="E52" s="2"/>
      <c r="F52" s="2"/>
      <c r="G52" s="2"/>
      <c r="H52" s="2">
        <f>'Deal Assumptions &amp; Analysis'!M66</f>
        <v>14070.219828469022</v>
      </c>
      <c r="I52" s="196">
        <f t="shared" ref="I52:N52" si="15">I33*I23/I5</f>
        <v>12861.811106241235</v>
      </c>
      <c r="J52" s="196">
        <f t="shared" ca="1" si="15"/>
        <v>14599.874466195317</v>
      </c>
      <c r="K52" s="196">
        <f t="shared" ca="1" si="15"/>
        <v>16272.576434467524</v>
      </c>
      <c r="L52" s="196">
        <f t="shared" ca="1" si="15"/>
        <v>17843.340116608499</v>
      </c>
      <c r="M52" s="196">
        <f t="shared" ca="1" si="15"/>
        <v>19297.960222720572</v>
      </c>
      <c r="N52" s="196">
        <f t="shared" ca="1" si="15"/>
        <v>20553.105689017153</v>
      </c>
    </row>
    <row r="53" spans="1:14" ht="16.5" outlineLevel="1" x14ac:dyDescent="0.3">
      <c r="A53" s="3" t="s">
        <v>42</v>
      </c>
      <c r="C53" s="195"/>
      <c r="D53" s="2"/>
      <c r="E53" s="2"/>
      <c r="F53" s="2"/>
      <c r="G53" s="2"/>
      <c r="H53" s="2">
        <f>'Deal Assumptions &amp; Analysis'!M67</f>
        <v>105170.01040507981</v>
      </c>
      <c r="I53" s="197">
        <f t="shared" ref="I53:N53" si="16">I34*I24/I5</f>
        <v>24008.71406498364</v>
      </c>
      <c r="J53" s="197">
        <f t="shared" ca="1" si="16"/>
        <v>30567.554754330533</v>
      </c>
      <c r="K53" s="197">
        <f t="shared" ca="1" si="16"/>
        <v>37741.651179182008</v>
      </c>
      <c r="L53" s="197">
        <f t="shared" ca="1" si="16"/>
        <v>41690.644383173712</v>
      </c>
      <c r="M53" s="197">
        <f t="shared" ca="1" si="16"/>
        <v>45815.658910825499</v>
      </c>
      <c r="N53" s="197">
        <f t="shared" ca="1" si="16"/>
        <v>48876.706093991146</v>
      </c>
    </row>
    <row r="54" spans="1:14" ht="16.5" outlineLevel="1" x14ac:dyDescent="0.3">
      <c r="A54" s="198" t="s">
        <v>153</v>
      </c>
      <c r="B54" s="7"/>
      <c r="C54" s="199"/>
      <c r="D54" s="185"/>
      <c r="E54" s="185"/>
      <c r="F54" s="185"/>
      <c r="G54" s="185"/>
      <c r="H54" s="185">
        <f t="shared" ref="H54:N54" ca="1" si="17">SUM(H51:H53)</f>
        <v>179639.55215329077</v>
      </c>
      <c r="I54" s="185">
        <f t="shared" ca="1" si="17"/>
        <v>164026.11472349253</v>
      </c>
      <c r="J54" s="185">
        <f t="shared" ca="1" si="17"/>
        <v>180844.20823263732</v>
      </c>
      <c r="K54" s="185">
        <f t="shared" ca="1" si="17"/>
        <v>207031.10760142311</v>
      </c>
      <c r="L54" s="185">
        <f t="shared" ca="1" si="17"/>
        <v>247334.66568062024</v>
      </c>
      <c r="M54" s="185">
        <f t="shared" ca="1" si="17"/>
        <v>320202.15710362437</v>
      </c>
      <c r="N54" s="185">
        <f t="shared" ca="1" si="17"/>
        <v>374901.53735108417</v>
      </c>
    </row>
    <row r="55" spans="1:14" outlineLevel="1" x14ac:dyDescent="0.25">
      <c r="A55" s="3" t="s">
        <v>43</v>
      </c>
      <c r="D55" s="2"/>
      <c r="E55" s="2"/>
      <c r="F55" s="2"/>
      <c r="G55" s="2"/>
      <c r="H55" s="2">
        <f>'Deal Assumptions &amp; Analysis'!M69</f>
        <v>138996.89250000002</v>
      </c>
      <c r="I55" s="3">
        <f t="shared" ref="I55:N55" si="18">I112</f>
        <v>137234.54787500002</v>
      </c>
      <c r="J55" s="3">
        <f t="shared" si="18"/>
        <v>130537.63830000002</v>
      </c>
      <c r="K55" s="3">
        <f t="shared" si="18"/>
        <v>125180.11064000001</v>
      </c>
      <c r="L55" s="3">
        <f t="shared" si="18"/>
        <v>120894.08851200002</v>
      </c>
      <c r="M55" s="3">
        <f t="shared" si="18"/>
        <v>117465.27080960001</v>
      </c>
      <c r="N55" s="3">
        <f t="shared" si="18"/>
        <v>114722.21664768</v>
      </c>
    </row>
    <row r="56" spans="1:14" outlineLevel="1" x14ac:dyDescent="0.25">
      <c r="A56" s="3" t="s">
        <v>176</v>
      </c>
      <c r="D56" s="2"/>
      <c r="E56" s="2"/>
      <c r="F56" s="2"/>
      <c r="G56" s="2"/>
      <c r="H56" s="2">
        <f ca="1">'Deal Assumptions &amp; Analysis'!M70</f>
        <v>319212.72748655907</v>
      </c>
      <c r="I56" s="3">
        <f t="shared" ref="I56:N56" ca="1" si="19">H56</f>
        <v>319212.72748655907</v>
      </c>
      <c r="J56" s="3">
        <f t="shared" ca="1" si="19"/>
        <v>319212.72748655907</v>
      </c>
      <c r="K56" s="3">
        <f t="shared" ca="1" si="19"/>
        <v>319212.72748655907</v>
      </c>
      <c r="L56" s="3">
        <f t="shared" ca="1" si="19"/>
        <v>319212.72748655907</v>
      </c>
      <c r="M56" s="3">
        <f t="shared" ca="1" si="19"/>
        <v>319212.72748655907</v>
      </c>
      <c r="N56" s="3">
        <f t="shared" ca="1" si="19"/>
        <v>319212.72748655907</v>
      </c>
    </row>
    <row r="57" spans="1:14" ht="16.5" outlineLevel="1" thickBot="1" x14ac:dyDescent="0.3">
      <c r="A57" s="192" t="s">
        <v>44</v>
      </c>
      <c r="B57" s="192"/>
      <c r="C57" s="193"/>
      <c r="D57" s="194"/>
      <c r="E57" s="194"/>
      <c r="F57" s="194"/>
      <c r="G57" s="194"/>
      <c r="H57" s="194">
        <f t="shared" ref="H57:N57" ca="1" si="20">SUM(H54:H56)</f>
        <v>637849.17213984986</v>
      </c>
      <c r="I57" s="194">
        <f t="shared" ca="1" si="20"/>
        <v>620473.39008505165</v>
      </c>
      <c r="J57" s="194">
        <f t="shared" ca="1" si="20"/>
        <v>630594.57401919644</v>
      </c>
      <c r="K57" s="194">
        <f t="shared" ca="1" si="20"/>
        <v>651423.94572798221</v>
      </c>
      <c r="L57" s="194">
        <f t="shared" ca="1" si="20"/>
        <v>687441.48167917936</v>
      </c>
      <c r="M57" s="194">
        <f t="shared" ca="1" si="20"/>
        <v>756880.15539978351</v>
      </c>
      <c r="N57" s="194">
        <f t="shared" ca="1" si="20"/>
        <v>808836.48148532328</v>
      </c>
    </row>
    <row r="58" spans="1:14" ht="16.5" outlineLevel="1" thickTop="1" x14ac:dyDescent="0.25">
      <c r="A58" s="178"/>
      <c r="B58" s="178"/>
      <c r="C58" s="179"/>
      <c r="D58" s="165"/>
      <c r="E58" s="165"/>
      <c r="F58" s="178"/>
      <c r="G58" s="178"/>
      <c r="H58" s="178"/>
      <c r="I58" s="178"/>
      <c r="J58" s="178"/>
      <c r="K58" s="178"/>
      <c r="L58" s="178"/>
      <c r="M58" s="178"/>
      <c r="N58" s="178"/>
    </row>
    <row r="59" spans="1:14" ht="16.5" outlineLevel="1" x14ac:dyDescent="0.3">
      <c r="A59" s="181" t="s">
        <v>45</v>
      </c>
      <c r="C59" s="195"/>
      <c r="D59" s="175"/>
      <c r="E59" s="175"/>
    </row>
    <row r="60" spans="1:14" ht="16.5" outlineLevel="1" x14ac:dyDescent="0.3">
      <c r="A60" s="200" t="s">
        <v>154</v>
      </c>
      <c r="C60" s="195"/>
      <c r="D60" s="2"/>
      <c r="E60" s="2"/>
      <c r="F60" s="2"/>
      <c r="G60" s="2"/>
      <c r="H60" s="2">
        <f>'Deal Assumptions &amp; Analysis'!M74</f>
        <v>0</v>
      </c>
      <c r="I60" s="201"/>
      <c r="J60" s="201"/>
      <c r="K60" s="201"/>
      <c r="L60" s="201"/>
      <c r="M60" s="201"/>
      <c r="N60" s="201"/>
    </row>
    <row r="61" spans="1:14" ht="16.5" outlineLevel="1" x14ac:dyDescent="0.3">
      <c r="A61" s="3" t="s">
        <v>46</v>
      </c>
      <c r="C61" s="195"/>
      <c r="D61" s="2"/>
      <c r="E61" s="2"/>
      <c r="F61" s="2"/>
      <c r="G61" s="2"/>
      <c r="H61" s="2">
        <f>'Deal Assumptions &amp; Analysis'!M75</f>
        <v>11450.137294665014</v>
      </c>
      <c r="I61" s="197">
        <f t="shared" ref="I61:N61" si="21">I34*I25/I5</f>
        <v>11104.030255054933</v>
      </c>
      <c r="J61" s="197">
        <f t="shared" ca="1" si="21"/>
        <v>12566.661399002554</v>
      </c>
      <c r="K61" s="197">
        <f t="shared" ca="1" si="21"/>
        <v>13964.410936297343</v>
      </c>
      <c r="L61" s="197">
        <f t="shared" ca="1" si="21"/>
        <v>15425.538421774276</v>
      </c>
      <c r="M61" s="197">
        <f t="shared" ca="1" si="21"/>
        <v>16951.793797005434</v>
      </c>
      <c r="N61" s="197">
        <f t="shared" ca="1" si="21"/>
        <v>18084.381254776727</v>
      </c>
    </row>
    <row r="62" spans="1:14" ht="16.5" outlineLevel="1" x14ac:dyDescent="0.3">
      <c r="A62" s="202" t="s">
        <v>156</v>
      </c>
      <c r="B62" s="9"/>
      <c r="C62" s="203"/>
      <c r="D62" s="204"/>
      <c r="E62" s="204"/>
      <c r="F62" s="204"/>
      <c r="G62" s="204"/>
      <c r="H62" s="204">
        <f t="shared" ref="H62:N62" si="22">SUM(H60:H61)</f>
        <v>11450.137294665014</v>
      </c>
      <c r="I62" s="204">
        <f t="shared" si="22"/>
        <v>11104.030255054933</v>
      </c>
      <c r="J62" s="204">
        <f t="shared" ca="1" si="22"/>
        <v>12566.661399002554</v>
      </c>
      <c r="K62" s="204">
        <f t="shared" ca="1" si="22"/>
        <v>13964.410936297343</v>
      </c>
      <c r="L62" s="204">
        <f t="shared" ca="1" si="22"/>
        <v>15425.538421774276</v>
      </c>
      <c r="M62" s="204">
        <f t="shared" ca="1" si="22"/>
        <v>16951.793797005434</v>
      </c>
      <c r="N62" s="204">
        <f t="shared" ca="1" si="22"/>
        <v>18084.381254776727</v>
      </c>
    </row>
    <row r="63" spans="1:14" outlineLevel="1" x14ac:dyDescent="0.25">
      <c r="A63" s="3" t="s">
        <v>155</v>
      </c>
      <c r="D63" s="2"/>
      <c r="E63" s="2"/>
      <c r="F63" s="2"/>
      <c r="G63" s="2"/>
      <c r="H63" s="2">
        <f ca="1">'Deal Assumptions &amp; Analysis'!M77</f>
        <v>205000</v>
      </c>
      <c r="I63" s="3">
        <f t="shared" ref="I63:N63" ca="1" si="23">I143</f>
        <v>180000</v>
      </c>
      <c r="J63" s="3">
        <f t="shared" ca="1" si="23"/>
        <v>145000</v>
      </c>
      <c r="K63" s="3">
        <f t="shared" ca="1" si="23"/>
        <v>90000</v>
      </c>
      <c r="L63" s="3">
        <f t="shared" ca="1" si="23"/>
        <v>55000</v>
      </c>
      <c r="M63" s="3">
        <f t="shared" ca="1" si="23"/>
        <v>45000</v>
      </c>
      <c r="N63" s="3">
        <f t="shared" ca="1" si="23"/>
        <v>10000</v>
      </c>
    </row>
    <row r="64" spans="1:14" outlineLevel="1" x14ac:dyDescent="0.25">
      <c r="A64" s="183" t="s">
        <v>47</v>
      </c>
      <c r="B64" s="183"/>
      <c r="C64" s="184"/>
      <c r="D64" s="185"/>
      <c r="E64" s="185"/>
      <c r="F64" s="185"/>
      <c r="G64" s="185"/>
      <c r="H64" s="185">
        <f t="shared" ref="H64:N64" ca="1" si="24">SUM(H62:H63)</f>
        <v>216450.13729466501</v>
      </c>
      <c r="I64" s="185">
        <f t="shared" ca="1" si="24"/>
        <v>191104.03025505494</v>
      </c>
      <c r="J64" s="185">
        <f t="shared" ca="1" si="24"/>
        <v>157566.66139900257</v>
      </c>
      <c r="K64" s="185">
        <f t="shared" ca="1" si="24"/>
        <v>103964.41093629734</v>
      </c>
      <c r="L64" s="185">
        <f t="shared" ca="1" si="24"/>
        <v>70425.538421774283</v>
      </c>
      <c r="M64" s="185">
        <f t="shared" ca="1" si="24"/>
        <v>61951.793797005434</v>
      </c>
      <c r="N64" s="185">
        <f t="shared" ca="1" si="24"/>
        <v>28084.381254776727</v>
      </c>
    </row>
    <row r="65" spans="1:14" outlineLevel="1" x14ac:dyDescent="0.25">
      <c r="A65" s="181" t="s">
        <v>48</v>
      </c>
      <c r="D65" s="175"/>
      <c r="E65" s="175"/>
    </row>
    <row r="66" spans="1:14" outlineLevel="1" x14ac:dyDescent="0.25">
      <c r="A66" s="3" t="s">
        <v>49</v>
      </c>
      <c r="D66" s="2"/>
      <c r="E66" s="2"/>
      <c r="F66" s="2"/>
      <c r="G66" s="2"/>
      <c r="H66" s="2">
        <f ca="1">'Deal Assumptions &amp; Analysis'!M80</f>
        <v>323012.5</v>
      </c>
      <c r="I66" s="3">
        <f t="shared" ref="I66:N66" ca="1" si="25">H66+I27</f>
        <v>323012.5</v>
      </c>
      <c r="J66" s="3">
        <f t="shared" ca="1" si="25"/>
        <v>323012.5</v>
      </c>
      <c r="K66" s="3">
        <f t="shared" ca="1" si="25"/>
        <v>323012.5</v>
      </c>
      <c r="L66" s="3">
        <f t="shared" ca="1" si="25"/>
        <v>323012.5</v>
      </c>
      <c r="M66" s="3">
        <f t="shared" ca="1" si="25"/>
        <v>323012.5</v>
      </c>
      <c r="N66" s="3">
        <f t="shared" ca="1" si="25"/>
        <v>323012.5</v>
      </c>
    </row>
    <row r="67" spans="1:14" outlineLevel="1" x14ac:dyDescent="0.25">
      <c r="A67" s="3" t="s">
        <v>50</v>
      </c>
      <c r="D67" s="2"/>
      <c r="E67" s="2"/>
      <c r="F67" s="2"/>
      <c r="G67" s="2"/>
      <c r="H67" s="2">
        <f ca="1">'Deal Assumptions &amp; Analysis'!M81</f>
        <v>98386.534845184884</v>
      </c>
      <c r="I67" s="3">
        <f t="shared" ref="I67:N67" ca="1" si="26">H67+I45-I28</f>
        <v>106356.85982999671</v>
      </c>
      <c r="J67" s="3">
        <f t="shared" ca="1" si="26"/>
        <v>150015.41262019388</v>
      </c>
      <c r="K67" s="3">
        <f t="shared" ca="1" si="26"/>
        <v>224447.03479168494</v>
      </c>
      <c r="L67" s="3">
        <f t="shared" ca="1" si="26"/>
        <v>294003.44325740507</v>
      </c>
      <c r="M67" s="3">
        <f t="shared" ca="1" si="26"/>
        <v>371915.86160277808</v>
      </c>
      <c r="N67" s="3">
        <f t="shared" ca="1" si="26"/>
        <v>457739.60023054655</v>
      </c>
    </row>
    <row r="68" spans="1:14" outlineLevel="1" x14ac:dyDescent="0.25">
      <c r="A68" s="205" t="s">
        <v>48</v>
      </c>
      <c r="B68" s="205"/>
      <c r="C68" s="206"/>
      <c r="D68" s="190"/>
      <c r="E68" s="190"/>
      <c r="F68" s="205"/>
      <c r="G68" s="205"/>
      <c r="H68" s="205">
        <f t="shared" ref="H68:N68" ca="1" si="27">SUM(H66:H67)</f>
        <v>421399.03484518488</v>
      </c>
      <c r="I68" s="205">
        <f t="shared" ca="1" si="27"/>
        <v>429369.35982999671</v>
      </c>
      <c r="J68" s="205">
        <f t="shared" ca="1" si="27"/>
        <v>473027.91262019391</v>
      </c>
      <c r="K68" s="205">
        <f t="shared" ca="1" si="27"/>
        <v>547459.53479168494</v>
      </c>
      <c r="L68" s="205">
        <f t="shared" ca="1" si="27"/>
        <v>617015.94325740507</v>
      </c>
      <c r="M68" s="205">
        <f t="shared" ca="1" si="27"/>
        <v>694928.36160277808</v>
      </c>
      <c r="N68" s="205">
        <f t="shared" ca="1" si="27"/>
        <v>780752.10023054655</v>
      </c>
    </row>
    <row r="69" spans="1:14" ht="16.5" outlineLevel="1" thickBot="1" x14ac:dyDescent="0.3">
      <c r="A69" s="192" t="s">
        <v>51</v>
      </c>
      <c r="B69" s="192"/>
      <c r="C69" s="193"/>
      <c r="D69" s="194"/>
      <c r="E69" s="194"/>
      <c r="F69" s="192"/>
      <c r="G69" s="192"/>
      <c r="H69" s="192">
        <f t="shared" ref="H69:N69" ca="1" si="28">SUM(H68+H64)</f>
        <v>637849.17213984986</v>
      </c>
      <c r="I69" s="192">
        <f t="shared" ca="1" si="28"/>
        <v>620473.39008505165</v>
      </c>
      <c r="J69" s="192">
        <f t="shared" ca="1" si="28"/>
        <v>630594.57401919644</v>
      </c>
      <c r="K69" s="192">
        <f t="shared" ca="1" si="28"/>
        <v>651423.94572798233</v>
      </c>
      <c r="L69" s="192">
        <f t="shared" ca="1" si="28"/>
        <v>687441.48167917936</v>
      </c>
      <c r="M69" s="192">
        <f t="shared" ca="1" si="28"/>
        <v>756880.15539978351</v>
      </c>
      <c r="N69" s="192">
        <f t="shared" ca="1" si="28"/>
        <v>808836.48148532328</v>
      </c>
    </row>
    <row r="70" spans="1:14" ht="16.5" outlineLevel="1" thickTop="1" x14ac:dyDescent="0.25">
      <c r="D70" s="175"/>
      <c r="E70" s="175"/>
      <c r="F70" s="175"/>
      <c r="G70" s="175"/>
      <c r="H70" s="175"/>
    </row>
    <row r="71" spans="1:14" outlineLevel="1" x14ac:dyDescent="0.25">
      <c r="A71" s="139" t="s">
        <v>52</v>
      </c>
      <c r="B71" s="207"/>
      <c r="C71" s="208"/>
      <c r="D71" s="207"/>
      <c r="E71" s="207"/>
      <c r="F71" s="207"/>
      <c r="G71" s="207"/>
      <c r="H71" s="207">
        <f t="shared" ref="H71:M71" ca="1" si="29">H69-H57</f>
        <v>0</v>
      </c>
      <c r="I71" s="207">
        <f t="shared" ca="1" si="29"/>
        <v>0</v>
      </c>
      <c r="J71" s="207">
        <f t="shared" ca="1" si="29"/>
        <v>0</v>
      </c>
      <c r="K71" s="207">
        <f t="shared" ca="1" si="29"/>
        <v>0</v>
      </c>
      <c r="L71" s="207">
        <f t="shared" ca="1" si="29"/>
        <v>0</v>
      </c>
      <c r="M71" s="207">
        <f t="shared" ca="1" si="29"/>
        <v>0</v>
      </c>
      <c r="N71" s="207">
        <f ca="1">N69-N57</f>
        <v>0</v>
      </c>
    </row>
    <row r="72" spans="1:14" outlineLevel="1" x14ac:dyDescent="0.25">
      <c r="A72" s="207"/>
      <c r="B72" s="207"/>
      <c r="C72" s="208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</row>
    <row r="73" spans="1:14" x14ac:dyDescent="0.25">
      <c r="D73" s="175"/>
      <c r="E73" s="175"/>
      <c r="F73" s="175"/>
      <c r="G73" s="175"/>
      <c r="H73" s="175"/>
    </row>
    <row r="74" spans="1:14" ht="18" x14ac:dyDescent="0.25">
      <c r="A74" s="136" t="s">
        <v>53</v>
      </c>
      <c r="B74" s="136"/>
      <c r="C74" s="137"/>
      <c r="D74" s="137"/>
      <c r="E74" s="137"/>
      <c r="F74" s="137"/>
      <c r="G74" s="137"/>
      <c r="H74" s="138" t="str">
        <f>H$2</f>
        <v>CLOSE</v>
      </c>
      <c r="I74" s="25">
        <f t="shared" ref="I74:N74" si="30">I$2</f>
        <v>2017</v>
      </c>
      <c r="J74" s="25">
        <f t="shared" si="30"/>
        <v>2018</v>
      </c>
      <c r="K74" s="25">
        <f t="shared" si="30"/>
        <v>2019</v>
      </c>
      <c r="L74" s="25">
        <f t="shared" si="30"/>
        <v>2020</v>
      </c>
      <c r="M74" s="25">
        <f t="shared" si="30"/>
        <v>2021</v>
      </c>
      <c r="N74" s="25">
        <f t="shared" si="30"/>
        <v>2022</v>
      </c>
    </row>
    <row r="75" spans="1:14" outlineLevel="1" x14ac:dyDescent="0.25">
      <c r="A75" s="181"/>
      <c r="D75" s="165"/>
      <c r="E75" s="175"/>
      <c r="F75" s="175"/>
      <c r="G75" s="175"/>
      <c r="H75" s="175"/>
    </row>
    <row r="76" spans="1:14" outlineLevel="1" x14ac:dyDescent="0.25">
      <c r="A76" s="181" t="s">
        <v>54</v>
      </c>
      <c r="D76" s="175"/>
      <c r="E76" s="175"/>
      <c r="F76" s="175"/>
      <c r="G76" s="175"/>
      <c r="H76" s="2"/>
    </row>
    <row r="77" spans="1:14" outlineLevel="1" x14ac:dyDescent="0.25">
      <c r="A77" s="3" t="s">
        <v>37</v>
      </c>
      <c r="C77" s="209"/>
      <c r="I77" s="3">
        <f t="shared" ref="I77:N77" ca="1" si="31">I45</f>
        <v>7970.3249848118257</v>
      </c>
      <c r="J77" s="3">
        <f t="shared" ca="1" si="31"/>
        <v>43658.552790197158</v>
      </c>
      <c r="K77" s="3">
        <f t="shared" ca="1" si="31"/>
        <v>74431.62217149105</v>
      </c>
      <c r="L77" s="3">
        <f t="shared" ca="1" si="31"/>
        <v>70056.40846572016</v>
      </c>
      <c r="M77" s="3">
        <f t="shared" ca="1" si="31"/>
        <v>78412.418345372978</v>
      </c>
      <c r="N77" s="3">
        <f t="shared" ca="1" si="31"/>
        <v>86323.7386277685</v>
      </c>
    </row>
    <row r="78" spans="1:14" outlineLevel="1" x14ac:dyDescent="0.25">
      <c r="A78" s="3" t="s">
        <v>55</v>
      </c>
      <c r="I78" s="3">
        <f t="shared" ref="I78:N78" si="32">I39</f>
        <v>6949.8446250000015</v>
      </c>
      <c r="J78" s="3">
        <f t="shared" si="32"/>
        <v>27446.909575000005</v>
      </c>
      <c r="K78" s="3">
        <f t="shared" si="32"/>
        <v>26107.527660000007</v>
      </c>
      <c r="L78" s="3">
        <f t="shared" si="32"/>
        <v>25036.022128000004</v>
      </c>
      <c r="M78" s="3">
        <f t="shared" si="32"/>
        <v>24178.817702400003</v>
      </c>
      <c r="N78" s="3">
        <f t="shared" si="32"/>
        <v>23493.054161920005</v>
      </c>
    </row>
    <row r="79" spans="1:14" outlineLevel="1" x14ac:dyDescent="0.25">
      <c r="A79" s="3" t="s">
        <v>56</v>
      </c>
      <c r="I79" s="3">
        <f t="shared" ref="I79:N79" si="33">-I106</f>
        <v>82023.598022713879</v>
      </c>
      <c r="J79" s="3">
        <f t="shared" ca="1" si="33"/>
        <v>-6834.2729053533585</v>
      </c>
      <c r="K79" s="3">
        <f t="shared" ca="1" si="33"/>
        <v>-7449.0488558288962</v>
      </c>
      <c r="L79" s="3">
        <f t="shared" ca="1" si="33"/>
        <v>-4058.6294006557364</v>
      </c>
      <c r="M79" s="3">
        <f t="shared" ca="1" si="33"/>
        <v>-4053.3792585327101</v>
      </c>
      <c r="N79" s="3">
        <f t="shared" ca="1" si="33"/>
        <v>-3183.6051916909346</v>
      </c>
    </row>
    <row r="80" spans="1:14" outlineLevel="1" x14ac:dyDescent="0.25">
      <c r="A80" s="183" t="s">
        <v>57</v>
      </c>
      <c r="B80" s="7"/>
      <c r="C80" s="210"/>
      <c r="D80" s="185"/>
      <c r="E80" s="185"/>
      <c r="F80" s="185"/>
      <c r="G80" s="185"/>
      <c r="H80" s="185"/>
      <c r="I80" s="185">
        <f t="shared" ref="I80:N80" ca="1" si="34">SUM(I77:I79)</f>
        <v>96943.767632525705</v>
      </c>
      <c r="J80" s="185">
        <f t="shared" ca="1" si="34"/>
        <v>64271.189459843808</v>
      </c>
      <c r="K80" s="185">
        <f t="shared" ca="1" si="34"/>
        <v>93090.100975662164</v>
      </c>
      <c r="L80" s="185">
        <f t="shared" ca="1" si="34"/>
        <v>91033.801193064428</v>
      </c>
      <c r="M80" s="185">
        <f t="shared" ca="1" si="34"/>
        <v>98537.856789240264</v>
      </c>
      <c r="N80" s="185">
        <f t="shared" ca="1" si="34"/>
        <v>106633.18759799757</v>
      </c>
    </row>
    <row r="81" spans="1:14" outlineLevel="1" x14ac:dyDescent="0.25">
      <c r="A81" s="178"/>
      <c r="B81" s="160"/>
      <c r="C81" s="161"/>
      <c r="D81" s="165"/>
      <c r="E81" s="165"/>
      <c r="F81" s="165"/>
      <c r="G81" s="165"/>
      <c r="H81" s="178"/>
      <c r="I81" s="178"/>
      <c r="J81" s="178"/>
      <c r="K81" s="178"/>
      <c r="L81" s="178"/>
      <c r="M81" s="178"/>
      <c r="N81" s="178"/>
    </row>
    <row r="82" spans="1:14" outlineLevel="1" x14ac:dyDescent="0.25">
      <c r="A82" s="181" t="s">
        <v>58</v>
      </c>
      <c r="D82" s="170"/>
      <c r="E82" s="170"/>
      <c r="F82" s="170"/>
      <c r="G82" s="170"/>
      <c r="H82" s="160"/>
      <c r="I82" s="160"/>
      <c r="J82" s="160"/>
      <c r="K82" s="160"/>
      <c r="L82" s="160"/>
      <c r="M82" s="160"/>
      <c r="N82" s="160"/>
    </row>
    <row r="83" spans="1:14" outlineLevel="1" x14ac:dyDescent="0.25">
      <c r="A83" s="3" t="s">
        <v>59</v>
      </c>
      <c r="D83" s="160"/>
      <c r="E83" s="160"/>
      <c r="F83" s="160"/>
      <c r="G83" s="160"/>
      <c r="H83" s="160"/>
      <c r="I83" s="160">
        <f t="shared" ref="I83:N83" si="35">-I110</f>
        <v>-5187.5</v>
      </c>
      <c r="J83" s="160">
        <f t="shared" si="35"/>
        <v>-20750</v>
      </c>
      <c r="K83" s="160">
        <f t="shared" si="35"/>
        <v>-20750</v>
      </c>
      <c r="L83" s="160">
        <f t="shared" si="35"/>
        <v>-20750</v>
      </c>
      <c r="M83" s="160">
        <f t="shared" si="35"/>
        <v>-20750</v>
      </c>
      <c r="N83" s="160">
        <f t="shared" si="35"/>
        <v>-20750</v>
      </c>
    </row>
    <row r="84" spans="1:14" outlineLevel="1" x14ac:dyDescent="0.25">
      <c r="A84" s="3" t="s">
        <v>189</v>
      </c>
      <c r="D84" s="160"/>
      <c r="E84" s="160"/>
      <c r="F84" s="160"/>
      <c r="G84" s="160"/>
      <c r="I84" s="211"/>
      <c r="J84" s="211"/>
      <c r="K84" s="211"/>
      <c r="L84" s="211"/>
      <c r="M84" s="211"/>
      <c r="N84" s="211"/>
    </row>
    <row r="85" spans="1:14" outlineLevel="1" x14ac:dyDescent="0.25">
      <c r="A85" s="183" t="s">
        <v>60</v>
      </c>
      <c r="B85" s="7"/>
      <c r="C85" s="210"/>
      <c r="D85" s="185"/>
      <c r="E85" s="185"/>
      <c r="F85" s="185"/>
      <c r="G85" s="185"/>
      <c r="H85" s="185"/>
      <c r="I85" s="185">
        <f t="shared" ref="I85:N85" si="36">SUM(I83:I84)</f>
        <v>-5187.5</v>
      </c>
      <c r="J85" s="185">
        <f t="shared" si="36"/>
        <v>-20750</v>
      </c>
      <c r="K85" s="185">
        <f t="shared" si="36"/>
        <v>-20750</v>
      </c>
      <c r="L85" s="185">
        <f t="shared" si="36"/>
        <v>-20750</v>
      </c>
      <c r="M85" s="185">
        <f t="shared" si="36"/>
        <v>-20750</v>
      </c>
      <c r="N85" s="185">
        <f t="shared" si="36"/>
        <v>-20750</v>
      </c>
    </row>
    <row r="86" spans="1:14" outlineLevel="1" x14ac:dyDescent="0.25">
      <c r="A86" s="178"/>
      <c r="B86" s="160"/>
      <c r="C86" s="161"/>
      <c r="D86" s="165"/>
      <c r="E86" s="165"/>
      <c r="F86" s="165"/>
      <c r="G86" s="165"/>
      <c r="H86" s="178"/>
      <c r="I86" s="178"/>
      <c r="J86" s="178"/>
      <c r="K86" s="178"/>
      <c r="L86" s="178"/>
      <c r="M86" s="178"/>
      <c r="N86" s="178"/>
    </row>
    <row r="87" spans="1:14" outlineLevel="1" x14ac:dyDescent="0.25">
      <c r="A87" s="181" t="s">
        <v>61</v>
      </c>
      <c r="D87" s="170"/>
      <c r="E87" s="170"/>
      <c r="F87" s="170"/>
      <c r="G87" s="170"/>
      <c r="H87" s="160"/>
      <c r="I87" s="160"/>
      <c r="J87" s="160"/>
      <c r="K87" s="160"/>
      <c r="L87" s="160"/>
      <c r="M87" s="160"/>
      <c r="N87" s="160"/>
    </row>
    <row r="88" spans="1:14" outlineLevel="1" x14ac:dyDescent="0.25">
      <c r="A88" s="3" t="s">
        <v>62</v>
      </c>
      <c r="D88" s="1"/>
      <c r="E88" s="1"/>
      <c r="F88" s="1"/>
      <c r="G88" s="1"/>
      <c r="H88" s="160"/>
      <c r="I88" s="160">
        <f t="shared" ref="I88:N88" ca="1" si="37">I142</f>
        <v>-25000</v>
      </c>
      <c r="J88" s="160">
        <f t="shared" ca="1" si="37"/>
        <v>-35000</v>
      </c>
      <c r="K88" s="160">
        <f t="shared" ca="1" si="37"/>
        <v>-55000</v>
      </c>
      <c r="L88" s="160">
        <f t="shared" ca="1" si="37"/>
        <v>-35000</v>
      </c>
      <c r="M88" s="160">
        <f t="shared" ca="1" si="37"/>
        <v>-10000</v>
      </c>
      <c r="N88" s="160">
        <f t="shared" ca="1" si="37"/>
        <v>-35000</v>
      </c>
    </row>
    <row r="89" spans="1:14" outlineLevel="1" x14ac:dyDescent="0.25">
      <c r="A89" s="3" t="s">
        <v>63</v>
      </c>
      <c r="D89" s="2"/>
      <c r="E89" s="2"/>
      <c r="F89" s="2"/>
      <c r="G89" s="2"/>
      <c r="H89" s="160"/>
      <c r="I89" s="160">
        <f t="shared" ref="I89:N90" si="38">-I27</f>
        <v>0</v>
      </c>
      <c r="J89" s="160">
        <f t="shared" si="38"/>
        <v>0</v>
      </c>
      <c r="K89" s="160">
        <f t="shared" si="38"/>
        <v>0</v>
      </c>
      <c r="L89" s="160">
        <f t="shared" si="38"/>
        <v>0</v>
      </c>
      <c r="M89" s="160">
        <f t="shared" si="38"/>
        <v>0</v>
      </c>
      <c r="N89" s="160">
        <f t="shared" si="38"/>
        <v>0</v>
      </c>
    </row>
    <row r="90" spans="1:14" outlineLevel="1" x14ac:dyDescent="0.25">
      <c r="A90" s="3" t="s">
        <v>231</v>
      </c>
      <c r="D90" s="2"/>
      <c r="E90" s="2"/>
      <c r="F90" s="2"/>
      <c r="G90" s="2"/>
      <c r="H90" s="160"/>
      <c r="I90" s="160">
        <f t="shared" si="38"/>
        <v>0</v>
      </c>
      <c r="J90" s="160">
        <f t="shared" si="38"/>
        <v>0</v>
      </c>
      <c r="K90" s="160">
        <f t="shared" si="38"/>
        <v>0</v>
      </c>
      <c r="L90" s="160">
        <f t="shared" si="38"/>
        <v>-500</v>
      </c>
      <c r="M90" s="160">
        <f t="shared" si="38"/>
        <v>-500</v>
      </c>
      <c r="N90" s="160">
        <f t="shared" si="38"/>
        <v>-500</v>
      </c>
    </row>
    <row r="91" spans="1:14" outlineLevel="1" x14ac:dyDescent="0.25">
      <c r="A91" s="183" t="s">
        <v>64</v>
      </c>
      <c r="B91" s="7"/>
      <c r="C91" s="210"/>
      <c r="D91" s="185"/>
      <c r="E91" s="185"/>
      <c r="F91" s="185"/>
      <c r="G91" s="185"/>
      <c r="H91" s="183"/>
      <c r="I91" s="183">
        <f t="shared" ref="I91:N91" ca="1" si="39">SUM(I88:I90)</f>
        <v>-25000</v>
      </c>
      <c r="J91" s="183">
        <f t="shared" ca="1" si="39"/>
        <v>-35000</v>
      </c>
      <c r="K91" s="183">
        <f t="shared" ca="1" si="39"/>
        <v>-55000</v>
      </c>
      <c r="L91" s="183">
        <f t="shared" ca="1" si="39"/>
        <v>-35500</v>
      </c>
      <c r="M91" s="183">
        <f t="shared" ca="1" si="39"/>
        <v>-10500</v>
      </c>
      <c r="N91" s="183">
        <f t="shared" ca="1" si="39"/>
        <v>-35500</v>
      </c>
    </row>
    <row r="92" spans="1:14" outlineLevel="1" x14ac:dyDescent="0.25">
      <c r="A92" s="178"/>
      <c r="B92" s="160"/>
      <c r="C92" s="161"/>
      <c r="D92" s="165"/>
      <c r="E92" s="165"/>
      <c r="F92" s="165"/>
      <c r="G92" s="165"/>
      <c r="H92" s="178"/>
      <c r="I92" s="178"/>
      <c r="J92" s="178"/>
      <c r="K92" s="178"/>
      <c r="L92" s="178"/>
      <c r="M92" s="178"/>
      <c r="N92" s="178"/>
    </row>
    <row r="93" spans="1:14" outlineLevel="1" x14ac:dyDescent="0.25">
      <c r="A93" s="3" t="s">
        <v>65</v>
      </c>
      <c r="D93" s="164"/>
      <c r="E93" s="164"/>
      <c r="F93" s="164"/>
      <c r="G93" s="164"/>
      <c r="H93" s="164"/>
      <c r="I93" s="164">
        <f t="shared" ref="I93:N93" ca="1" si="40">I80+I85+I91</f>
        <v>66756.267632525705</v>
      </c>
      <c r="J93" s="164">
        <f t="shared" ca="1" si="40"/>
        <v>8521.1894598438084</v>
      </c>
      <c r="K93" s="164">
        <f t="shared" ca="1" si="40"/>
        <v>17340.100975662164</v>
      </c>
      <c r="L93" s="164">
        <f t="shared" ca="1" si="40"/>
        <v>34783.801193064428</v>
      </c>
      <c r="M93" s="164">
        <f t="shared" ca="1" si="40"/>
        <v>67287.856789240264</v>
      </c>
      <c r="N93" s="164">
        <f t="shared" ca="1" si="40"/>
        <v>50383.187597997574</v>
      </c>
    </row>
    <row r="94" spans="1:14" outlineLevel="1" x14ac:dyDescent="0.25">
      <c r="A94" s="3" t="s">
        <v>66</v>
      </c>
      <c r="D94" s="2"/>
      <c r="E94" s="160"/>
      <c r="F94" s="160"/>
      <c r="G94" s="160"/>
      <c r="H94" s="160"/>
      <c r="I94" s="160">
        <f t="shared" ref="I94:N94" ca="1" si="41">H95</f>
        <v>60399.321919741938</v>
      </c>
      <c r="J94" s="160">
        <f t="shared" ca="1" si="41"/>
        <v>127155.58955226764</v>
      </c>
      <c r="K94" s="160">
        <f t="shared" ca="1" si="41"/>
        <v>135676.77901211145</v>
      </c>
      <c r="L94" s="160">
        <f t="shared" ca="1" si="41"/>
        <v>153016.8799877736</v>
      </c>
      <c r="M94" s="160">
        <f t="shared" ca="1" si="41"/>
        <v>187800.68118083803</v>
      </c>
      <c r="N94" s="160">
        <f t="shared" ca="1" si="41"/>
        <v>255088.53797007829</v>
      </c>
    </row>
    <row r="95" spans="1:14" outlineLevel="1" x14ac:dyDescent="0.25">
      <c r="A95" s="183" t="s">
        <v>67</v>
      </c>
      <c r="B95" s="7"/>
      <c r="C95" s="210"/>
      <c r="D95" s="185"/>
      <c r="E95" s="185"/>
      <c r="F95" s="185"/>
      <c r="G95" s="185"/>
      <c r="H95" s="185">
        <f ca="1">H51</f>
        <v>60399.321919741938</v>
      </c>
      <c r="I95" s="185">
        <f t="shared" ref="I95:N95" ca="1" si="42">SUM(I93:I94)</f>
        <v>127155.58955226764</v>
      </c>
      <c r="J95" s="185">
        <f t="shared" ca="1" si="42"/>
        <v>135676.77901211145</v>
      </c>
      <c r="K95" s="185">
        <f t="shared" ca="1" si="42"/>
        <v>153016.8799877736</v>
      </c>
      <c r="L95" s="185">
        <f t="shared" ca="1" si="42"/>
        <v>187800.68118083803</v>
      </c>
      <c r="M95" s="185">
        <f t="shared" ca="1" si="42"/>
        <v>255088.53797007829</v>
      </c>
      <c r="N95" s="185">
        <f t="shared" ca="1" si="42"/>
        <v>305471.7255680759</v>
      </c>
    </row>
    <row r="96" spans="1:14" outlineLevel="1" x14ac:dyDescent="0.25">
      <c r="A96" s="181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</row>
    <row r="97" spans="1:14" outlineLevel="1" x14ac:dyDescent="0.25">
      <c r="A97" s="181"/>
      <c r="D97" s="165"/>
      <c r="E97" s="175"/>
      <c r="F97" s="175"/>
      <c r="G97" s="175"/>
      <c r="H97" s="175"/>
    </row>
    <row r="98" spans="1:14" x14ac:dyDescent="0.25">
      <c r="D98" s="175"/>
      <c r="E98" s="175"/>
      <c r="F98" s="175"/>
      <c r="G98" s="175"/>
      <c r="H98" s="175"/>
    </row>
    <row r="99" spans="1:14" ht="18" x14ac:dyDescent="0.25">
      <c r="A99" s="136" t="s">
        <v>68</v>
      </c>
      <c r="B99" s="136"/>
      <c r="C99" s="137"/>
      <c r="D99" s="137"/>
      <c r="E99" s="137"/>
      <c r="F99" s="137"/>
      <c r="G99" s="137"/>
      <c r="H99" s="138" t="str">
        <f>H$2</f>
        <v>CLOSE</v>
      </c>
      <c r="I99" s="25">
        <f t="shared" ref="I99:N99" si="43">I$2</f>
        <v>2017</v>
      </c>
      <c r="J99" s="25">
        <f t="shared" si="43"/>
        <v>2018</v>
      </c>
      <c r="K99" s="25">
        <f t="shared" si="43"/>
        <v>2019</v>
      </c>
      <c r="L99" s="25">
        <f t="shared" si="43"/>
        <v>2020</v>
      </c>
      <c r="M99" s="25">
        <f t="shared" si="43"/>
        <v>2021</v>
      </c>
      <c r="N99" s="25">
        <f t="shared" si="43"/>
        <v>2022</v>
      </c>
    </row>
    <row r="100" spans="1:14" outlineLevel="1" x14ac:dyDescent="0.25">
      <c r="D100" s="175"/>
      <c r="E100" s="175"/>
      <c r="F100" s="175"/>
      <c r="G100" s="175"/>
      <c r="H100" s="175"/>
    </row>
    <row r="101" spans="1:14" outlineLevel="1" x14ac:dyDescent="0.25">
      <c r="A101" s="181" t="s">
        <v>69</v>
      </c>
      <c r="D101" s="175"/>
      <c r="E101" s="175"/>
      <c r="F101" s="175"/>
      <c r="G101" s="175"/>
      <c r="H101" s="175"/>
    </row>
    <row r="102" spans="1:14" outlineLevel="1" x14ac:dyDescent="0.25">
      <c r="A102" s="3" t="s">
        <v>41</v>
      </c>
      <c r="H102" s="3">
        <f>H52</f>
        <v>14070.219828469022</v>
      </c>
      <c r="I102" s="3">
        <f t="shared" ref="I102:N102" si="44">I52</f>
        <v>12861.811106241235</v>
      </c>
      <c r="J102" s="3">
        <f t="shared" ca="1" si="44"/>
        <v>14599.874466195317</v>
      </c>
      <c r="K102" s="3">
        <f t="shared" ca="1" si="44"/>
        <v>16272.576434467524</v>
      </c>
      <c r="L102" s="3">
        <f t="shared" ca="1" si="44"/>
        <v>17843.340116608499</v>
      </c>
      <c r="M102" s="3">
        <f t="shared" ca="1" si="44"/>
        <v>19297.960222720572</v>
      </c>
      <c r="N102" s="3">
        <f t="shared" ca="1" si="44"/>
        <v>20553.105689017153</v>
      </c>
    </row>
    <row r="103" spans="1:14" outlineLevel="1" x14ac:dyDescent="0.25">
      <c r="A103" s="3" t="s">
        <v>42</v>
      </c>
      <c r="H103" s="3">
        <f>H53</f>
        <v>105170.01040507981</v>
      </c>
      <c r="I103" s="3">
        <f t="shared" ref="I103:N103" si="45">I53</f>
        <v>24008.71406498364</v>
      </c>
      <c r="J103" s="3">
        <f t="shared" ca="1" si="45"/>
        <v>30567.554754330533</v>
      </c>
      <c r="K103" s="3">
        <f t="shared" ca="1" si="45"/>
        <v>37741.651179182008</v>
      </c>
      <c r="L103" s="3">
        <f t="shared" ca="1" si="45"/>
        <v>41690.644383173712</v>
      </c>
      <c r="M103" s="3">
        <f t="shared" ca="1" si="45"/>
        <v>45815.658910825499</v>
      </c>
      <c r="N103" s="3">
        <f t="shared" ca="1" si="45"/>
        <v>48876.706093991146</v>
      </c>
    </row>
    <row r="104" spans="1:14" outlineLevel="1" x14ac:dyDescent="0.25">
      <c r="A104" s="3" t="s">
        <v>46</v>
      </c>
      <c r="H104" s="3">
        <f>H61</f>
        <v>11450.137294665014</v>
      </c>
      <c r="I104" s="3">
        <f t="shared" ref="I104:N104" si="46">I61</f>
        <v>11104.030255054933</v>
      </c>
      <c r="J104" s="3">
        <f t="shared" ca="1" si="46"/>
        <v>12566.661399002554</v>
      </c>
      <c r="K104" s="3">
        <f t="shared" ca="1" si="46"/>
        <v>13964.410936297343</v>
      </c>
      <c r="L104" s="3">
        <f t="shared" ca="1" si="46"/>
        <v>15425.538421774276</v>
      </c>
      <c r="M104" s="3">
        <f t="shared" ca="1" si="46"/>
        <v>16951.793797005434</v>
      </c>
      <c r="N104" s="3">
        <f t="shared" ca="1" si="46"/>
        <v>18084.381254776727</v>
      </c>
    </row>
    <row r="105" spans="1:14" outlineLevel="1" x14ac:dyDescent="0.25">
      <c r="A105" s="7" t="s">
        <v>70</v>
      </c>
      <c r="B105" s="7"/>
      <c r="C105" s="210"/>
      <c r="D105" s="4"/>
      <c r="E105" s="4"/>
      <c r="F105" s="4"/>
      <c r="G105" s="4"/>
      <c r="H105" s="4">
        <f>H102+H103-H104</f>
        <v>107790.09293888383</v>
      </c>
      <c r="I105" s="4">
        <f t="shared" ref="I105:N105" si="47">I102+I103-I104</f>
        <v>25766.494916169941</v>
      </c>
      <c r="J105" s="4">
        <f t="shared" ca="1" si="47"/>
        <v>32600.767821523299</v>
      </c>
      <c r="K105" s="4">
        <f t="shared" ca="1" si="47"/>
        <v>40049.816677352195</v>
      </c>
      <c r="L105" s="4">
        <f t="shared" ca="1" si="47"/>
        <v>44108.446078007932</v>
      </c>
      <c r="M105" s="4">
        <f t="shared" ca="1" si="47"/>
        <v>48161.825336540642</v>
      </c>
      <c r="N105" s="4">
        <f t="shared" ca="1" si="47"/>
        <v>51345.430528231576</v>
      </c>
    </row>
    <row r="106" spans="1:14" outlineLevel="1" x14ac:dyDescent="0.25">
      <c r="A106" s="3" t="s">
        <v>71</v>
      </c>
      <c r="D106" s="1"/>
      <c r="I106" s="3">
        <f t="shared" ref="I106:N106" si="48">I105-H105</f>
        <v>-82023.598022713879</v>
      </c>
      <c r="J106" s="3">
        <f t="shared" ca="1" si="48"/>
        <v>6834.2729053533585</v>
      </c>
      <c r="K106" s="3">
        <f t="shared" ca="1" si="48"/>
        <v>7449.0488558288962</v>
      </c>
      <c r="L106" s="3">
        <f t="shared" ca="1" si="48"/>
        <v>4058.6294006557364</v>
      </c>
      <c r="M106" s="3">
        <f t="shared" ca="1" si="48"/>
        <v>4053.3792585327101</v>
      </c>
      <c r="N106" s="3">
        <f t="shared" ca="1" si="48"/>
        <v>3183.6051916909346</v>
      </c>
    </row>
    <row r="107" spans="1:14" outlineLevel="1" x14ac:dyDescent="0.25">
      <c r="D107" s="175"/>
      <c r="E107" s="175"/>
      <c r="F107" s="175"/>
      <c r="G107" s="175"/>
      <c r="H107" s="175"/>
    </row>
    <row r="108" spans="1:14" outlineLevel="1" x14ac:dyDescent="0.25">
      <c r="A108" s="181" t="s">
        <v>72</v>
      </c>
      <c r="D108" s="175"/>
      <c r="E108" s="175"/>
      <c r="F108" s="175"/>
      <c r="G108" s="175"/>
      <c r="H108" s="175"/>
    </row>
    <row r="109" spans="1:14" outlineLevel="1" x14ac:dyDescent="0.25">
      <c r="A109" s="3" t="s">
        <v>73</v>
      </c>
      <c r="D109" s="2"/>
      <c r="E109" s="1"/>
      <c r="F109" s="1"/>
      <c r="G109" s="1"/>
      <c r="H109" s="1"/>
      <c r="I109" s="5">
        <f t="shared" ref="I109:N109" si="49">H112</f>
        <v>138996.89250000002</v>
      </c>
      <c r="J109" s="5">
        <f t="shared" si="49"/>
        <v>137234.54787500002</v>
      </c>
      <c r="K109" s="5">
        <f t="shared" si="49"/>
        <v>130537.63830000002</v>
      </c>
      <c r="L109" s="5">
        <f t="shared" si="49"/>
        <v>125180.11064000001</v>
      </c>
      <c r="M109" s="5">
        <f t="shared" si="49"/>
        <v>120894.08851200002</v>
      </c>
      <c r="N109" s="5">
        <f t="shared" si="49"/>
        <v>117465.27080960001</v>
      </c>
    </row>
    <row r="110" spans="1:14" outlineLevel="1" x14ac:dyDescent="0.25">
      <c r="A110" s="3" t="s">
        <v>74</v>
      </c>
      <c r="D110" s="2"/>
      <c r="E110" s="2"/>
      <c r="F110" s="2"/>
      <c r="G110" s="2"/>
      <c r="H110" s="2"/>
      <c r="I110" s="2">
        <f>('Acquirer Model'!I140+'Target Model'!I140)*I6</f>
        <v>5187.5</v>
      </c>
      <c r="J110" s="2">
        <f>('Acquirer Model'!J140+'Target Model'!J140)*J6</f>
        <v>20750</v>
      </c>
      <c r="K110" s="2">
        <f>('Acquirer Model'!K140+'Target Model'!K140)*K6</f>
        <v>20750</v>
      </c>
      <c r="L110" s="2">
        <f>('Acquirer Model'!L140+'Target Model'!L140)*L6</f>
        <v>20750</v>
      </c>
      <c r="M110" s="2">
        <f>('Acquirer Model'!M140+'Target Model'!M140)*M6</f>
        <v>20750</v>
      </c>
      <c r="N110" s="2">
        <f>('Acquirer Model'!N140+'Target Model'!N140)*N6</f>
        <v>20750</v>
      </c>
    </row>
    <row r="111" spans="1:14" ht="16.5" outlineLevel="1" x14ac:dyDescent="0.3">
      <c r="A111" s="3" t="s">
        <v>75</v>
      </c>
      <c r="C111" s="195"/>
      <c r="D111" s="2"/>
      <c r="E111" s="2"/>
      <c r="F111" s="2"/>
      <c r="G111" s="2"/>
      <c r="H111" s="2"/>
      <c r="I111" s="6">
        <f t="shared" ref="I111:N111" si="50">I109*I21*I6</f>
        <v>6949.8446250000015</v>
      </c>
      <c r="J111" s="6">
        <f t="shared" si="50"/>
        <v>27446.909575000005</v>
      </c>
      <c r="K111" s="6">
        <f t="shared" si="50"/>
        <v>26107.527660000007</v>
      </c>
      <c r="L111" s="6">
        <f t="shared" si="50"/>
        <v>25036.022128000004</v>
      </c>
      <c r="M111" s="6">
        <f t="shared" si="50"/>
        <v>24178.817702400003</v>
      </c>
      <c r="N111" s="6">
        <f t="shared" si="50"/>
        <v>23493.054161920005</v>
      </c>
    </row>
    <row r="112" spans="1:14" outlineLevel="1" x14ac:dyDescent="0.25">
      <c r="A112" s="7" t="s">
        <v>76</v>
      </c>
      <c r="B112" s="7"/>
      <c r="C112" s="210"/>
      <c r="D112" s="4"/>
      <c r="E112" s="4"/>
      <c r="F112" s="4"/>
      <c r="G112" s="4"/>
      <c r="H112" s="4">
        <f>H55</f>
        <v>138996.89250000002</v>
      </c>
      <c r="I112" s="4">
        <f t="shared" ref="I112:N112" si="51">I109+I110-I111</f>
        <v>137234.54787500002</v>
      </c>
      <c r="J112" s="4">
        <f t="shared" si="51"/>
        <v>130537.63830000002</v>
      </c>
      <c r="K112" s="4">
        <f t="shared" si="51"/>
        <v>125180.11064000001</v>
      </c>
      <c r="L112" s="4">
        <f t="shared" si="51"/>
        <v>120894.08851200002</v>
      </c>
      <c r="M112" s="4">
        <f t="shared" si="51"/>
        <v>117465.27080960001</v>
      </c>
      <c r="N112" s="4">
        <f t="shared" si="51"/>
        <v>114722.21664768</v>
      </c>
    </row>
    <row r="113" spans="1:14" outlineLevel="1" x14ac:dyDescent="0.25">
      <c r="D113" s="175"/>
      <c r="E113" s="175"/>
      <c r="F113" s="175"/>
      <c r="G113" s="175"/>
      <c r="H113" s="175"/>
    </row>
    <row r="114" spans="1:14" outlineLevel="1" x14ac:dyDescent="0.25">
      <c r="A114" s="212" t="s">
        <v>225</v>
      </c>
      <c r="B114" s="8"/>
      <c r="C114" s="213"/>
      <c r="D114" s="214"/>
      <c r="E114" s="214"/>
      <c r="F114" s="214"/>
      <c r="G114" s="214"/>
      <c r="H114" s="214"/>
      <c r="I114" s="8"/>
      <c r="J114" s="8"/>
      <c r="K114" s="8"/>
      <c r="L114" s="8"/>
      <c r="M114" s="8"/>
      <c r="N114" s="8"/>
    </row>
    <row r="115" spans="1:14" outlineLevel="1" x14ac:dyDescent="0.25">
      <c r="A115" s="155" t="s">
        <v>122</v>
      </c>
      <c r="D115" s="175"/>
      <c r="E115" s="175"/>
      <c r="F115" s="175"/>
      <c r="G115" s="175"/>
      <c r="H115" s="175"/>
    </row>
    <row r="116" spans="1:14" outlineLevel="1" x14ac:dyDescent="0.25">
      <c r="A116" s="3" t="s">
        <v>213</v>
      </c>
      <c r="D116" s="175"/>
      <c r="E116" s="175"/>
      <c r="F116" s="175"/>
      <c r="G116" s="175"/>
      <c r="I116" s="3">
        <f t="shared" ref="I116:N116" ca="1" si="52">H118</f>
        <v>100000</v>
      </c>
      <c r="J116" s="3">
        <f t="shared" ca="1" si="52"/>
        <v>75000</v>
      </c>
      <c r="K116" s="3">
        <f t="shared" ca="1" si="52"/>
        <v>50000</v>
      </c>
      <c r="L116" s="3">
        <f t="shared" ca="1" si="52"/>
        <v>25000</v>
      </c>
      <c r="M116" s="3">
        <f t="shared" ca="1" si="52"/>
        <v>0</v>
      </c>
      <c r="N116" s="3">
        <f t="shared" ca="1" si="52"/>
        <v>0</v>
      </c>
    </row>
    <row r="117" spans="1:14" outlineLevel="1" x14ac:dyDescent="0.25">
      <c r="A117" s="3" t="s">
        <v>214</v>
      </c>
      <c r="D117" s="175"/>
      <c r="E117" s="175"/>
      <c r="F117" s="175"/>
      <c r="G117" s="175"/>
      <c r="I117" s="3">
        <f t="shared" ref="I117:N117" ca="1" si="53">-$H$118*I12</f>
        <v>-25000</v>
      </c>
      <c r="J117" s="3">
        <f t="shared" ca="1" si="53"/>
        <v>-25000</v>
      </c>
      <c r="K117" s="3">
        <f t="shared" ca="1" si="53"/>
        <v>-25000</v>
      </c>
      <c r="L117" s="3">
        <f t="shared" ca="1" si="53"/>
        <v>-25000</v>
      </c>
      <c r="M117" s="3">
        <f t="shared" ca="1" si="53"/>
        <v>0</v>
      </c>
      <c r="N117" s="3">
        <f t="shared" ca="1" si="53"/>
        <v>0</v>
      </c>
    </row>
    <row r="118" spans="1:14" outlineLevel="1" x14ac:dyDescent="0.25">
      <c r="A118" s="7" t="s">
        <v>215</v>
      </c>
      <c r="B118" s="7"/>
      <c r="C118" s="210"/>
      <c r="D118" s="215"/>
      <c r="E118" s="215"/>
      <c r="F118" s="215"/>
      <c r="G118" s="215"/>
      <c r="H118" s="216">
        <f ca="1">'Deal Assumptions &amp; Analysis'!H19</f>
        <v>100000</v>
      </c>
      <c r="I118" s="7">
        <f t="shared" ref="I118:N118" ca="1" si="54">SUM(I116:I117)</f>
        <v>75000</v>
      </c>
      <c r="J118" s="7">
        <f t="shared" ca="1" si="54"/>
        <v>50000</v>
      </c>
      <c r="K118" s="7">
        <f t="shared" ca="1" si="54"/>
        <v>25000</v>
      </c>
      <c r="L118" s="7">
        <f t="shared" ca="1" si="54"/>
        <v>0</v>
      </c>
      <c r="M118" s="7">
        <f t="shared" ca="1" si="54"/>
        <v>0</v>
      </c>
      <c r="N118" s="7">
        <f t="shared" ca="1" si="54"/>
        <v>0</v>
      </c>
    </row>
    <row r="119" spans="1:14" outlineLevel="1" x14ac:dyDescent="0.25">
      <c r="A119" s="181"/>
      <c r="D119" s="175"/>
      <c r="E119" s="175"/>
      <c r="F119" s="175"/>
      <c r="G119" s="175"/>
      <c r="H119" s="175"/>
    </row>
    <row r="120" spans="1:14" outlineLevel="1" x14ac:dyDescent="0.25">
      <c r="A120" s="155" t="s">
        <v>123</v>
      </c>
      <c r="D120" s="175"/>
      <c r="E120" s="175"/>
      <c r="F120" s="175"/>
      <c r="G120" s="175"/>
      <c r="H120" s="175"/>
    </row>
    <row r="121" spans="1:14" outlineLevel="1" x14ac:dyDescent="0.25">
      <c r="A121" s="3" t="s">
        <v>213</v>
      </c>
      <c r="D121" s="175"/>
      <c r="E121" s="175"/>
      <c r="F121" s="175"/>
      <c r="G121" s="175"/>
      <c r="H121" s="175"/>
      <c r="I121" s="3">
        <f t="shared" ref="I121:N121" ca="1" si="55">H123</f>
        <v>50000</v>
      </c>
      <c r="J121" s="3">
        <f t="shared" ca="1" si="55"/>
        <v>50000</v>
      </c>
      <c r="K121" s="3">
        <f t="shared" ca="1" si="55"/>
        <v>40000</v>
      </c>
      <c r="L121" s="3">
        <f t="shared" ca="1" si="55"/>
        <v>30000</v>
      </c>
      <c r="M121" s="3">
        <f t="shared" ca="1" si="55"/>
        <v>20000</v>
      </c>
      <c r="N121" s="3">
        <f t="shared" ca="1" si="55"/>
        <v>10000</v>
      </c>
    </row>
    <row r="122" spans="1:14" outlineLevel="1" x14ac:dyDescent="0.25">
      <c r="A122" s="3" t="s">
        <v>214</v>
      </c>
      <c r="D122" s="175"/>
      <c r="E122" s="175"/>
      <c r="F122" s="175"/>
      <c r="G122" s="175"/>
      <c r="H122" s="175"/>
      <c r="I122" s="3">
        <f t="shared" ref="I122:N122" ca="1" si="56">-$H$123*I13</f>
        <v>0</v>
      </c>
      <c r="J122" s="3">
        <f t="shared" ca="1" si="56"/>
        <v>-10000</v>
      </c>
      <c r="K122" s="3">
        <f t="shared" ca="1" si="56"/>
        <v>-10000</v>
      </c>
      <c r="L122" s="3">
        <f t="shared" ca="1" si="56"/>
        <v>-10000</v>
      </c>
      <c r="M122" s="3">
        <f t="shared" ca="1" si="56"/>
        <v>-10000</v>
      </c>
      <c r="N122" s="3">
        <f t="shared" ca="1" si="56"/>
        <v>-10000</v>
      </c>
    </row>
    <row r="123" spans="1:14" outlineLevel="1" x14ac:dyDescent="0.25">
      <c r="A123" s="7" t="s">
        <v>215</v>
      </c>
      <c r="B123" s="7"/>
      <c r="C123" s="210"/>
      <c r="D123" s="215"/>
      <c r="E123" s="215"/>
      <c r="F123" s="215"/>
      <c r="G123" s="215"/>
      <c r="H123" s="216">
        <f ca="1">'Deal Assumptions &amp; Analysis'!H20</f>
        <v>50000</v>
      </c>
      <c r="I123" s="7">
        <f t="shared" ref="I123:N123" ca="1" si="57">SUM(I121:I122)</f>
        <v>50000</v>
      </c>
      <c r="J123" s="7">
        <f t="shared" ca="1" si="57"/>
        <v>40000</v>
      </c>
      <c r="K123" s="7">
        <f t="shared" ca="1" si="57"/>
        <v>30000</v>
      </c>
      <c r="L123" s="7">
        <f t="shared" ca="1" si="57"/>
        <v>20000</v>
      </c>
      <c r="M123" s="7">
        <f t="shared" ca="1" si="57"/>
        <v>10000</v>
      </c>
      <c r="N123" s="7">
        <f t="shared" ca="1" si="57"/>
        <v>0</v>
      </c>
    </row>
    <row r="124" spans="1:14" outlineLevel="1" x14ac:dyDescent="0.25">
      <c r="A124" s="181"/>
      <c r="D124" s="175"/>
      <c r="E124" s="175"/>
      <c r="F124" s="175"/>
      <c r="G124" s="175"/>
      <c r="H124" s="175"/>
    </row>
    <row r="125" spans="1:14" outlineLevel="1" x14ac:dyDescent="0.25">
      <c r="A125" s="155" t="s">
        <v>124</v>
      </c>
      <c r="D125" s="175"/>
      <c r="E125" s="175"/>
      <c r="F125" s="175"/>
      <c r="G125" s="175"/>
      <c r="H125" s="175"/>
    </row>
    <row r="126" spans="1:14" outlineLevel="1" x14ac:dyDescent="0.25">
      <c r="A126" s="3" t="s">
        <v>213</v>
      </c>
      <c r="D126" s="175"/>
      <c r="E126" s="175"/>
      <c r="F126" s="175"/>
      <c r="G126" s="175"/>
      <c r="H126" s="175"/>
      <c r="I126" s="3">
        <f t="shared" ref="I126:N126" ca="1" si="58">H128</f>
        <v>25000</v>
      </c>
      <c r="J126" s="3">
        <f t="shared" ca="1" si="58"/>
        <v>25000</v>
      </c>
      <c r="K126" s="3">
        <f t="shared" ca="1" si="58"/>
        <v>25000</v>
      </c>
      <c r="L126" s="3">
        <f t="shared" ca="1" si="58"/>
        <v>25000</v>
      </c>
      <c r="M126" s="3">
        <f t="shared" ca="1" si="58"/>
        <v>25000</v>
      </c>
      <c r="N126" s="3">
        <f t="shared" ca="1" si="58"/>
        <v>25000</v>
      </c>
    </row>
    <row r="127" spans="1:14" outlineLevel="1" x14ac:dyDescent="0.25">
      <c r="A127" s="3" t="s">
        <v>214</v>
      </c>
      <c r="D127" s="175"/>
      <c r="E127" s="175"/>
      <c r="F127" s="175"/>
      <c r="G127" s="175"/>
      <c r="H127" s="175"/>
      <c r="I127" s="3">
        <f t="shared" ref="I127:N127" ca="1" si="59">-$H$128*I14</f>
        <v>0</v>
      </c>
      <c r="J127" s="3">
        <f t="shared" ca="1" si="59"/>
        <v>0</v>
      </c>
      <c r="K127" s="3">
        <f t="shared" ca="1" si="59"/>
        <v>0</v>
      </c>
      <c r="L127" s="3">
        <f t="shared" ca="1" si="59"/>
        <v>0</v>
      </c>
      <c r="M127" s="3">
        <f t="shared" ca="1" si="59"/>
        <v>0</v>
      </c>
      <c r="N127" s="3">
        <f t="shared" ca="1" si="59"/>
        <v>-25000</v>
      </c>
    </row>
    <row r="128" spans="1:14" outlineLevel="1" x14ac:dyDescent="0.25">
      <c r="A128" s="7" t="s">
        <v>215</v>
      </c>
      <c r="B128" s="7"/>
      <c r="C128" s="210"/>
      <c r="D128" s="215"/>
      <c r="E128" s="215"/>
      <c r="F128" s="215"/>
      <c r="G128" s="215"/>
      <c r="H128" s="216">
        <f ca="1">'Deal Assumptions &amp; Analysis'!H21</f>
        <v>25000</v>
      </c>
      <c r="I128" s="7">
        <f t="shared" ref="I128:N128" ca="1" si="60">SUM(I126:I127)</f>
        <v>25000</v>
      </c>
      <c r="J128" s="7">
        <f t="shared" ca="1" si="60"/>
        <v>25000</v>
      </c>
      <c r="K128" s="7">
        <f t="shared" ca="1" si="60"/>
        <v>25000</v>
      </c>
      <c r="L128" s="7">
        <f t="shared" ca="1" si="60"/>
        <v>25000</v>
      </c>
      <c r="M128" s="7">
        <f t="shared" ca="1" si="60"/>
        <v>25000</v>
      </c>
      <c r="N128" s="7">
        <f t="shared" ca="1" si="60"/>
        <v>0</v>
      </c>
    </row>
    <row r="129" spans="1:14" outlineLevel="1" x14ac:dyDescent="0.25">
      <c r="A129" s="160"/>
      <c r="B129" s="160"/>
      <c r="C129" s="161"/>
      <c r="D129" s="170"/>
      <c r="E129" s="170"/>
      <c r="F129" s="170"/>
      <c r="G129" s="170"/>
      <c r="H129" s="170"/>
    </row>
    <row r="130" spans="1:14" outlineLevel="1" x14ac:dyDescent="0.25">
      <c r="A130" s="155" t="s">
        <v>138</v>
      </c>
      <c r="D130" s="175"/>
      <c r="E130" s="175"/>
      <c r="F130" s="175"/>
      <c r="G130" s="175"/>
      <c r="H130" s="175"/>
    </row>
    <row r="131" spans="1:14" outlineLevel="1" x14ac:dyDescent="0.25">
      <c r="A131" s="3" t="s">
        <v>213</v>
      </c>
      <c r="D131" s="175"/>
      <c r="E131" s="175"/>
      <c r="F131" s="175"/>
      <c r="G131" s="175"/>
      <c r="H131" s="175"/>
      <c r="I131" s="3">
        <f t="shared" ref="I131:N131" si="61">H133</f>
        <v>0</v>
      </c>
      <c r="J131" s="3">
        <f t="shared" si="61"/>
        <v>0</v>
      </c>
      <c r="K131" s="3">
        <f t="shared" si="61"/>
        <v>0</v>
      </c>
      <c r="L131" s="3">
        <f t="shared" si="61"/>
        <v>0</v>
      </c>
      <c r="M131" s="3">
        <f t="shared" si="61"/>
        <v>0</v>
      </c>
      <c r="N131" s="3">
        <f t="shared" si="61"/>
        <v>0</v>
      </c>
    </row>
    <row r="132" spans="1:14" outlineLevel="1" x14ac:dyDescent="0.25">
      <c r="A132" s="3" t="s">
        <v>214</v>
      </c>
      <c r="D132" s="175"/>
      <c r="E132" s="175"/>
      <c r="F132" s="175"/>
      <c r="G132" s="175"/>
      <c r="H132" s="175"/>
      <c r="I132" s="2">
        <f>IF(I131&gt;0,'Target Model'!I146*'Pro Forma Model'!I6,0)</f>
        <v>0</v>
      </c>
      <c r="J132" s="2">
        <f>IF(J131&gt;0,'Target Model'!J146*'Pro Forma Model'!J6,0)</f>
        <v>0</v>
      </c>
      <c r="K132" s="2">
        <f>IF(K131&gt;0,'Target Model'!K146*'Pro Forma Model'!K6,0)</f>
        <v>0</v>
      </c>
      <c r="L132" s="2">
        <f>IF(L131&gt;0,'Target Model'!L146*'Pro Forma Model'!L6,0)</f>
        <v>0</v>
      </c>
      <c r="M132" s="2">
        <f>IF(M131&gt;0,'Target Model'!M146*'Pro Forma Model'!M6,0)</f>
        <v>0</v>
      </c>
      <c r="N132" s="2">
        <f>IF(N131&gt;0,'Target Model'!N146*'Pro Forma Model'!N6,0)</f>
        <v>0</v>
      </c>
    </row>
    <row r="133" spans="1:14" outlineLevel="1" x14ac:dyDescent="0.25">
      <c r="A133" s="7" t="s">
        <v>215</v>
      </c>
      <c r="B133" s="7"/>
      <c r="C133" s="210"/>
      <c r="D133" s="215"/>
      <c r="E133" s="215"/>
      <c r="F133" s="215"/>
      <c r="G133" s="215"/>
      <c r="H133" s="216">
        <f>'Deal Assumptions &amp; Analysis'!E77+'Deal Assumptions &amp; Analysis'!E74-'Deal Assumptions &amp; Analysis'!M38</f>
        <v>0</v>
      </c>
      <c r="I133" s="7">
        <f t="shared" ref="I133:N133" si="62">SUM(I131:I132)</f>
        <v>0</v>
      </c>
      <c r="J133" s="7">
        <f t="shared" si="62"/>
        <v>0</v>
      </c>
      <c r="K133" s="7">
        <f t="shared" si="62"/>
        <v>0</v>
      </c>
      <c r="L133" s="7">
        <f t="shared" si="62"/>
        <v>0</v>
      </c>
      <c r="M133" s="7">
        <f t="shared" si="62"/>
        <v>0</v>
      </c>
      <c r="N133" s="7">
        <f t="shared" si="62"/>
        <v>0</v>
      </c>
    </row>
    <row r="134" spans="1:14" outlineLevel="1" x14ac:dyDescent="0.25">
      <c r="D134" s="175"/>
      <c r="E134" s="175"/>
      <c r="F134" s="175"/>
      <c r="G134" s="175"/>
      <c r="H134" s="175"/>
    </row>
    <row r="135" spans="1:14" outlineLevel="1" x14ac:dyDescent="0.25">
      <c r="A135" s="155" t="s">
        <v>221</v>
      </c>
      <c r="D135" s="175"/>
      <c r="E135" s="175"/>
      <c r="F135" s="175"/>
      <c r="G135" s="175"/>
      <c r="H135" s="175"/>
    </row>
    <row r="136" spans="1:14" outlineLevel="1" x14ac:dyDescent="0.25">
      <c r="A136" s="3" t="s">
        <v>213</v>
      </c>
      <c r="D136" s="175"/>
      <c r="E136" s="175"/>
      <c r="F136" s="175"/>
      <c r="G136" s="175"/>
      <c r="H136" s="175"/>
      <c r="I136" s="3">
        <f t="shared" ref="I136:N136" si="63">H138</f>
        <v>30000</v>
      </c>
      <c r="J136" s="3">
        <f t="shared" si="63"/>
        <v>30000</v>
      </c>
      <c r="K136" s="3">
        <f t="shared" si="63"/>
        <v>30000</v>
      </c>
      <c r="L136" s="3">
        <f t="shared" si="63"/>
        <v>10000</v>
      </c>
      <c r="M136" s="3">
        <f t="shared" si="63"/>
        <v>10000</v>
      </c>
      <c r="N136" s="3">
        <f t="shared" si="63"/>
        <v>10000</v>
      </c>
    </row>
    <row r="137" spans="1:14" outlineLevel="1" x14ac:dyDescent="0.25">
      <c r="A137" s="3" t="s">
        <v>214</v>
      </c>
      <c r="D137" s="175"/>
      <c r="E137" s="175"/>
      <c r="F137" s="175"/>
      <c r="G137" s="175"/>
      <c r="H137" s="175"/>
      <c r="I137" s="2">
        <f>IF(I136&gt;0,'Acquirer Model'!I146*'Pro Forma Model'!I6,0)</f>
        <v>0</v>
      </c>
      <c r="J137" s="2">
        <f>IF(J136&gt;0,'Acquirer Model'!J146*'Pro Forma Model'!J6,0)</f>
        <v>0</v>
      </c>
      <c r="K137" s="2">
        <f>IF(K136&gt;0,'Acquirer Model'!K146*'Pro Forma Model'!K6,0)</f>
        <v>-20000</v>
      </c>
      <c r="L137" s="2">
        <f>IF(L136&gt;0,'Acquirer Model'!L146*'Pro Forma Model'!L6,0)</f>
        <v>0</v>
      </c>
      <c r="M137" s="2">
        <f>IF(M136&gt;0,'Acquirer Model'!M146*'Pro Forma Model'!M6,0)</f>
        <v>0</v>
      </c>
      <c r="N137" s="2">
        <f>IF(N136&gt;0,'Acquirer Model'!N146*'Pro Forma Model'!N6,0)</f>
        <v>0</v>
      </c>
    </row>
    <row r="138" spans="1:14" outlineLevel="1" x14ac:dyDescent="0.25">
      <c r="A138" s="7" t="s">
        <v>215</v>
      </c>
      <c r="B138" s="7"/>
      <c r="C138" s="210"/>
      <c r="D138" s="215"/>
      <c r="E138" s="215"/>
      <c r="F138" s="215"/>
      <c r="G138" s="215"/>
      <c r="H138" s="216">
        <f>'Deal Assumptions &amp; Analysis'!D74+'Deal Assumptions &amp; Analysis'!D77-'Deal Assumptions &amp; Analysis'!M39</f>
        <v>30000</v>
      </c>
      <c r="I138" s="7">
        <f t="shared" ref="I138:N138" si="64">SUM(I136:I137)</f>
        <v>30000</v>
      </c>
      <c r="J138" s="7">
        <f t="shared" si="64"/>
        <v>30000</v>
      </c>
      <c r="K138" s="7">
        <f t="shared" si="64"/>
        <v>10000</v>
      </c>
      <c r="L138" s="7">
        <f t="shared" si="64"/>
        <v>10000</v>
      </c>
      <c r="M138" s="7">
        <f t="shared" si="64"/>
        <v>10000</v>
      </c>
      <c r="N138" s="7">
        <f t="shared" si="64"/>
        <v>10000</v>
      </c>
    </row>
    <row r="139" spans="1:14" outlineLevel="1" x14ac:dyDescent="0.25">
      <c r="D139" s="175"/>
      <c r="E139" s="175"/>
      <c r="F139" s="175"/>
      <c r="G139" s="175"/>
      <c r="H139" s="175"/>
    </row>
    <row r="140" spans="1:14" outlineLevel="1" x14ac:dyDescent="0.25">
      <c r="A140" s="155" t="s">
        <v>222</v>
      </c>
      <c r="D140" s="175"/>
      <c r="E140" s="175"/>
      <c r="F140" s="175"/>
      <c r="G140" s="175"/>
      <c r="H140" s="175"/>
    </row>
    <row r="141" spans="1:14" outlineLevel="1" x14ac:dyDescent="0.25">
      <c r="A141" s="3" t="s">
        <v>213</v>
      </c>
      <c r="D141" s="175"/>
      <c r="E141" s="175"/>
      <c r="F141" s="175"/>
      <c r="G141" s="175"/>
      <c r="H141" s="175"/>
      <c r="I141" s="1">
        <f t="shared" ref="I141:N141" ca="1" si="65">H143</f>
        <v>205000</v>
      </c>
      <c r="J141" s="1">
        <f t="shared" ca="1" si="65"/>
        <v>180000</v>
      </c>
      <c r="K141" s="1">
        <f t="shared" ca="1" si="65"/>
        <v>145000</v>
      </c>
      <c r="L141" s="1">
        <f t="shared" ca="1" si="65"/>
        <v>90000</v>
      </c>
      <c r="M141" s="1">
        <f t="shared" ca="1" si="65"/>
        <v>55000</v>
      </c>
      <c r="N141" s="1">
        <f t="shared" ca="1" si="65"/>
        <v>45000</v>
      </c>
    </row>
    <row r="142" spans="1:14" outlineLevel="1" x14ac:dyDescent="0.25">
      <c r="A142" s="3" t="s">
        <v>214</v>
      </c>
      <c r="D142" s="175"/>
      <c r="E142" s="175"/>
      <c r="F142" s="175"/>
      <c r="G142" s="175"/>
      <c r="H142" s="175"/>
      <c r="I142" s="1">
        <f t="shared" ref="I142:N142" ca="1" si="66">I137+I132+I127+I122+I117</f>
        <v>-25000</v>
      </c>
      <c r="J142" s="1">
        <f t="shared" ca="1" si="66"/>
        <v>-35000</v>
      </c>
      <c r="K142" s="1">
        <f t="shared" ca="1" si="66"/>
        <v>-55000</v>
      </c>
      <c r="L142" s="1">
        <f t="shared" ca="1" si="66"/>
        <v>-35000</v>
      </c>
      <c r="M142" s="1">
        <f t="shared" ca="1" si="66"/>
        <v>-10000</v>
      </c>
      <c r="N142" s="1">
        <f t="shared" ca="1" si="66"/>
        <v>-35000</v>
      </c>
    </row>
    <row r="143" spans="1:14" outlineLevel="1" x14ac:dyDescent="0.25">
      <c r="A143" s="9" t="s">
        <v>215</v>
      </c>
      <c r="B143" s="9"/>
      <c r="C143" s="217"/>
      <c r="D143" s="218"/>
      <c r="E143" s="218"/>
      <c r="F143" s="218"/>
      <c r="G143" s="218"/>
      <c r="H143" s="204">
        <f ca="1">H138+H133+H128+H123+H118</f>
        <v>205000</v>
      </c>
      <c r="I143" s="9">
        <f t="shared" ref="I143:N143" ca="1" si="67">SUM(I141:I142)</f>
        <v>180000</v>
      </c>
      <c r="J143" s="9">
        <f t="shared" ca="1" si="67"/>
        <v>145000</v>
      </c>
      <c r="K143" s="9">
        <f t="shared" ca="1" si="67"/>
        <v>90000</v>
      </c>
      <c r="L143" s="9">
        <f t="shared" ca="1" si="67"/>
        <v>55000</v>
      </c>
      <c r="M143" s="9">
        <f t="shared" ca="1" si="67"/>
        <v>45000</v>
      </c>
      <c r="N143" s="9">
        <f t="shared" ca="1" si="67"/>
        <v>10000</v>
      </c>
    </row>
    <row r="144" spans="1:14" outlineLevel="1" x14ac:dyDescent="0.25">
      <c r="D144" s="175"/>
      <c r="E144" s="175"/>
      <c r="F144" s="175"/>
      <c r="G144" s="175"/>
      <c r="H144" s="175"/>
    </row>
    <row r="145" spans="1:14" outlineLevel="1" x14ac:dyDescent="0.25">
      <c r="D145" s="175"/>
      <c r="E145" s="175"/>
      <c r="F145" s="175"/>
      <c r="G145" s="175"/>
      <c r="H145" s="175"/>
    </row>
    <row r="146" spans="1:14" outlineLevel="1" x14ac:dyDescent="0.25">
      <c r="A146" s="212" t="s">
        <v>226</v>
      </c>
      <c r="B146" s="8"/>
      <c r="C146" s="213"/>
      <c r="D146" s="214"/>
      <c r="E146" s="214"/>
      <c r="F146" s="214"/>
      <c r="G146" s="214"/>
      <c r="H146" s="214"/>
      <c r="I146" s="8"/>
      <c r="J146" s="8"/>
      <c r="K146" s="8"/>
      <c r="L146" s="8"/>
      <c r="M146" s="8"/>
      <c r="N146" s="8"/>
    </row>
    <row r="147" spans="1:14" outlineLevel="1" x14ac:dyDescent="0.25">
      <c r="A147" s="155" t="s">
        <v>227</v>
      </c>
      <c r="D147" s="175"/>
      <c r="E147" s="175"/>
      <c r="F147" s="175"/>
      <c r="G147" s="175"/>
      <c r="H147" s="175"/>
    </row>
    <row r="148" spans="1:14" outlineLevel="1" x14ac:dyDescent="0.25">
      <c r="A148" s="157" t="s">
        <v>122</v>
      </c>
      <c r="D148" s="175"/>
      <c r="E148" s="175"/>
      <c r="F148" s="175"/>
      <c r="G148" s="175"/>
      <c r="H148" s="219"/>
      <c r="I148" s="219">
        <f ca="1">'Deal Assumptions &amp; Analysis'!H23</f>
        <v>5.5E-2</v>
      </c>
      <c r="J148" s="10">
        <f t="shared" ref="J148:N150" ca="1" si="68">I148</f>
        <v>5.5E-2</v>
      </c>
      <c r="K148" s="10">
        <f t="shared" ca="1" si="68"/>
        <v>5.5E-2</v>
      </c>
      <c r="L148" s="10">
        <f t="shared" ca="1" si="68"/>
        <v>5.5E-2</v>
      </c>
      <c r="M148" s="10">
        <f t="shared" ca="1" si="68"/>
        <v>5.5E-2</v>
      </c>
      <c r="N148" s="10">
        <f t="shared" ca="1" si="68"/>
        <v>5.5E-2</v>
      </c>
    </row>
    <row r="149" spans="1:14" outlineLevel="1" x14ac:dyDescent="0.25">
      <c r="A149" s="157" t="s">
        <v>123</v>
      </c>
      <c r="D149" s="175"/>
      <c r="E149" s="175"/>
      <c r="F149" s="175"/>
      <c r="G149" s="175"/>
      <c r="H149" s="219"/>
      <c r="I149" s="219">
        <f ca="1">'Deal Assumptions &amp; Analysis'!H24</f>
        <v>5.7500000000000002E-2</v>
      </c>
      <c r="J149" s="10">
        <f t="shared" ca="1" si="68"/>
        <v>5.7500000000000002E-2</v>
      </c>
      <c r="K149" s="10">
        <f t="shared" ca="1" si="68"/>
        <v>5.7500000000000002E-2</v>
      </c>
      <c r="L149" s="10">
        <f t="shared" ca="1" si="68"/>
        <v>5.7500000000000002E-2</v>
      </c>
      <c r="M149" s="10">
        <f t="shared" ca="1" si="68"/>
        <v>5.7500000000000002E-2</v>
      </c>
      <c r="N149" s="10">
        <f t="shared" ca="1" si="68"/>
        <v>5.7500000000000002E-2</v>
      </c>
    </row>
    <row r="150" spans="1:14" outlineLevel="1" x14ac:dyDescent="0.25">
      <c r="A150" s="157" t="s">
        <v>124</v>
      </c>
      <c r="D150" s="175"/>
      <c r="E150" s="175"/>
      <c r="F150" s="175"/>
      <c r="G150" s="175"/>
      <c r="H150" s="219"/>
      <c r="I150" s="219">
        <f ca="1">'Deal Assumptions &amp; Analysis'!H25</f>
        <v>8.2500000000000004E-2</v>
      </c>
      <c r="J150" s="10">
        <f t="shared" ca="1" si="68"/>
        <v>8.2500000000000004E-2</v>
      </c>
      <c r="K150" s="10">
        <f t="shared" ca="1" si="68"/>
        <v>8.2500000000000004E-2</v>
      </c>
      <c r="L150" s="10">
        <f t="shared" ca="1" si="68"/>
        <v>8.2500000000000004E-2</v>
      </c>
      <c r="M150" s="10">
        <f t="shared" ca="1" si="68"/>
        <v>8.2500000000000004E-2</v>
      </c>
      <c r="N150" s="10">
        <f t="shared" ca="1" si="68"/>
        <v>8.2500000000000004E-2</v>
      </c>
    </row>
    <row r="151" spans="1:14" outlineLevel="1" x14ac:dyDescent="0.25">
      <c r="A151" s="3" t="s">
        <v>138</v>
      </c>
      <c r="D151" s="175"/>
      <c r="E151" s="175"/>
      <c r="F151" s="175"/>
      <c r="G151" s="175"/>
      <c r="H151" s="219"/>
      <c r="I151" s="219">
        <f>'Target Model'!I50</f>
        <v>0.08</v>
      </c>
      <c r="J151" s="219">
        <f>'Target Model'!J50</f>
        <v>0.08</v>
      </c>
      <c r="K151" s="219">
        <f>'Target Model'!K50</f>
        <v>0</v>
      </c>
      <c r="L151" s="219">
        <f>'Target Model'!L50</f>
        <v>0.08</v>
      </c>
      <c r="M151" s="219">
        <f>'Target Model'!M50</f>
        <v>0.08</v>
      </c>
      <c r="N151" s="219">
        <f>'Target Model'!N50</f>
        <v>0.08</v>
      </c>
    </row>
    <row r="152" spans="1:14" outlineLevel="1" x14ac:dyDescent="0.25">
      <c r="A152" s="157" t="s">
        <v>221</v>
      </c>
      <c r="D152" s="175"/>
      <c r="E152" s="175"/>
      <c r="F152" s="175"/>
      <c r="G152" s="175"/>
      <c r="H152" s="219"/>
      <c r="I152" s="11">
        <f>'Acquirer Model'!I18</f>
        <v>0.1</v>
      </c>
      <c r="J152" s="11">
        <f>'Acquirer Model'!J18</f>
        <v>0.1</v>
      </c>
      <c r="K152" s="11">
        <f>'Acquirer Model'!K18</f>
        <v>0</v>
      </c>
      <c r="L152" s="11">
        <f>'Acquirer Model'!L18</f>
        <v>0.1</v>
      </c>
      <c r="M152" s="11">
        <f>'Acquirer Model'!M18</f>
        <v>0.1</v>
      </c>
      <c r="N152" s="11">
        <f>'Acquirer Model'!N18</f>
        <v>0.1</v>
      </c>
    </row>
    <row r="153" spans="1:14" outlineLevel="1" x14ac:dyDescent="0.25">
      <c r="D153" s="175"/>
      <c r="E153" s="175"/>
      <c r="F153" s="175"/>
      <c r="G153" s="175"/>
      <c r="H153" s="175"/>
    </row>
    <row r="154" spans="1:14" outlineLevel="1" x14ac:dyDescent="0.25">
      <c r="A154" s="155" t="s">
        <v>252</v>
      </c>
      <c r="D154" s="175"/>
      <c r="E154" s="175"/>
      <c r="F154" s="175"/>
      <c r="G154" s="175"/>
      <c r="H154" s="175"/>
    </row>
    <row r="155" spans="1:14" outlineLevel="1" x14ac:dyDescent="0.25">
      <c r="A155" s="157" t="s">
        <v>122</v>
      </c>
      <c r="D155" s="175"/>
      <c r="E155" s="175"/>
      <c r="F155" s="175"/>
      <c r="G155" s="175"/>
      <c r="H155" s="1"/>
      <c r="I155" s="1">
        <f t="shared" ref="I155:N155" ca="1" si="69">I148*I116*I6</f>
        <v>1375</v>
      </c>
      <c r="J155" s="1">
        <f t="shared" ca="1" si="69"/>
        <v>4125</v>
      </c>
      <c r="K155" s="1">
        <f t="shared" ca="1" si="69"/>
        <v>2750</v>
      </c>
      <c r="L155" s="1">
        <f t="shared" ca="1" si="69"/>
        <v>1375</v>
      </c>
      <c r="M155" s="1">
        <f t="shared" ca="1" si="69"/>
        <v>0</v>
      </c>
      <c r="N155" s="1">
        <f t="shared" ca="1" si="69"/>
        <v>0</v>
      </c>
    </row>
    <row r="156" spans="1:14" outlineLevel="1" x14ac:dyDescent="0.25">
      <c r="A156" s="157" t="s">
        <v>123</v>
      </c>
      <c r="D156" s="175"/>
      <c r="E156" s="175"/>
      <c r="F156" s="175"/>
      <c r="G156" s="175"/>
      <c r="H156" s="1"/>
      <c r="I156" s="1">
        <f t="shared" ref="I156:N156" ca="1" si="70">I121*I6*I149</f>
        <v>718.75</v>
      </c>
      <c r="J156" s="1">
        <f t="shared" ca="1" si="70"/>
        <v>2875</v>
      </c>
      <c r="K156" s="1">
        <f t="shared" ca="1" si="70"/>
        <v>2300</v>
      </c>
      <c r="L156" s="1">
        <f t="shared" ca="1" si="70"/>
        <v>1725</v>
      </c>
      <c r="M156" s="1">
        <f t="shared" ca="1" si="70"/>
        <v>1150</v>
      </c>
      <c r="N156" s="1">
        <f t="shared" ca="1" si="70"/>
        <v>575</v>
      </c>
    </row>
    <row r="157" spans="1:14" outlineLevel="1" x14ac:dyDescent="0.25">
      <c r="A157" s="157" t="s">
        <v>124</v>
      </c>
      <c r="D157" s="175"/>
      <c r="E157" s="175"/>
      <c r="F157" s="175"/>
      <c r="G157" s="175"/>
      <c r="H157" s="1"/>
      <c r="I157" s="1">
        <f t="shared" ref="I157:N157" ca="1" si="71">I150*I126*I6</f>
        <v>515.625</v>
      </c>
      <c r="J157" s="1">
        <f t="shared" ca="1" si="71"/>
        <v>2062.5</v>
      </c>
      <c r="K157" s="1">
        <f t="shared" ca="1" si="71"/>
        <v>2062.5</v>
      </c>
      <c r="L157" s="1">
        <f t="shared" ca="1" si="71"/>
        <v>2062.5</v>
      </c>
      <c r="M157" s="1">
        <f t="shared" ca="1" si="71"/>
        <v>2062.5</v>
      </c>
      <c r="N157" s="1">
        <f t="shared" ca="1" si="71"/>
        <v>2062.5</v>
      </c>
    </row>
    <row r="158" spans="1:14" outlineLevel="1" x14ac:dyDescent="0.25">
      <c r="A158" s="3" t="s">
        <v>138</v>
      </c>
      <c r="D158" s="175"/>
      <c r="E158" s="175"/>
      <c r="F158" s="175"/>
      <c r="G158" s="175"/>
      <c r="H158" s="1"/>
      <c r="I158" s="1">
        <f t="shared" ref="I158:N158" si="72">I131*I6*I151</f>
        <v>0</v>
      </c>
      <c r="J158" s="1">
        <f t="shared" si="72"/>
        <v>0</v>
      </c>
      <c r="K158" s="1">
        <f t="shared" si="72"/>
        <v>0</v>
      </c>
      <c r="L158" s="1">
        <f t="shared" si="72"/>
        <v>0</v>
      </c>
      <c r="M158" s="1">
        <f t="shared" si="72"/>
        <v>0</v>
      </c>
      <c r="N158" s="1">
        <f t="shared" si="72"/>
        <v>0</v>
      </c>
    </row>
    <row r="159" spans="1:14" outlineLevel="1" x14ac:dyDescent="0.25">
      <c r="A159" s="157" t="s">
        <v>221</v>
      </c>
      <c r="D159" s="175"/>
      <c r="E159" s="175"/>
      <c r="F159" s="175"/>
      <c r="G159" s="175"/>
      <c r="H159" s="1"/>
      <c r="I159" s="1">
        <f t="shared" ref="I159:N159" si="73">I152*I6*I136</f>
        <v>750</v>
      </c>
      <c r="J159" s="1">
        <f t="shared" si="73"/>
        <v>3000</v>
      </c>
      <c r="K159" s="1">
        <f t="shared" si="73"/>
        <v>0</v>
      </c>
      <c r="L159" s="1">
        <f t="shared" si="73"/>
        <v>1000</v>
      </c>
      <c r="M159" s="1">
        <f t="shared" si="73"/>
        <v>1000</v>
      </c>
      <c r="N159" s="1">
        <f t="shared" si="73"/>
        <v>1000</v>
      </c>
    </row>
    <row r="160" spans="1:14" outlineLevel="1" x14ac:dyDescent="0.25">
      <c r="A160" s="204" t="s">
        <v>228</v>
      </c>
      <c r="B160" s="204"/>
      <c r="C160" s="220"/>
      <c r="D160" s="204"/>
      <c r="E160" s="204"/>
      <c r="F160" s="204"/>
      <c r="G160" s="204"/>
      <c r="H160" s="204"/>
      <c r="I160" s="204">
        <f t="shared" ref="I160:N160" ca="1" si="74">SUM(I155:I159)</f>
        <v>3359.375</v>
      </c>
      <c r="J160" s="204">
        <f t="shared" ca="1" si="74"/>
        <v>12062.5</v>
      </c>
      <c r="K160" s="204">
        <f t="shared" ca="1" si="74"/>
        <v>7112.5</v>
      </c>
      <c r="L160" s="204">
        <f t="shared" ca="1" si="74"/>
        <v>6162.5</v>
      </c>
      <c r="M160" s="204">
        <f t="shared" ca="1" si="74"/>
        <v>4212.5</v>
      </c>
      <c r="N160" s="204">
        <f t="shared" ca="1" si="74"/>
        <v>3637.5</v>
      </c>
    </row>
    <row r="161" spans="1:14" outlineLevel="1" x14ac:dyDescent="0.25">
      <c r="D161" s="175"/>
      <c r="E161" s="175"/>
      <c r="F161" s="175"/>
      <c r="G161" s="175"/>
      <c r="H161" s="175"/>
    </row>
    <row r="162" spans="1:14" outlineLevel="1" x14ac:dyDescent="0.25">
      <c r="D162" s="175"/>
      <c r="E162" s="175"/>
      <c r="F162" s="175"/>
      <c r="G162" s="175"/>
      <c r="H162" s="175"/>
    </row>
    <row r="163" spans="1:14" x14ac:dyDescent="0.25">
      <c r="D163" s="175"/>
      <c r="E163" s="175"/>
      <c r="F163" s="175"/>
      <c r="G163" s="175"/>
      <c r="H163" s="175"/>
    </row>
    <row r="164" spans="1:14" ht="20.25" x14ac:dyDescent="0.3">
      <c r="A164" s="151" t="s">
        <v>82</v>
      </c>
      <c r="B164" s="152"/>
      <c r="C164" s="153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</row>
    <row r="165" spans="1:14" outlineLevel="1" x14ac:dyDescent="0.25">
      <c r="A165" s="181"/>
      <c r="D165" s="175"/>
      <c r="E165" s="175"/>
      <c r="F165" s="175"/>
      <c r="G165" s="175"/>
      <c r="H165" s="175"/>
    </row>
    <row r="166" spans="1:14" outlineLevel="1" x14ac:dyDescent="0.25">
      <c r="A166" s="221" t="s">
        <v>12</v>
      </c>
      <c r="B166" s="175"/>
      <c r="C166" s="175"/>
      <c r="D166" s="175"/>
    </row>
    <row r="167" spans="1:14" outlineLevel="1" x14ac:dyDescent="0.25">
      <c r="A167" s="4" t="s">
        <v>83</v>
      </c>
      <c r="B167" s="215"/>
      <c r="C167" s="222">
        <v>0.25</v>
      </c>
      <c r="D167" s="175"/>
    </row>
    <row r="168" spans="1:14" outlineLevel="1" x14ac:dyDescent="0.25">
      <c r="A168" s="1" t="s">
        <v>84</v>
      </c>
      <c r="C168" s="223">
        <v>0.12</v>
      </c>
    </row>
    <row r="169" spans="1:14" ht="16.5" outlineLevel="1" x14ac:dyDescent="0.3">
      <c r="A169" s="157" t="s">
        <v>255</v>
      </c>
      <c r="C169" s="223">
        <v>0.04</v>
      </c>
      <c r="J169" s="195"/>
      <c r="K169" s="195"/>
      <c r="L169" s="195"/>
      <c r="M169" s="195"/>
      <c r="N169" s="195"/>
    </row>
    <row r="170" spans="1:14" ht="16.5" outlineLevel="1" x14ac:dyDescent="0.3">
      <c r="A170" s="157" t="s">
        <v>256</v>
      </c>
      <c r="C170" s="224">
        <v>8</v>
      </c>
      <c r="J170" s="195"/>
      <c r="K170" s="195"/>
      <c r="L170" s="195"/>
      <c r="M170" s="195"/>
      <c r="N170" s="195"/>
    </row>
    <row r="171" spans="1:14" ht="16.5" outlineLevel="1" x14ac:dyDescent="0.3">
      <c r="A171" s="3" t="s">
        <v>7</v>
      </c>
      <c r="C171" s="225">
        <f>'Deal Assumptions &amp; Analysis'!D7</f>
        <v>11.75</v>
      </c>
      <c r="J171" s="195"/>
      <c r="K171" s="195"/>
      <c r="L171" s="195"/>
      <c r="M171" s="195"/>
      <c r="N171" s="195"/>
    </row>
    <row r="172" spans="1:14" outlineLevel="1" x14ac:dyDescent="0.25">
      <c r="A172" s="3" t="s">
        <v>85</v>
      </c>
      <c r="C172" s="226">
        <f ca="1">'Deal Assumptions &amp; Analysis'!D24</f>
        <v>71750.483558994194</v>
      </c>
    </row>
    <row r="173" spans="1:14" outlineLevel="1" x14ac:dyDescent="0.25">
      <c r="C173" s="227"/>
    </row>
    <row r="174" spans="1:14" outlineLevel="1" x14ac:dyDescent="0.25">
      <c r="C174" s="228"/>
    </row>
    <row r="175" spans="1:14" outlineLevel="1" x14ac:dyDescent="0.25">
      <c r="A175" s="229" t="s">
        <v>86</v>
      </c>
      <c r="B175" s="5"/>
      <c r="C175" s="230" t="s">
        <v>87</v>
      </c>
      <c r="D175" s="231">
        <f>I2</f>
        <v>2017</v>
      </c>
      <c r="E175" s="232">
        <f>+D175+1</f>
        <v>2018</v>
      </c>
      <c r="F175" s="232">
        <f>+E175+1</f>
        <v>2019</v>
      </c>
      <c r="G175" s="232">
        <f>+F175+1</f>
        <v>2020</v>
      </c>
      <c r="H175" s="232">
        <f>+G175+1</f>
        <v>2021</v>
      </c>
      <c r="I175" s="232">
        <f>+H175+1</f>
        <v>2022</v>
      </c>
      <c r="J175" s="230" t="s">
        <v>88</v>
      </c>
      <c r="L175" s="181" t="s">
        <v>89</v>
      </c>
    </row>
    <row r="176" spans="1:14" outlineLevel="1" x14ac:dyDescent="0.25">
      <c r="A176" s="233" t="s">
        <v>0</v>
      </c>
      <c r="B176" s="233"/>
      <c r="C176" s="234">
        <f>'Deal Assumptions &amp; Analysis'!D9</f>
        <v>43008</v>
      </c>
      <c r="D176" s="235">
        <f t="shared" ref="D176:I176" si="75">DATE(D175,12,31)</f>
        <v>43100</v>
      </c>
      <c r="E176" s="235">
        <f t="shared" si="75"/>
        <v>43465</v>
      </c>
      <c r="F176" s="235">
        <f t="shared" si="75"/>
        <v>43830</v>
      </c>
      <c r="G176" s="235">
        <f t="shared" si="75"/>
        <v>44196</v>
      </c>
      <c r="H176" s="235">
        <f t="shared" si="75"/>
        <v>44561</v>
      </c>
      <c r="I176" s="235">
        <f t="shared" si="75"/>
        <v>44926</v>
      </c>
      <c r="J176" s="235">
        <f>I176</f>
        <v>44926</v>
      </c>
      <c r="L176" s="7" t="s">
        <v>2</v>
      </c>
      <c r="M176" s="7"/>
      <c r="N176" s="236">
        <f ca="1">C170*H183</f>
        <v>1123272.4655663199</v>
      </c>
    </row>
    <row r="177" spans="1:10" outlineLevel="1" x14ac:dyDescent="0.25">
      <c r="A177" s="139"/>
      <c r="B177" s="139"/>
      <c r="C177" s="139"/>
      <c r="D177" s="237"/>
      <c r="E177" s="237"/>
      <c r="F177" s="237"/>
      <c r="G177" s="237"/>
      <c r="H177" s="237"/>
      <c r="I177" s="237"/>
      <c r="J177" s="237"/>
    </row>
    <row r="178" spans="1:10" outlineLevel="1" x14ac:dyDescent="0.25">
      <c r="A178" s="139"/>
      <c r="B178" s="139"/>
      <c r="C178" s="139"/>
      <c r="D178" s="237"/>
      <c r="E178" s="237"/>
      <c r="F178" s="237"/>
      <c r="G178" s="237"/>
      <c r="H178" s="237"/>
      <c r="I178" s="237"/>
      <c r="J178" s="238"/>
    </row>
    <row r="179" spans="1:10" outlineLevel="1" x14ac:dyDescent="0.25">
      <c r="A179" s="3" t="s">
        <v>5</v>
      </c>
      <c r="C179" s="3"/>
      <c r="D179" s="160">
        <f t="shared" ref="D179:I179" ca="1" si="76">I42+I40</f>
        <v>14745.553549731179</v>
      </c>
      <c r="E179" s="160">
        <f t="shared" ca="1" si="76"/>
        <v>74431.861128853081</v>
      </c>
      <c r="F179" s="160">
        <f t="shared" ca="1" si="76"/>
        <v>113443.38881641578</v>
      </c>
      <c r="G179" s="160">
        <f t="shared" ca="1" si="76"/>
        <v>106243.08352245737</v>
      </c>
      <c r="H179" s="160">
        <f t="shared" ca="1" si="76"/>
        <v>116230.24049338998</v>
      </c>
      <c r="I179" s="160">
        <f t="shared" ca="1" si="76"/>
        <v>126957.12661109786</v>
      </c>
    </row>
    <row r="180" spans="1:10" outlineLevel="1" x14ac:dyDescent="0.25">
      <c r="A180" s="3" t="s">
        <v>91</v>
      </c>
      <c r="C180" s="3"/>
      <c r="D180" s="197">
        <f t="shared" ref="D180:I180" ca="1" si="77">D179*$C$167</f>
        <v>3686.3883874327948</v>
      </c>
      <c r="E180" s="197">
        <f t="shared" ca="1" si="77"/>
        <v>18607.96528221327</v>
      </c>
      <c r="F180" s="197">
        <f t="shared" ca="1" si="77"/>
        <v>28360.847204103946</v>
      </c>
      <c r="G180" s="197">
        <f t="shared" ca="1" si="77"/>
        <v>26560.770880614342</v>
      </c>
      <c r="H180" s="197">
        <f t="shared" ca="1" si="77"/>
        <v>29057.560123347495</v>
      </c>
      <c r="I180" s="197">
        <f t="shared" ca="1" si="77"/>
        <v>31739.281652774465</v>
      </c>
    </row>
    <row r="181" spans="1:10" outlineLevel="1" x14ac:dyDescent="0.25">
      <c r="A181" s="7" t="s">
        <v>92</v>
      </c>
      <c r="B181" s="7"/>
      <c r="C181" s="7"/>
      <c r="D181" s="236">
        <f t="shared" ref="D181:I181" ca="1" si="78">D179-D180</f>
        <v>11059.165162298385</v>
      </c>
      <c r="E181" s="236">
        <f t="shared" ca="1" si="78"/>
        <v>55823.895846639811</v>
      </c>
      <c r="F181" s="236">
        <f t="shared" ca="1" si="78"/>
        <v>85082.541612311834</v>
      </c>
      <c r="G181" s="236">
        <f t="shared" ca="1" si="78"/>
        <v>79682.312641843018</v>
      </c>
      <c r="H181" s="236">
        <f t="shared" ca="1" si="78"/>
        <v>87172.680370042479</v>
      </c>
      <c r="I181" s="236">
        <f t="shared" ca="1" si="78"/>
        <v>95217.844958323403</v>
      </c>
    </row>
    <row r="182" spans="1:10" outlineLevel="1" x14ac:dyDescent="0.25">
      <c r="A182" s="3" t="s">
        <v>93</v>
      </c>
      <c r="C182" s="160"/>
      <c r="D182" s="239">
        <f t="shared" ref="D182:I182" si="79">I111</f>
        <v>6949.8446250000015</v>
      </c>
      <c r="E182" s="239">
        <f t="shared" si="79"/>
        <v>27446.909575000005</v>
      </c>
      <c r="F182" s="239">
        <f t="shared" si="79"/>
        <v>26107.527660000007</v>
      </c>
      <c r="G182" s="239">
        <f t="shared" si="79"/>
        <v>25036.022128000004</v>
      </c>
      <c r="H182" s="239">
        <f t="shared" si="79"/>
        <v>24178.817702400003</v>
      </c>
      <c r="I182" s="239">
        <f t="shared" si="79"/>
        <v>23493.054161920005</v>
      </c>
      <c r="J182" s="160"/>
    </row>
    <row r="183" spans="1:10" outlineLevel="1" x14ac:dyDescent="0.25">
      <c r="A183" s="3" t="s">
        <v>4</v>
      </c>
      <c r="C183" s="160"/>
      <c r="D183" s="239">
        <f t="shared" ref="D183:I183" ca="1" si="80">SUM(D180:D182)</f>
        <v>21695.398174731181</v>
      </c>
      <c r="E183" s="239">
        <f t="shared" ca="1" si="80"/>
        <v>101878.77070385308</v>
      </c>
      <c r="F183" s="239">
        <f t="shared" ca="1" si="80"/>
        <v>139550.91647641579</v>
      </c>
      <c r="G183" s="239">
        <f t="shared" ca="1" si="80"/>
        <v>131279.10565045738</v>
      </c>
      <c r="H183" s="239">
        <f t="shared" ca="1" si="80"/>
        <v>140409.05819578998</v>
      </c>
      <c r="I183" s="239">
        <f t="shared" ca="1" si="80"/>
        <v>150450.18077301787</v>
      </c>
      <c r="J183" s="160"/>
    </row>
    <row r="184" spans="1:10" outlineLevel="1" x14ac:dyDescent="0.25">
      <c r="A184" s="3" t="s">
        <v>94</v>
      </c>
      <c r="C184" s="160"/>
      <c r="D184" s="160">
        <f t="shared" ref="D184:I184" si="81">-I83</f>
        <v>5187.5</v>
      </c>
      <c r="E184" s="160">
        <f t="shared" si="81"/>
        <v>20750</v>
      </c>
      <c r="F184" s="160">
        <f t="shared" si="81"/>
        <v>20750</v>
      </c>
      <c r="G184" s="160">
        <f t="shared" si="81"/>
        <v>20750</v>
      </c>
      <c r="H184" s="160">
        <f t="shared" si="81"/>
        <v>20750</v>
      </c>
      <c r="I184" s="160">
        <f t="shared" si="81"/>
        <v>20750</v>
      </c>
      <c r="J184" s="160"/>
    </row>
    <row r="185" spans="1:10" outlineLevel="1" x14ac:dyDescent="0.25">
      <c r="A185" s="3" t="s">
        <v>95</v>
      </c>
      <c r="C185" s="160"/>
      <c r="D185" s="160">
        <f t="shared" ref="D185:I185" si="82">I106</f>
        <v>-82023.598022713879</v>
      </c>
      <c r="E185" s="160">
        <f t="shared" ca="1" si="82"/>
        <v>6834.2729053533585</v>
      </c>
      <c r="F185" s="160">
        <f t="shared" ca="1" si="82"/>
        <v>7449.0488558288962</v>
      </c>
      <c r="G185" s="160">
        <f t="shared" ca="1" si="82"/>
        <v>4058.6294006557364</v>
      </c>
      <c r="H185" s="160">
        <f t="shared" ca="1" si="82"/>
        <v>4053.3792585327101</v>
      </c>
      <c r="I185" s="160">
        <f t="shared" ca="1" si="82"/>
        <v>3183.6051916909346</v>
      </c>
      <c r="J185" s="160"/>
    </row>
    <row r="186" spans="1:10" outlineLevel="1" x14ac:dyDescent="0.25">
      <c r="A186" s="183" t="s">
        <v>96</v>
      </c>
      <c r="B186" s="183"/>
      <c r="C186" s="183"/>
      <c r="D186" s="183">
        <f t="shared" ref="D186:I186" ca="1" si="83">D181+D182-D184-D185</f>
        <v>94845.107810012269</v>
      </c>
      <c r="E186" s="183">
        <f t="shared" ca="1" si="83"/>
        <v>55686.532516286461</v>
      </c>
      <c r="F186" s="183">
        <f t="shared" ca="1" si="83"/>
        <v>82991.020416482948</v>
      </c>
      <c r="G186" s="183">
        <f t="shared" ca="1" si="83"/>
        <v>79909.705369187286</v>
      </c>
      <c r="H186" s="183">
        <f t="shared" ca="1" si="83"/>
        <v>86548.118813909765</v>
      </c>
      <c r="I186" s="183">
        <f t="shared" ca="1" si="83"/>
        <v>94777.293928552477</v>
      </c>
      <c r="J186" s="240">
        <f ca="1">N176</f>
        <v>1123272.4655663199</v>
      </c>
    </row>
    <row r="187" spans="1:10" outlineLevel="1" x14ac:dyDescent="0.25">
      <c r="C187" s="3"/>
      <c r="D187" s="160"/>
      <c r="E187" s="160"/>
      <c r="F187" s="160"/>
      <c r="G187" s="160"/>
      <c r="H187" s="160"/>
      <c r="I187" s="160"/>
      <c r="J187" s="5"/>
    </row>
    <row r="188" spans="1:10" outlineLevel="1" x14ac:dyDescent="0.25">
      <c r="A188" s="181" t="s">
        <v>97</v>
      </c>
      <c r="B188" s="181"/>
      <c r="C188" s="241">
        <v>0</v>
      </c>
      <c r="D188" s="178">
        <f ca="1">D186</f>
        <v>94845.107810012269</v>
      </c>
      <c r="E188" s="178">
        <f t="shared" ref="E188:J188" ca="1" si="84">E186</f>
        <v>55686.532516286461</v>
      </c>
      <c r="F188" s="178">
        <f t="shared" ca="1" si="84"/>
        <v>82991.020416482948</v>
      </c>
      <c r="G188" s="178">
        <f t="shared" ca="1" si="84"/>
        <v>79909.705369187286</v>
      </c>
      <c r="H188" s="178">
        <f t="shared" ca="1" si="84"/>
        <v>86548.118813909765</v>
      </c>
      <c r="I188" s="178">
        <f t="shared" ca="1" si="84"/>
        <v>94777.293928552477</v>
      </c>
      <c r="J188" s="178">
        <f t="shared" ca="1" si="84"/>
        <v>1123272.4655663199</v>
      </c>
    </row>
    <row r="189" spans="1:10" outlineLevel="1" x14ac:dyDescent="0.25">
      <c r="C189" s="160"/>
      <c r="D189" s="160"/>
      <c r="E189" s="160"/>
      <c r="F189" s="160"/>
      <c r="G189" s="160"/>
      <c r="H189" s="160"/>
      <c r="I189" s="160"/>
      <c r="J189" s="160"/>
    </row>
    <row r="190" spans="1:10" outlineLevel="1" x14ac:dyDescent="0.25">
      <c r="A190" s="181" t="s">
        <v>98</v>
      </c>
      <c r="B190" s="181"/>
      <c r="C190" s="178"/>
      <c r="D190" s="178"/>
      <c r="E190" s="178"/>
      <c r="F190" s="178"/>
      <c r="G190" s="178"/>
      <c r="H190" s="178"/>
      <c r="I190" s="178"/>
      <c r="J190" s="178"/>
    </row>
    <row r="191" spans="1:10" outlineLevel="1" x14ac:dyDescent="0.25">
      <c r="A191" s="160"/>
      <c r="B191" s="242"/>
      <c r="C191" s="160"/>
      <c r="D191" s="160"/>
      <c r="E191" s="160"/>
      <c r="F191" s="160"/>
      <c r="G191" s="160"/>
      <c r="H191" s="160"/>
    </row>
    <row r="192" spans="1:10" outlineLevel="1" x14ac:dyDescent="0.25">
      <c r="A192" s="181" t="s">
        <v>99</v>
      </c>
      <c r="C192" s="160"/>
      <c r="E192" s="181" t="s">
        <v>100</v>
      </c>
      <c r="J192" s="181" t="s">
        <v>101</v>
      </c>
    </row>
    <row r="193" spans="1:14" outlineLevel="1" x14ac:dyDescent="0.25">
      <c r="A193" s="7" t="s">
        <v>102</v>
      </c>
      <c r="B193" s="7"/>
      <c r="C193" s="7">
        <f ca="1">XNPV(C168,C188:J188,C176:J176)</f>
        <v>984969.65487618139</v>
      </c>
      <c r="E193" s="7" t="s">
        <v>3</v>
      </c>
      <c r="F193" s="7"/>
      <c r="G193" s="243" t="s">
        <v>253</v>
      </c>
      <c r="J193" s="7" t="s">
        <v>107</v>
      </c>
      <c r="K193" s="7"/>
      <c r="L193" s="244"/>
    </row>
    <row r="194" spans="1:14" outlineLevel="1" x14ac:dyDescent="0.25">
      <c r="A194" s="3" t="s">
        <v>103</v>
      </c>
      <c r="C194" s="3">
        <f ca="1">H51</f>
        <v>60399.321919741938</v>
      </c>
      <c r="E194" s="3" t="s">
        <v>104</v>
      </c>
      <c r="L194" s="245"/>
    </row>
    <row r="195" spans="1:14" outlineLevel="1" x14ac:dyDescent="0.25">
      <c r="A195" s="3" t="s">
        <v>105</v>
      </c>
      <c r="C195" s="3">
        <f ca="1">H63+H60</f>
        <v>205000</v>
      </c>
      <c r="E195" s="3" t="s">
        <v>106</v>
      </c>
      <c r="J195" s="160"/>
      <c r="K195" s="160"/>
      <c r="L195" s="242"/>
    </row>
    <row r="196" spans="1:14" outlineLevel="1" x14ac:dyDescent="0.25">
      <c r="A196" s="3" t="s">
        <v>8</v>
      </c>
      <c r="C196" s="7">
        <f ca="1">C193+C194-C195</f>
        <v>840368.97679592331</v>
      </c>
      <c r="E196" s="3" t="s">
        <v>102</v>
      </c>
    </row>
    <row r="197" spans="1:14" outlineLevel="1" x14ac:dyDescent="0.25">
      <c r="C197" s="3"/>
      <c r="G197" s="238"/>
    </row>
    <row r="198" spans="1:14" outlineLevel="1" x14ac:dyDescent="0.25">
      <c r="A198" s="181" t="s">
        <v>108</v>
      </c>
      <c r="C198" s="246">
        <f ca="1">C196/C172</f>
        <v>11.712380671343642</v>
      </c>
      <c r="E198" s="181" t="s">
        <v>108</v>
      </c>
      <c r="F198" s="181"/>
      <c r="G198" s="247"/>
    </row>
    <row r="199" spans="1:14" outlineLevel="1" x14ac:dyDescent="0.25">
      <c r="C199" s="3"/>
    </row>
    <row r="200" spans="1:14" outlineLevel="1" x14ac:dyDescent="0.25">
      <c r="C200" s="3"/>
    </row>
    <row r="201" spans="1:14" x14ac:dyDescent="0.25">
      <c r="C201" s="3"/>
    </row>
    <row r="202" spans="1:14" ht="20.25" x14ac:dyDescent="0.3">
      <c r="A202" s="151" t="s">
        <v>180</v>
      </c>
      <c r="B202" s="152"/>
      <c r="C202" s="153"/>
      <c r="D202" s="152"/>
      <c r="E202" s="152"/>
      <c r="F202" s="152"/>
      <c r="G202" s="152"/>
      <c r="H202" s="152"/>
      <c r="I202" s="25">
        <f>I$2</f>
        <v>2017</v>
      </c>
      <c r="J202" s="25">
        <f t="shared" ref="J202:N202" si="85">J$2</f>
        <v>2018</v>
      </c>
      <c r="K202" s="25">
        <f t="shared" si="85"/>
        <v>2019</v>
      </c>
      <c r="L202" s="25">
        <f t="shared" si="85"/>
        <v>2020</v>
      </c>
      <c r="M202" s="25">
        <f t="shared" si="85"/>
        <v>2021</v>
      </c>
      <c r="N202" s="25">
        <f t="shared" si="85"/>
        <v>2022</v>
      </c>
    </row>
    <row r="203" spans="1:14" outlineLevel="1" x14ac:dyDescent="0.25"/>
    <row r="204" spans="1:14" outlineLevel="1" x14ac:dyDescent="0.25">
      <c r="A204" s="181" t="s">
        <v>9</v>
      </c>
    </row>
    <row r="205" spans="1:14" outlineLevel="1" x14ac:dyDescent="0.25">
      <c r="A205" s="3" t="s">
        <v>173</v>
      </c>
      <c r="D205" s="2"/>
      <c r="E205" s="2"/>
      <c r="F205" s="2"/>
      <c r="G205" s="2"/>
      <c r="H205" s="2"/>
      <c r="I205" s="248">
        <f>'Acquirer Model'!I63*'Pro Forma Model'!I6</f>
        <v>41462.300000000003</v>
      </c>
      <c r="J205" s="248">
        <f>'Acquirer Model'!J63*'Pro Forma Model'!J6</f>
        <v>182434.12000000002</v>
      </c>
      <c r="K205" s="248">
        <f>'Acquirer Model'!K63*'Pro Forma Model'!K6</f>
        <v>200677.53200000004</v>
      </c>
      <c r="L205" s="248">
        <f>'Acquirer Model'!L63*'Pro Forma Model'!L6</f>
        <v>218738.50988000006</v>
      </c>
      <c r="M205" s="248">
        <f>'Acquirer Model'!M63*'Pro Forma Model'!M6</f>
        <v>236237.59067040007</v>
      </c>
      <c r="N205" s="248">
        <f>'Acquirer Model'!N63*'Pro Forma Model'!N6</f>
        <v>252774.22201732808</v>
      </c>
    </row>
    <row r="206" spans="1:14" outlineLevel="1" x14ac:dyDescent="0.25">
      <c r="A206" s="3" t="s">
        <v>1</v>
      </c>
      <c r="D206" s="2"/>
      <c r="E206" s="2"/>
      <c r="F206" s="2"/>
      <c r="G206" s="2"/>
      <c r="H206" s="2"/>
      <c r="I206" s="2">
        <f>'Target Model'!I63*'Pro Forma Model'!I6</f>
        <v>24275.845654121862</v>
      </c>
      <c r="J206" s="2">
        <f>'Target Model'!J63*'Pro Forma Model'!J6</f>
        <v>111668.89000896056</v>
      </c>
      <c r="K206" s="2">
        <f>'Target Model'!K63*'Pro Forma Model'!K6</f>
        <v>125069.15681003584</v>
      </c>
      <c r="L206" s="2">
        <f>'Target Model'!L63*'Pro Forma Model'!L6</f>
        <v>137576.07249103943</v>
      </c>
      <c r="M206" s="2">
        <f>'Target Model'!M63*'Pro Forma Model'!M6</f>
        <v>148582.15829032261</v>
      </c>
      <c r="N206" s="2">
        <f>'Target Model'!N63*'Pro Forma Model'!N6</f>
        <v>157497.08778774197</v>
      </c>
    </row>
    <row r="207" spans="1:14" outlineLevel="1" x14ac:dyDescent="0.25">
      <c r="A207" s="3" t="s">
        <v>115</v>
      </c>
      <c r="J207" s="2">
        <f ca="1">'Deal Assumptions &amp; Analysis'!H8*'Deal Assumptions &amp; Analysis'!H13</f>
        <v>1950</v>
      </c>
      <c r="K207" s="2">
        <f ca="1">'Deal Assumptions &amp; Analysis'!H8*'Deal Assumptions &amp; Analysis'!H14</f>
        <v>4225</v>
      </c>
      <c r="L207" s="2">
        <f ca="1">'Deal Assumptions &amp; Analysis'!H8*'Deal Assumptions &amp; Analysis'!H15</f>
        <v>6500</v>
      </c>
      <c r="M207" s="2">
        <f ca="1">'Deal Assumptions &amp; Analysis'!$H$8*'Deal Assumptions &amp; Analysis'!I15</f>
        <v>6500</v>
      </c>
      <c r="N207" s="2">
        <f ca="1">'Deal Assumptions &amp; Analysis'!$H$8*'Deal Assumptions &amp; Analysis'!J15</f>
        <v>6500</v>
      </c>
    </row>
    <row r="208" spans="1:14" outlineLevel="1" x14ac:dyDescent="0.25">
      <c r="A208" s="183" t="s">
        <v>181</v>
      </c>
      <c r="B208" s="183"/>
      <c r="C208" s="184"/>
      <c r="D208" s="183"/>
      <c r="E208" s="183"/>
      <c r="F208" s="183"/>
      <c r="G208" s="183"/>
      <c r="H208" s="183"/>
      <c r="I208" s="183">
        <f t="shared" ref="I208:N208" si="86">SUM(I205:I207)</f>
        <v>65738.145654121865</v>
      </c>
      <c r="J208" s="183">
        <f t="shared" ca="1" si="86"/>
        <v>296053.01000896061</v>
      </c>
      <c r="K208" s="183">
        <f t="shared" ca="1" si="86"/>
        <v>329971.68881003588</v>
      </c>
      <c r="L208" s="183">
        <f t="shared" ca="1" si="86"/>
        <v>362814.58237103949</v>
      </c>
      <c r="M208" s="183">
        <f t="shared" ca="1" si="86"/>
        <v>391319.7489607227</v>
      </c>
      <c r="N208" s="183">
        <f t="shared" ca="1" si="86"/>
        <v>416771.30980507005</v>
      </c>
    </row>
    <row r="209" spans="1:14" outlineLevel="1" x14ac:dyDescent="0.25"/>
    <row r="210" spans="1:14" outlineLevel="1" x14ac:dyDescent="0.25">
      <c r="A210" s="181" t="s">
        <v>182</v>
      </c>
    </row>
    <row r="211" spans="1:14" outlineLevel="1" x14ac:dyDescent="0.25">
      <c r="A211" s="3" t="s">
        <v>173</v>
      </c>
      <c r="D211" s="2"/>
      <c r="E211" s="2"/>
      <c r="F211" s="2"/>
      <c r="G211" s="2"/>
      <c r="H211" s="2"/>
      <c r="I211" s="2">
        <f>'Acquirer Model'!I64*'Pro Forma Model'!I6</f>
        <v>17414.166000000001</v>
      </c>
      <c r="J211" s="2">
        <f>'Acquirer Model'!J64*'Pro Forma Model'!J6</f>
        <v>78446.671600000016</v>
      </c>
      <c r="K211" s="2">
        <f>'Acquirer Model'!K64*'Pro Forma Model'!K6</f>
        <v>88298.114080000014</v>
      </c>
      <c r="L211" s="2">
        <f>'Acquirer Model'!L64*'Pro Forma Model'!L6</f>
        <v>98432.329446000032</v>
      </c>
      <c r="M211" s="2">
        <f>'Acquirer Model'!M64*'Pro Forma Model'!M6</f>
        <v>108669.29170838403</v>
      </c>
      <c r="N211" s="2">
        <f>'Acquirer Model'!N64*'Pro Forma Model'!N6</f>
        <v>116276.14212797092</v>
      </c>
    </row>
    <row r="212" spans="1:14" outlineLevel="1" x14ac:dyDescent="0.25">
      <c r="A212" s="3" t="s">
        <v>1</v>
      </c>
      <c r="D212" s="2"/>
      <c r="E212" s="2"/>
      <c r="F212" s="2"/>
      <c r="G212" s="2"/>
      <c r="H212" s="2"/>
      <c r="I212" s="2">
        <f>'Target Model'!I64*'Pro Forma Model'!I6</f>
        <v>10195.855174731181</v>
      </c>
      <c r="J212" s="2">
        <f>'Target Model'!J64*'Pro Forma Model'!J6</f>
        <v>45784.244903673825</v>
      </c>
      <c r="K212" s="2">
        <f>'Target Model'!K64*'Pro Forma Model'!K6</f>
        <v>50027.662724014343</v>
      </c>
      <c r="L212" s="2">
        <f>'Target Model'!L64*'Pro Forma Model'!L6</f>
        <v>55030.42899641578</v>
      </c>
      <c r="M212" s="2">
        <f>'Target Model'!M64*'Pro Forma Model'!M6</f>
        <v>59432.863316129049</v>
      </c>
      <c r="N212" s="2">
        <f>'Target Model'!N64*'Pro Forma Model'!N6</f>
        <v>62998.835115096794</v>
      </c>
    </row>
    <row r="213" spans="1:14" outlineLevel="1" x14ac:dyDescent="0.25">
      <c r="A213" s="3" t="s">
        <v>115</v>
      </c>
      <c r="J213" s="2">
        <f ca="1">-'Deal Assumptions &amp; Analysis'!$H$9*'Deal Assumptions &amp; Analysis'!$H$13</f>
        <v>-262.5</v>
      </c>
      <c r="K213" s="2">
        <f ca="1">-'Deal Assumptions &amp; Analysis'!$H$9*'Deal Assumptions &amp; Analysis'!$H$14</f>
        <v>-568.75</v>
      </c>
      <c r="L213" s="2">
        <f ca="1">-'Deal Assumptions &amp; Analysis'!$H$9*'Deal Assumptions &amp; Analysis'!$H$15</f>
        <v>-875</v>
      </c>
      <c r="M213" s="2">
        <f ca="1">-'Deal Assumptions &amp; Analysis'!$H$9*'Deal Assumptions &amp; Analysis'!$H$15</f>
        <v>-875</v>
      </c>
      <c r="N213" s="2">
        <f ca="1">-'Deal Assumptions &amp; Analysis'!$H$9*'Deal Assumptions &amp; Analysis'!$H$15</f>
        <v>-875</v>
      </c>
    </row>
    <row r="214" spans="1:14" outlineLevel="1" x14ac:dyDescent="0.25">
      <c r="A214" s="183" t="s">
        <v>181</v>
      </c>
      <c r="B214" s="183"/>
      <c r="C214" s="184"/>
      <c r="D214" s="183"/>
      <c r="E214" s="183"/>
      <c r="F214" s="183"/>
      <c r="G214" s="183"/>
      <c r="H214" s="183"/>
      <c r="I214" s="183">
        <f t="shared" ref="I214:N214" si="87">SUM(I211:I213)</f>
        <v>27610.021174731184</v>
      </c>
      <c r="J214" s="183">
        <f t="shared" ca="1" si="87"/>
        <v>123968.41650367384</v>
      </c>
      <c r="K214" s="183">
        <f t="shared" ca="1" si="87"/>
        <v>137757.02680401434</v>
      </c>
      <c r="L214" s="183">
        <f t="shared" ca="1" si="87"/>
        <v>152587.7584424158</v>
      </c>
      <c r="M214" s="183">
        <f t="shared" ca="1" si="87"/>
        <v>167227.15502451308</v>
      </c>
      <c r="N214" s="183">
        <f t="shared" ca="1" si="87"/>
        <v>178399.9772430677</v>
      </c>
    </row>
    <row r="215" spans="1:14" outlineLevel="1" x14ac:dyDescent="0.25"/>
    <row r="216" spans="1:14" outlineLevel="1" x14ac:dyDescent="0.25">
      <c r="A216" s="178" t="s">
        <v>186</v>
      </c>
    </row>
    <row r="217" spans="1:14" outlineLevel="1" x14ac:dyDescent="0.25">
      <c r="A217" s="3" t="s">
        <v>173</v>
      </c>
      <c r="D217" s="2"/>
      <c r="E217" s="2"/>
      <c r="F217" s="2"/>
      <c r="G217" s="2"/>
      <c r="H217" s="2"/>
      <c r="I217" s="2">
        <f>'Acquirer Model'!I67*'Pro Forma Model'!I6</f>
        <v>7048.5910000000013</v>
      </c>
      <c r="J217" s="2">
        <f>'Acquirer Model'!J67*'Pro Forma Model'!J6</f>
        <v>31013.800400000007</v>
      </c>
      <c r="K217" s="2">
        <f>'Acquirer Model'!K67*'Pro Forma Model'!K6</f>
        <v>34115.180440000011</v>
      </c>
      <c r="L217" s="2">
        <f>'Acquirer Model'!L67*'Pro Forma Model'!L6</f>
        <v>37185.546679600011</v>
      </c>
      <c r="M217" s="2">
        <f>'Acquirer Model'!M67*'Pro Forma Model'!M6</f>
        <v>40160.390413968016</v>
      </c>
      <c r="N217" s="2">
        <f>'Acquirer Model'!N67*'Pro Forma Model'!N6</f>
        <v>42971.617742945775</v>
      </c>
    </row>
    <row r="218" spans="1:14" outlineLevel="1" x14ac:dyDescent="0.25">
      <c r="A218" s="3" t="s">
        <v>1</v>
      </c>
      <c r="D218" s="2"/>
      <c r="E218" s="2"/>
      <c r="F218" s="2"/>
      <c r="G218" s="2"/>
      <c r="H218" s="2"/>
      <c r="I218" s="2">
        <f>'Target Model'!I67*'Pro Forma Model'!I6</f>
        <v>3884.1353046594982</v>
      </c>
      <c r="J218" s="2">
        <f>'Target Model'!J67*'Pro Forma Model'!J6</f>
        <v>17867.022401433689</v>
      </c>
      <c r="K218" s="2">
        <f>'Target Model'!K67*'Pro Forma Model'!K6</f>
        <v>20011.065089605734</v>
      </c>
      <c r="L218" s="2">
        <f>'Target Model'!L67*'Pro Forma Model'!L6</f>
        <v>22012.17159856631</v>
      </c>
      <c r="M218" s="2">
        <f>'Target Model'!M67*'Pro Forma Model'!M6</f>
        <v>23773.145326451617</v>
      </c>
      <c r="N218" s="2">
        <f>'Target Model'!N67*'Pro Forma Model'!N6</f>
        <v>25199.534046038716</v>
      </c>
    </row>
    <row r="219" spans="1:14" outlineLevel="1" x14ac:dyDescent="0.25">
      <c r="A219" s="3" t="s">
        <v>115</v>
      </c>
      <c r="J219" s="249">
        <f ca="1">-'Deal Assumptions &amp; Analysis'!$H$10*'Deal Assumptions &amp; Analysis'!$H$13</f>
        <v>-375</v>
      </c>
      <c r="K219" s="249">
        <f ca="1">-'Deal Assumptions &amp; Analysis'!$H$10*'Deal Assumptions &amp; Analysis'!$H$14</f>
        <v>-812.5</v>
      </c>
      <c r="L219" s="249">
        <f ca="1">-'Deal Assumptions &amp; Analysis'!$H$10*'Deal Assumptions &amp; Analysis'!$H$15</f>
        <v>-1250</v>
      </c>
      <c r="M219" s="249">
        <f ca="1">-'Deal Assumptions &amp; Analysis'!$H$10*'Deal Assumptions &amp; Analysis'!$H$15</f>
        <v>-1250</v>
      </c>
      <c r="N219" s="249">
        <f ca="1">-'Deal Assumptions &amp; Analysis'!$H$10*'Deal Assumptions &amp; Analysis'!$H$15</f>
        <v>-1250</v>
      </c>
    </row>
    <row r="220" spans="1:14" outlineLevel="1" x14ac:dyDescent="0.25">
      <c r="A220" s="183" t="s">
        <v>181</v>
      </c>
      <c r="B220" s="183"/>
      <c r="C220" s="184"/>
      <c r="D220" s="183"/>
      <c r="E220" s="183"/>
      <c r="F220" s="183"/>
      <c r="G220" s="183"/>
      <c r="H220" s="183"/>
      <c r="I220" s="183">
        <f t="shared" ref="I220:N220" si="88">SUM(I217:I219)</f>
        <v>10932.7263046595</v>
      </c>
      <c r="J220" s="183">
        <f t="shared" ca="1" si="88"/>
        <v>48505.822801433693</v>
      </c>
      <c r="K220" s="183">
        <f t="shared" ca="1" si="88"/>
        <v>53313.745529605745</v>
      </c>
      <c r="L220" s="183">
        <f t="shared" ca="1" si="88"/>
        <v>57947.718278166321</v>
      </c>
      <c r="M220" s="183">
        <f t="shared" ca="1" si="88"/>
        <v>62683.535740419633</v>
      </c>
      <c r="N220" s="183">
        <f t="shared" ca="1" si="88"/>
        <v>66921.151788984484</v>
      </c>
    </row>
    <row r="221" spans="1:14" outlineLevel="1" x14ac:dyDescent="0.25"/>
    <row r="222" spans="1:14" outlineLevel="1" x14ac:dyDescent="0.25">
      <c r="A222" s="178" t="s">
        <v>183</v>
      </c>
    </row>
    <row r="223" spans="1:14" outlineLevel="1" x14ac:dyDescent="0.25">
      <c r="A223" s="3" t="s">
        <v>173</v>
      </c>
      <c r="D223" s="2"/>
      <c r="E223" s="2"/>
      <c r="F223" s="2"/>
      <c r="G223" s="2"/>
      <c r="H223" s="2"/>
      <c r="I223" s="2">
        <f>'Acquirer Model'!I68*'Pro Forma Model'!I6</f>
        <v>3750</v>
      </c>
      <c r="J223" s="2">
        <f>'Acquirer Model'!J68*'Pro Forma Model'!J6</f>
        <v>15000</v>
      </c>
      <c r="K223" s="2">
        <f>'Acquirer Model'!K68*'Pro Forma Model'!K6</f>
        <v>0</v>
      </c>
      <c r="L223" s="2">
        <f>'Acquirer Model'!L68*'Pro Forma Model'!L6</f>
        <v>15000</v>
      </c>
      <c r="M223" s="2">
        <f>'Acquirer Model'!M68*'Pro Forma Model'!M6</f>
        <v>15000</v>
      </c>
      <c r="N223" s="2">
        <f>'Acquirer Model'!N68*'Pro Forma Model'!N6</f>
        <v>15000</v>
      </c>
    </row>
    <row r="224" spans="1:14" outlineLevel="1" x14ac:dyDescent="0.25">
      <c r="A224" s="3" t="s">
        <v>1</v>
      </c>
      <c r="D224" s="2"/>
      <c r="E224" s="2"/>
      <c r="F224" s="2"/>
      <c r="G224" s="2"/>
      <c r="H224" s="2"/>
      <c r="I224" s="2">
        <f>'Target Model'!I68*'Pro Forma Model'!I6</f>
        <v>1750</v>
      </c>
      <c r="J224" s="2">
        <f>'Target Model'!J68*'Pro Forma Model'!J6</f>
        <v>7000</v>
      </c>
      <c r="K224" s="2">
        <f>'Target Model'!K68*'Pro Forma Model'!K6</f>
        <v>0</v>
      </c>
      <c r="L224" s="2">
        <f>'Target Model'!L68*'Pro Forma Model'!L6</f>
        <v>7000</v>
      </c>
      <c r="M224" s="2">
        <f>'Target Model'!M68*'Pro Forma Model'!M6</f>
        <v>7000</v>
      </c>
      <c r="N224" s="2">
        <f>'Target Model'!N68*'Pro Forma Model'!N6</f>
        <v>7000</v>
      </c>
    </row>
    <row r="225" spans="1:14" outlineLevel="1" x14ac:dyDescent="0.25">
      <c r="A225" s="3" t="s">
        <v>115</v>
      </c>
      <c r="J225" s="249">
        <f ca="1">-'Deal Assumptions &amp; Analysis'!$H$11*'Deal Assumptions &amp; Analysis'!$H$13</f>
        <v>-300</v>
      </c>
      <c r="K225" s="249">
        <f ca="1">-'Deal Assumptions &amp; Analysis'!$H$11*'Deal Assumptions &amp; Analysis'!$H$14</f>
        <v>-650</v>
      </c>
      <c r="L225" s="249">
        <f ca="1">-'Deal Assumptions &amp; Analysis'!$H$11*'Deal Assumptions &amp; Analysis'!$H$15</f>
        <v>-1000</v>
      </c>
      <c r="M225" s="249">
        <f ca="1">-'Deal Assumptions &amp; Analysis'!$H$11*'Deal Assumptions &amp; Analysis'!$H$15</f>
        <v>-1000</v>
      </c>
      <c r="N225" s="249">
        <f ca="1">-'Deal Assumptions &amp; Analysis'!$H$11*'Deal Assumptions &amp; Analysis'!$H$15</f>
        <v>-1000</v>
      </c>
    </row>
    <row r="226" spans="1:14" outlineLevel="1" x14ac:dyDescent="0.25">
      <c r="A226" s="183" t="s">
        <v>181</v>
      </c>
      <c r="B226" s="183"/>
      <c r="C226" s="184"/>
      <c r="D226" s="183"/>
      <c r="E226" s="183"/>
      <c r="F226" s="183"/>
      <c r="G226" s="183"/>
      <c r="H226" s="183"/>
      <c r="I226" s="183">
        <f t="shared" ref="I226:N226" si="89">SUM(I223:I225)</f>
        <v>5500</v>
      </c>
      <c r="J226" s="183">
        <f t="shared" ca="1" si="89"/>
        <v>21700</v>
      </c>
      <c r="K226" s="183">
        <f t="shared" ca="1" si="89"/>
        <v>-650</v>
      </c>
      <c r="L226" s="183">
        <f t="shared" ca="1" si="89"/>
        <v>21000</v>
      </c>
      <c r="M226" s="183">
        <f t="shared" ca="1" si="89"/>
        <v>21000</v>
      </c>
      <c r="N226" s="183">
        <f t="shared" ca="1" si="89"/>
        <v>21000</v>
      </c>
    </row>
    <row r="227" spans="1:14" outlineLevel="1" x14ac:dyDescent="0.25">
      <c r="A227" s="160"/>
    </row>
    <row r="228" spans="1:14" x14ac:dyDescent="0.25">
      <c r="A228" s="160"/>
    </row>
    <row r="229" spans="1:14" x14ac:dyDescent="0.25">
      <c r="A229" s="160"/>
    </row>
    <row r="230" spans="1:14" x14ac:dyDescent="0.25">
      <c r="A230" s="160"/>
    </row>
    <row r="231" spans="1:14" x14ac:dyDescent="0.25">
      <c r="A231" s="160"/>
    </row>
  </sheetData>
  <sheetProtection algorithmName="SHA-512" hashValue="DXUdCV4/xj/UbRcYzT2mfWNdqhplgkcD6+mAQMi3taY67x43Jkxv3oHz8lxTK1kz7PGU5Wf8c9eEA+VcWiAbDQ==" saltValue="j30dkLO4Q0K5v8Wmb/Wufg==" spinCount="100000" sheet="1" objects="1" scenarios="1"/>
  <conditionalFormatting sqref="D3:G3 D4:N6">
    <cfRule type="containsText" dxfId="13" priority="23" operator="containsText" text="OK">
      <formula>NOT(ISERROR(SEARCH("OK",D3)))</formula>
    </cfRule>
    <cfRule type="containsText" dxfId="12" priority="24" operator="containsText" text="ERROR">
      <formula>NOT(ISERROR(SEARCH("ERROR",D3)))</formula>
    </cfRule>
  </conditionalFormatting>
  <pageMargins left="0.7" right="0.7" top="0.35" bottom="0.32" header="0.22" footer="0.24"/>
  <pageSetup scale="54" fitToHeight="5" orientation="landscape" r:id="rId1"/>
  <rowBreaks count="3" manualBreakCount="3">
    <brk id="47" max="16383" man="1"/>
    <brk id="98" max="16383" man="1"/>
    <brk id="16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189"/>
  <sheetViews>
    <sheetView showGridLines="0" view="pageBreakPreview" zoomScale="60" zoomScaleNormal="90" workbookViewId="0">
      <pane xSplit="3" ySplit="6" topLeftCell="D8" activePane="bottomRight" state="frozen"/>
      <selection activeCell="K16" sqref="K16"/>
      <selection pane="topRight" activeCell="K16" sqref="K16"/>
      <selection pane="bottomLeft" activeCell="K16" sqref="K16"/>
      <selection pane="bottomRight" activeCell="K9" sqref="K9"/>
    </sheetView>
  </sheetViews>
  <sheetFormatPr defaultColWidth="9.140625" defaultRowHeight="18" outlineLevelRow="1" x14ac:dyDescent="0.25"/>
  <cols>
    <col min="1" max="2" width="14.42578125" style="12" customWidth="1"/>
    <col min="3" max="3" width="14.42578125" style="31" customWidth="1"/>
    <col min="4" max="14" width="14.42578125" style="12" customWidth="1"/>
    <col min="15" max="15" width="17.28515625" style="12" bestFit="1" customWidth="1"/>
    <col min="16" max="16" width="18.7109375" style="12" bestFit="1" customWidth="1"/>
    <col min="17" max="16384" width="9.140625" style="12"/>
  </cols>
  <sheetData>
    <row r="1" spans="1:16" ht="33.75" x14ac:dyDescent="0.5">
      <c r="B1" s="17"/>
      <c r="C1" s="18"/>
      <c r="D1" s="133" t="str">
        <f>'Deal Assumptions &amp; Analysis'!D5&amp; " Model"</f>
        <v>Online Company Inc Model</v>
      </c>
      <c r="E1" s="20"/>
      <c r="F1" s="20"/>
      <c r="H1" s="20"/>
      <c r="I1" s="21"/>
      <c r="J1" s="20"/>
      <c r="K1" s="20"/>
      <c r="L1" s="20"/>
      <c r="M1" s="20"/>
      <c r="N1" s="20"/>
      <c r="O1" s="21"/>
      <c r="P1" s="20"/>
    </row>
    <row r="2" spans="1:16" ht="21" customHeight="1" x14ac:dyDescent="0.25">
      <c r="A2" s="22"/>
      <c r="B2" s="22"/>
      <c r="C2" s="23"/>
      <c r="D2" s="24">
        <v>2012</v>
      </c>
      <c r="E2" s="24">
        <f>+D2+1</f>
        <v>2013</v>
      </c>
      <c r="F2" s="24">
        <f t="shared" ref="F2:N2" si="0">+E2+1</f>
        <v>2014</v>
      </c>
      <c r="G2" s="24">
        <f t="shared" si="0"/>
        <v>2015</v>
      </c>
      <c r="H2" s="24">
        <f t="shared" si="0"/>
        <v>2016</v>
      </c>
      <c r="I2" s="25">
        <f t="shared" si="0"/>
        <v>2017</v>
      </c>
      <c r="J2" s="25">
        <f t="shared" si="0"/>
        <v>2018</v>
      </c>
      <c r="K2" s="25">
        <f t="shared" si="0"/>
        <v>2019</v>
      </c>
      <c r="L2" s="25">
        <f t="shared" si="0"/>
        <v>2020</v>
      </c>
      <c r="M2" s="25">
        <f t="shared" si="0"/>
        <v>2021</v>
      </c>
      <c r="N2" s="25">
        <f t="shared" si="0"/>
        <v>2022</v>
      </c>
      <c r="O2" s="26">
        <f>O4</f>
        <v>43008</v>
      </c>
      <c r="P2" s="26">
        <f>P4</f>
        <v>43100</v>
      </c>
    </row>
    <row r="3" spans="1:16" outlineLevel="1" x14ac:dyDescent="0.25">
      <c r="A3" s="27" t="s">
        <v>10</v>
      </c>
      <c r="B3" s="27"/>
      <c r="C3" s="28"/>
      <c r="D3" s="29" t="str">
        <f t="shared" ref="D3:N3" si="1">IFERROR(IF(ABS(D101)&gt;1,"ERROR","ok"),"ok")</f>
        <v>ok</v>
      </c>
      <c r="E3" s="29" t="str">
        <f t="shared" si="1"/>
        <v>ok</v>
      </c>
      <c r="F3" s="29" t="str">
        <f t="shared" si="1"/>
        <v>ok</v>
      </c>
      <c r="G3" s="29" t="str">
        <f t="shared" si="1"/>
        <v>ok</v>
      </c>
      <c r="H3" s="29" t="str">
        <f t="shared" si="1"/>
        <v>ok</v>
      </c>
      <c r="I3" s="29" t="str">
        <f t="shared" si="1"/>
        <v>ok</v>
      </c>
      <c r="J3" s="29" t="str">
        <f t="shared" si="1"/>
        <v>ok</v>
      </c>
      <c r="K3" s="29" t="str">
        <f t="shared" si="1"/>
        <v>ok</v>
      </c>
      <c r="L3" s="29" t="str">
        <f t="shared" si="1"/>
        <v>ok</v>
      </c>
      <c r="M3" s="29" t="str">
        <f t="shared" si="1"/>
        <v>ok</v>
      </c>
      <c r="N3" s="29" t="str">
        <f t="shared" si="1"/>
        <v>ok</v>
      </c>
      <c r="O3" s="29"/>
      <c r="P3" s="29"/>
    </row>
    <row r="4" spans="1:16" outlineLevel="1" x14ac:dyDescent="0.25">
      <c r="A4" s="27" t="s">
        <v>157</v>
      </c>
      <c r="D4" s="32">
        <v>41274</v>
      </c>
      <c r="E4" s="33">
        <f>EOMONTH(D4,12)</f>
        <v>41639</v>
      </c>
      <c r="F4" s="33">
        <f t="shared" ref="F4:N4" si="2">EOMONTH(E4,12)</f>
        <v>42004</v>
      </c>
      <c r="G4" s="33">
        <f t="shared" si="2"/>
        <v>42369</v>
      </c>
      <c r="H4" s="33">
        <f t="shared" si="2"/>
        <v>42735</v>
      </c>
      <c r="I4" s="33">
        <f t="shared" si="2"/>
        <v>43100</v>
      </c>
      <c r="J4" s="33">
        <f t="shared" si="2"/>
        <v>43465</v>
      </c>
      <c r="K4" s="33">
        <f t="shared" si="2"/>
        <v>43830</v>
      </c>
      <c r="L4" s="33">
        <f t="shared" si="2"/>
        <v>44196</v>
      </c>
      <c r="M4" s="33">
        <f t="shared" si="2"/>
        <v>44561</v>
      </c>
      <c r="N4" s="33">
        <f t="shared" si="2"/>
        <v>44926</v>
      </c>
      <c r="O4" s="34">
        <f>'Deal Assumptions &amp; Analysis'!D9</f>
        <v>43008</v>
      </c>
      <c r="P4" s="33">
        <f>EOMONTH(O4,P6*12)</f>
        <v>43100</v>
      </c>
    </row>
    <row r="5" spans="1:16" outlineLevel="1" x14ac:dyDescent="0.25">
      <c r="A5" s="27" t="s">
        <v>158</v>
      </c>
      <c r="D5" s="35">
        <v>366</v>
      </c>
      <c r="E5" s="37">
        <f>E4-D4</f>
        <v>365</v>
      </c>
      <c r="F5" s="37">
        <f t="shared" ref="F5:N5" si="3">F4-E4</f>
        <v>365</v>
      </c>
      <c r="G5" s="37">
        <f t="shared" si="3"/>
        <v>365</v>
      </c>
      <c r="H5" s="37">
        <f t="shared" si="3"/>
        <v>366</v>
      </c>
      <c r="I5" s="37">
        <f t="shared" si="3"/>
        <v>365</v>
      </c>
      <c r="J5" s="37">
        <f t="shared" si="3"/>
        <v>365</v>
      </c>
      <c r="K5" s="37">
        <f t="shared" si="3"/>
        <v>365</v>
      </c>
      <c r="L5" s="37">
        <f t="shared" si="3"/>
        <v>366</v>
      </c>
      <c r="M5" s="37">
        <f t="shared" si="3"/>
        <v>365</v>
      </c>
      <c r="N5" s="37">
        <f t="shared" si="3"/>
        <v>365</v>
      </c>
      <c r="O5" s="37">
        <f>O4-H4</f>
        <v>273</v>
      </c>
      <c r="P5" s="37">
        <f>P4-O4</f>
        <v>92</v>
      </c>
    </row>
    <row r="6" spans="1:16" outlineLevel="1" x14ac:dyDescent="0.25">
      <c r="A6" s="27" t="s">
        <v>159</v>
      </c>
      <c r="D6" s="38">
        <v>1</v>
      </c>
      <c r="E6" s="40">
        <f>D6</f>
        <v>1</v>
      </c>
      <c r="F6" s="40">
        <f t="shared" ref="F6:N6" si="4">E6</f>
        <v>1</v>
      </c>
      <c r="G6" s="40">
        <f t="shared" si="4"/>
        <v>1</v>
      </c>
      <c r="H6" s="40">
        <f t="shared" si="4"/>
        <v>1</v>
      </c>
      <c r="I6" s="40">
        <f t="shared" si="4"/>
        <v>1</v>
      </c>
      <c r="J6" s="40">
        <f t="shared" si="4"/>
        <v>1</v>
      </c>
      <c r="K6" s="40">
        <f t="shared" si="4"/>
        <v>1</v>
      </c>
      <c r="L6" s="40">
        <f t="shared" si="4"/>
        <v>1</v>
      </c>
      <c r="M6" s="40">
        <f t="shared" si="4"/>
        <v>1</v>
      </c>
      <c r="N6" s="40">
        <f t="shared" si="4"/>
        <v>1</v>
      </c>
      <c r="O6" s="40">
        <f>ROUND(O5/365,2)</f>
        <v>0.75</v>
      </c>
      <c r="P6" s="41">
        <f>N6-O6</f>
        <v>0.25</v>
      </c>
    </row>
    <row r="8" spans="1:16" x14ac:dyDescent="0.25">
      <c r="A8" s="42" t="s">
        <v>12</v>
      </c>
      <c r="B8" s="43"/>
      <c r="C8" s="44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</row>
    <row r="9" spans="1:16" outlineLevel="1" x14ac:dyDescent="0.25">
      <c r="D9" s="15"/>
      <c r="E9" s="15"/>
      <c r="F9" s="15"/>
      <c r="G9" s="15"/>
      <c r="H9" s="15"/>
      <c r="I9" s="45"/>
      <c r="J9" s="45"/>
      <c r="K9" s="45"/>
      <c r="L9" s="45"/>
      <c r="M9" s="45"/>
      <c r="N9" s="45"/>
    </row>
    <row r="10" spans="1:16" outlineLevel="1" x14ac:dyDescent="0.25">
      <c r="D10" s="15"/>
      <c r="E10" s="15"/>
      <c r="F10" s="15"/>
      <c r="G10" s="36"/>
      <c r="H10" s="36" t="s">
        <v>11</v>
      </c>
      <c r="I10" s="46">
        <v>1</v>
      </c>
      <c r="J10" s="36"/>
      <c r="L10" s="45"/>
      <c r="M10" s="45"/>
      <c r="N10" s="45"/>
    </row>
    <row r="11" spans="1:16" outlineLevel="1" x14ac:dyDescent="0.25">
      <c r="D11" s="15"/>
      <c r="E11" s="15"/>
      <c r="F11" s="15"/>
      <c r="G11" s="15"/>
      <c r="H11" s="15"/>
      <c r="I11" s="45"/>
      <c r="J11" s="45"/>
      <c r="K11" s="45"/>
      <c r="L11" s="45"/>
      <c r="M11" s="45"/>
      <c r="N11" s="45"/>
    </row>
    <row r="12" spans="1:16" s="48" customFormat="1" outlineLevel="1" x14ac:dyDescent="0.25">
      <c r="A12" s="47" t="s">
        <v>13</v>
      </c>
      <c r="C12" s="49"/>
      <c r="H12" s="50"/>
      <c r="I12" s="51"/>
      <c r="J12" s="51"/>
      <c r="K12" s="51"/>
      <c r="L12" s="51"/>
      <c r="M12" s="51"/>
      <c r="N12" s="51"/>
    </row>
    <row r="13" spans="1:16" outlineLevel="1" x14ac:dyDescent="0.25">
      <c r="A13" s="16" t="s">
        <v>14</v>
      </c>
      <c r="B13" s="52"/>
      <c r="C13" s="53"/>
      <c r="D13" s="54"/>
      <c r="E13" s="55"/>
      <c r="F13" s="55"/>
      <c r="G13" s="55"/>
      <c r="H13" s="55"/>
      <c r="I13" s="56">
        <v>0.1</v>
      </c>
      <c r="J13" s="56">
        <v>0.1</v>
      </c>
      <c r="K13" s="56">
        <v>0.1</v>
      </c>
      <c r="L13" s="56">
        <v>0.09</v>
      </c>
      <c r="M13" s="56">
        <v>0.08</v>
      </c>
      <c r="N13" s="56">
        <v>7.0000000000000007E-2</v>
      </c>
      <c r="O13" s="56">
        <v>0.1</v>
      </c>
      <c r="P13" s="56">
        <v>0.1</v>
      </c>
    </row>
    <row r="14" spans="1:16" outlineLevel="1" x14ac:dyDescent="0.25">
      <c r="A14" s="57" t="s">
        <v>15</v>
      </c>
      <c r="B14" s="57"/>
      <c r="C14" s="58"/>
      <c r="D14" s="59"/>
      <c r="E14" s="59"/>
      <c r="F14" s="59"/>
      <c r="G14" s="59"/>
      <c r="H14" s="59"/>
      <c r="I14" s="60">
        <v>0.42</v>
      </c>
      <c r="J14" s="60">
        <v>0.43</v>
      </c>
      <c r="K14" s="60">
        <v>0.44</v>
      </c>
      <c r="L14" s="60">
        <v>0.45</v>
      </c>
      <c r="M14" s="60">
        <v>0.46</v>
      </c>
      <c r="N14" s="60">
        <v>0.46</v>
      </c>
      <c r="O14" s="60">
        <v>0.42</v>
      </c>
      <c r="P14" s="60">
        <v>0.42</v>
      </c>
    </row>
    <row r="15" spans="1:16" outlineLevel="1" x14ac:dyDescent="0.25">
      <c r="A15" s="57" t="s">
        <v>16</v>
      </c>
      <c r="B15" s="57"/>
      <c r="C15" s="58"/>
      <c r="D15" s="59"/>
      <c r="E15" s="59"/>
      <c r="F15" s="59"/>
      <c r="G15" s="59"/>
      <c r="H15" s="59"/>
      <c r="I15" s="60">
        <v>0.17</v>
      </c>
      <c r="J15" s="60">
        <v>0.17</v>
      </c>
      <c r="K15" s="60">
        <v>0.17</v>
      </c>
      <c r="L15" s="60">
        <v>0.17</v>
      </c>
      <c r="M15" s="60">
        <v>0.17</v>
      </c>
      <c r="N15" s="60">
        <v>0.17</v>
      </c>
      <c r="O15" s="60">
        <v>0.17</v>
      </c>
      <c r="P15" s="60">
        <v>0.17</v>
      </c>
    </row>
    <row r="16" spans="1:16" outlineLevel="1" x14ac:dyDescent="0.25">
      <c r="A16" s="57" t="s">
        <v>17</v>
      </c>
      <c r="B16" s="57"/>
      <c r="C16" s="58"/>
      <c r="D16" s="61"/>
      <c r="E16" s="61"/>
      <c r="F16" s="61"/>
      <c r="G16" s="61"/>
      <c r="H16" s="61"/>
      <c r="I16" s="62">
        <v>15000</v>
      </c>
      <c r="J16" s="62">
        <v>15000</v>
      </c>
      <c r="K16" s="62"/>
      <c r="L16" s="62">
        <v>15000</v>
      </c>
      <c r="M16" s="62">
        <v>15000</v>
      </c>
      <c r="N16" s="62">
        <v>15000</v>
      </c>
      <c r="O16" s="62">
        <v>15000</v>
      </c>
      <c r="P16" s="62">
        <v>15000</v>
      </c>
    </row>
    <row r="17" spans="1:16" outlineLevel="1" x14ac:dyDescent="0.25">
      <c r="A17" s="57" t="s">
        <v>18</v>
      </c>
      <c r="B17" s="57"/>
      <c r="C17" s="58"/>
      <c r="D17" s="59"/>
      <c r="E17" s="59"/>
      <c r="F17" s="59"/>
      <c r="G17" s="59"/>
      <c r="H17" s="59"/>
      <c r="I17" s="60">
        <v>0.2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0.2</v>
      </c>
    </row>
    <row r="18" spans="1:16" outlineLevel="1" x14ac:dyDescent="0.25">
      <c r="A18" s="57" t="s">
        <v>19</v>
      </c>
      <c r="B18" s="57"/>
      <c r="C18" s="58"/>
      <c r="D18" s="59"/>
      <c r="E18" s="59"/>
      <c r="F18" s="59"/>
      <c r="G18" s="59"/>
      <c r="H18" s="59"/>
      <c r="I18" s="60">
        <v>0.1</v>
      </c>
      <c r="J18" s="60">
        <v>0.1</v>
      </c>
      <c r="K18" s="60"/>
      <c r="L18" s="60">
        <v>0.1</v>
      </c>
      <c r="M18" s="60">
        <v>0.1</v>
      </c>
      <c r="N18" s="60">
        <v>0.1</v>
      </c>
      <c r="O18" s="60">
        <v>0.1</v>
      </c>
      <c r="P18" s="60">
        <v>0.1</v>
      </c>
    </row>
    <row r="19" spans="1:16" outlineLevel="1" x14ac:dyDescent="0.25">
      <c r="A19" s="57" t="s">
        <v>20</v>
      </c>
      <c r="B19" s="63"/>
      <c r="C19" s="64"/>
      <c r="D19" s="59"/>
      <c r="E19" s="59"/>
      <c r="F19" s="59"/>
      <c r="G19" s="59"/>
      <c r="H19" s="59"/>
      <c r="I19" s="60">
        <v>0.28000000000000003</v>
      </c>
      <c r="J19" s="60">
        <v>0.28000000000000003</v>
      </c>
      <c r="K19" s="60">
        <v>0.28000000000000003</v>
      </c>
      <c r="L19" s="60">
        <v>0.28000000000000003</v>
      </c>
      <c r="M19" s="60">
        <v>0.28000000000000003</v>
      </c>
      <c r="N19" s="60">
        <v>0.28000000000000003</v>
      </c>
      <c r="O19" s="60">
        <v>0.28000000000000003</v>
      </c>
      <c r="P19" s="60">
        <v>0.28000000000000003</v>
      </c>
    </row>
    <row r="20" spans="1:16" outlineLevel="1" x14ac:dyDescent="0.25">
      <c r="A20" s="12" t="s">
        <v>21</v>
      </c>
      <c r="C20" s="65"/>
      <c r="D20" s="15"/>
      <c r="E20" s="15"/>
      <c r="F20" s="15"/>
      <c r="G20" s="15"/>
      <c r="H20" s="15"/>
      <c r="I20" s="45">
        <v>18</v>
      </c>
      <c r="J20" s="45">
        <v>18</v>
      </c>
      <c r="K20" s="45">
        <v>18</v>
      </c>
      <c r="L20" s="45">
        <v>18</v>
      </c>
      <c r="M20" s="45">
        <v>18</v>
      </c>
      <c r="N20" s="45">
        <v>18</v>
      </c>
      <c r="O20" s="45">
        <v>18</v>
      </c>
      <c r="P20" s="45">
        <v>18</v>
      </c>
    </row>
    <row r="21" spans="1:16" outlineLevel="1" x14ac:dyDescent="0.25">
      <c r="A21" s="12" t="s">
        <v>22</v>
      </c>
      <c r="C21" s="65"/>
      <c r="D21" s="15"/>
      <c r="E21" s="15"/>
      <c r="F21" s="15"/>
      <c r="G21" s="15"/>
      <c r="H21" s="15"/>
      <c r="I21" s="45">
        <v>80</v>
      </c>
      <c r="J21" s="45">
        <v>90</v>
      </c>
      <c r="K21" s="45">
        <v>100</v>
      </c>
      <c r="L21" s="45">
        <v>100</v>
      </c>
      <c r="M21" s="45">
        <v>100</v>
      </c>
      <c r="N21" s="45">
        <v>100</v>
      </c>
      <c r="O21" s="45">
        <v>80</v>
      </c>
      <c r="P21" s="45">
        <v>80</v>
      </c>
    </row>
    <row r="22" spans="1:16" outlineLevel="1" x14ac:dyDescent="0.25">
      <c r="A22" s="12" t="s">
        <v>23</v>
      </c>
      <c r="C22" s="65"/>
      <c r="D22" s="15"/>
      <c r="E22" s="15"/>
      <c r="F22" s="15"/>
      <c r="G22" s="15"/>
      <c r="H22" s="15"/>
      <c r="I22" s="45">
        <v>37</v>
      </c>
      <c r="J22" s="45">
        <v>37</v>
      </c>
      <c r="K22" s="45">
        <v>37</v>
      </c>
      <c r="L22" s="45">
        <v>37</v>
      </c>
      <c r="M22" s="45">
        <v>37</v>
      </c>
      <c r="N22" s="45">
        <v>37</v>
      </c>
      <c r="O22" s="45">
        <v>37</v>
      </c>
      <c r="P22" s="45">
        <v>37</v>
      </c>
    </row>
    <row r="23" spans="1:16" outlineLevel="1" x14ac:dyDescent="0.25">
      <c r="A23" s="12" t="s">
        <v>24</v>
      </c>
      <c r="D23" s="15"/>
      <c r="E23" s="15"/>
      <c r="F23" s="15"/>
      <c r="G23" s="15"/>
      <c r="H23" s="15"/>
      <c r="I23" s="45">
        <v>15000</v>
      </c>
      <c r="J23" s="45">
        <v>15000</v>
      </c>
      <c r="K23" s="45">
        <v>15000</v>
      </c>
      <c r="L23" s="45">
        <v>15000</v>
      </c>
      <c r="M23" s="45">
        <v>15000</v>
      </c>
      <c r="N23" s="45">
        <v>15000</v>
      </c>
      <c r="O23" s="45">
        <v>15000</v>
      </c>
      <c r="P23" s="45">
        <v>15000</v>
      </c>
    </row>
    <row r="24" spans="1:16" outlineLevel="1" x14ac:dyDescent="0.25">
      <c r="A24" s="12" t="s">
        <v>25</v>
      </c>
      <c r="D24" s="15"/>
      <c r="E24" s="15"/>
      <c r="F24" s="15"/>
      <c r="G24" s="15"/>
      <c r="H24" s="15"/>
      <c r="I24" s="45">
        <v>0</v>
      </c>
      <c r="J24" s="45">
        <v>0</v>
      </c>
      <c r="K24" s="45">
        <v>-20000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</row>
    <row r="25" spans="1:16" outlineLevel="1" x14ac:dyDescent="0.25">
      <c r="A25" s="12" t="s">
        <v>26</v>
      </c>
      <c r="D25" s="15"/>
      <c r="E25" s="15"/>
      <c r="F25" s="15"/>
      <c r="G25" s="15"/>
      <c r="H25" s="15"/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</row>
    <row r="26" spans="1:16" outlineLevel="1" x14ac:dyDescent="0.25">
      <c r="A26" s="12" t="s">
        <v>231</v>
      </c>
      <c r="D26" s="15"/>
      <c r="E26" s="15"/>
      <c r="F26" s="15"/>
      <c r="G26" s="15"/>
      <c r="H26" s="15"/>
      <c r="I26" s="45">
        <v>0</v>
      </c>
      <c r="J26" s="45">
        <v>0</v>
      </c>
      <c r="K26" s="45">
        <v>0</v>
      </c>
      <c r="L26" s="45">
        <v>0</v>
      </c>
      <c r="M26" s="45">
        <v>200</v>
      </c>
      <c r="N26" s="45">
        <v>200</v>
      </c>
      <c r="O26" s="45">
        <v>0</v>
      </c>
      <c r="P26" s="45">
        <v>0</v>
      </c>
    </row>
    <row r="27" spans="1:16" outlineLevel="1" x14ac:dyDescent="0.25">
      <c r="D27" s="15"/>
      <c r="E27" s="15"/>
      <c r="F27" s="15"/>
      <c r="G27" s="15"/>
      <c r="H27" s="15"/>
      <c r="I27" s="45"/>
      <c r="J27" s="45"/>
      <c r="K27" s="45"/>
      <c r="L27" s="45"/>
      <c r="M27" s="45"/>
      <c r="N27" s="45"/>
    </row>
    <row r="28" spans="1:16" s="48" customFormat="1" outlineLevel="1" x14ac:dyDescent="0.25">
      <c r="A28" s="47" t="s">
        <v>27</v>
      </c>
      <c r="C28" s="49"/>
      <c r="H28" s="50"/>
      <c r="I28" s="51"/>
      <c r="J28" s="51"/>
      <c r="K28" s="51"/>
      <c r="L28" s="51"/>
      <c r="M28" s="51"/>
      <c r="N28" s="51"/>
    </row>
    <row r="29" spans="1:16" outlineLevel="1" x14ac:dyDescent="0.25">
      <c r="A29" s="16" t="s">
        <v>14</v>
      </c>
      <c r="B29" s="52"/>
      <c r="C29" s="53"/>
      <c r="D29" s="54"/>
      <c r="E29" s="55"/>
      <c r="F29" s="55"/>
      <c r="G29" s="55"/>
      <c r="H29" s="55"/>
      <c r="I29" s="56">
        <v>0.05</v>
      </c>
      <c r="J29" s="56">
        <v>4.4999999999999998E-2</v>
      </c>
      <c r="K29" s="56">
        <v>0.04</v>
      </c>
      <c r="L29" s="56">
        <v>3.5000000000000003E-2</v>
      </c>
      <c r="M29" s="56">
        <v>0.03</v>
      </c>
      <c r="N29" s="56">
        <v>0.03</v>
      </c>
      <c r="O29" s="56">
        <v>0.05</v>
      </c>
      <c r="P29" s="56">
        <v>0.05</v>
      </c>
    </row>
    <row r="30" spans="1:16" outlineLevel="1" x14ac:dyDescent="0.25">
      <c r="A30" s="57" t="s">
        <v>15</v>
      </c>
      <c r="B30" s="57"/>
      <c r="C30" s="58"/>
      <c r="D30" s="59"/>
      <c r="E30" s="59"/>
      <c r="F30" s="59"/>
      <c r="G30" s="59"/>
      <c r="H30" s="59"/>
      <c r="I30" s="60">
        <v>0.37</v>
      </c>
      <c r="J30" s="60">
        <v>0.37</v>
      </c>
      <c r="K30" s="60">
        <v>0.36</v>
      </c>
      <c r="L30" s="60">
        <v>0.36</v>
      </c>
      <c r="M30" s="60">
        <v>0.35</v>
      </c>
      <c r="N30" s="60">
        <v>0.35</v>
      </c>
      <c r="O30" s="60">
        <v>0.37</v>
      </c>
      <c r="P30" s="60">
        <v>0.37</v>
      </c>
    </row>
    <row r="31" spans="1:16" outlineLevel="1" x14ac:dyDescent="0.25">
      <c r="A31" s="57" t="s">
        <v>16</v>
      </c>
      <c r="B31" s="57"/>
      <c r="C31" s="58"/>
      <c r="D31" s="59"/>
      <c r="E31" s="59"/>
      <c r="F31" s="59"/>
      <c r="G31" s="59"/>
      <c r="H31" s="59"/>
      <c r="I31" s="60">
        <v>0.17</v>
      </c>
      <c r="J31" s="60">
        <v>0.17</v>
      </c>
      <c r="K31" s="60">
        <v>0.17</v>
      </c>
      <c r="L31" s="60">
        <v>0.17</v>
      </c>
      <c r="M31" s="60">
        <v>0.17</v>
      </c>
      <c r="N31" s="60">
        <v>0.17</v>
      </c>
      <c r="O31" s="60">
        <v>0.17</v>
      </c>
      <c r="P31" s="60">
        <v>0.17</v>
      </c>
    </row>
    <row r="32" spans="1:16" outlineLevel="1" x14ac:dyDescent="0.25">
      <c r="A32" s="57" t="s">
        <v>17</v>
      </c>
      <c r="B32" s="57"/>
      <c r="C32" s="58"/>
      <c r="D32" s="61"/>
      <c r="E32" s="61"/>
      <c r="F32" s="61"/>
      <c r="G32" s="61"/>
      <c r="H32" s="61"/>
      <c r="I32" s="62">
        <v>10000</v>
      </c>
      <c r="J32" s="62">
        <v>10000</v>
      </c>
      <c r="K32" s="62">
        <v>10000</v>
      </c>
      <c r="L32" s="62">
        <v>10000</v>
      </c>
      <c r="M32" s="62">
        <v>10000</v>
      </c>
      <c r="N32" s="62">
        <v>10000</v>
      </c>
      <c r="O32" s="62">
        <v>10000</v>
      </c>
      <c r="P32" s="62">
        <v>10000</v>
      </c>
    </row>
    <row r="33" spans="1:16" outlineLevel="1" x14ac:dyDescent="0.25">
      <c r="A33" s="57" t="s">
        <v>18</v>
      </c>
      <c r="B33" s="57"/>
      <c r="C33" s="58"/>
      <c r="D33" s="59"/>
      <c r="E33" s="59"/>
      <c r="F33" s="59"/>
      <c r="G33" s="59"/>
      <c r="H33" s="59"/>
      <c r="I33" s="60">
        <v>0.2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0.2</v>
      </c>
    </row>
    <row r="34" spans="1:16" outlineLevel="1" x14ac:dyDescent="0.25">
      <c r="A34" s="57" t="s">
        <v>19</v>
      </c>
      <c r="B34" s="57"/>
      <c r="C34" s="58"/>
      <c r="D34" s="59"/>
      <c r="E34" s="59"/>
      <c r="F34" s="59"/>
      <c r="G34" s="59"/>
      <c r="H34" s="59"/>
      <c r="I34" s="60">
        <v>0.05</v>
      </c>
      <c r="J34" s="60">
        <v>0.05</v>
      </c>
      <c r="K34" s="60">
        <v>0.05</v>
      </c>
      <c r="L34" s="60">
        <v>0.05</v>
      </c>
      <c r="M34" s="60">
        <v>0.05</v>
      </c>
      <c r="N34" s="60">
        <v>0.05</v>
      </c>
      <c r="O34" s="60">
        <v>0.05</v>
      </c>
      <c r="P34" s="60">
        <v>0.05</v>
      </c>
    </row>
    <row r="35" spans="1:16" outlineLevel="1" x14ac:dyDescent="0.25">
      <c r="A35" s="57" t="s">
        <v>20</v>
      </c>
      <c r="B35" s="63"/>
      <c r="C35" s="64"/>
      <c r="D35" s="59"/>
      <c r="E35" s="59"/>
      <c r="F35" s="59"/>
      <c r="G35" s="59"/>
      <c r="H35" s="59"/>
      <c r="I35" s="60">
        <v>0.28000000000000003</v>
      </c>
      <c r="J35" s="60">
        <v>0.28000000000000003</v>
      </c>
      <c r="K35" s="60">
        <v>0.28000000000000003</v>
      </c>
      <c r="L35" s="60">
        <v>0.28000000000000003</v>
      </c>
      <c r="M35" s="60">
        <v>0.28000000000000003</v>
      </c>
      <c r="N35" s="60">
        <v>0.28000000000000003</v>
      </c>
      <c r="O35" s="60">
        <v>0.28000000000000003</v>
      </c>
      <c r="P35" s="60">
        <v>0.28000000000000003</v>
      </c>
    </row>
    <row r="36" spans="1:16" outlineLevel="1" x14ac:dyDescent="0.25">
      <c r="A36" s="12" t="s">
        <v>21</v>
      </c>
      <c r="C36" s="65"/>
      <c r="D36" s="15"/>
      <c r="E36" s="15"/>
      <c r="F36" s="15"/>
      <c r="G36" s="15"/>
      <c r="H36" s="15"/>
      <c r="I36" s="45">
        <v>18</v>
      </c>
      <c r="J36" s="45">
        <v>18</v>
      </c>
      <c r="K36" s="45">
        <v>18</v>
      </c>
      <c r="L36" s="45">
        <v>18</v>
      </c>
      <c r="M36" s="45">
        <v>18</v>
      </c>
      <c r="N36" s="45">
        <v>18</v>
      </c>
      <c r="O36" s="45">
        <v>18</v>
      </c>
      <c r="P36" s="45">
        <v>18</v>
      </c>
    </row>
    <row r="37" spans="1:16" outlineLevel="1" x14ac:dyDescent="0.25">
      <c r="A37" s="12" t="s">
        <v>22</v>
      </c>
      <c r="C37" s="65"/>
      <c r="D37" s="15"/>
      <c r="E37" s="15"/>
      <c r="F37" s="15"/>
      <c r="G37" s="15"/>
      <c r="H37" s="15"/>
      <c r="I37" s="45">
        <v>73</v>
      </c>
      <c r="J37" s="45">
        <v>73</v>
      </c>
      <c r="K37" s="45">
        <v>73</v>
      </c>
      <c r="L37" s="45">
        <v>73</v>
      </c>
      <c r="M37" s="45">
        <v>73</v>
      </c>
      <c r="N37" s="45">
        <v>73</v>
      </c>
      <c r="O37" s="45">
        <v>73</v>
      </c>
      <c r="P37" s="45">
        <v>73</v>
      </c>
    </row>
    <row r="38" spans="1:16" outlineLevel="1" x14ac:dyDescent="0.25">
      <c r="A38" s="12" t="s">
        <v>23</v>
      </c>
      <c r="C38" s="65"/>
      <c r="D38" s="15"/>
      <c r="E38" s="15"/>
      <c r="F38" s="15"/>
      <c r="G38" s="15"/>
      <c r="H38" s="15"/>
      <c r="I38" s="45">
        <v>37</v>
      </c>
      <c r="J38" s="45">
        <v>37</v>
      </c>
      <c r="K38" s="45">
        <v>37</v>
      </c>
      <c r="L38" s="45">
        <v>37</v>
      </c>
      <c r="M38" s="45">
        <v>37</v>
      </c>
      <c r="N38" s="45">
        <v>37</v>
      </c>
      <c r="O38" s="45">
        <v>37</v>
      </c>
      <c r="P38" s="45">
        <v>37</v>
      </c>
    </row>
    <row r="39" spans="1:16" outlineLevel="1" x14ac:dyDescent="0.25">
      <c r="A39" s="12" t="s">
        <v>24</v>
      </c>
      <c r="D39" s="15"/>
      <c r="E39" s="15"/>
      <c r="F39" s="15"/>
      <c r="G39" s="15"/>
      <c r="H39" s="15"/>
      <c r="I39" s="45">
        <v>15000</v>
      </c>
      <c r="J39" s="45">
        <v>15000</v>
      </c>
      <c r="K39" s="45">
        <v>15000</v>
      </c>
      <c r="L39" s="45">
        <v>15000</v>
      </c>
      <c r="M39" s="45">
        <v>15000</v>
      </c>
      <c r="N39" s="45">
        <v>15000</v>
      </c>
      <c r="O39" s="45">
        <v>15000</v>
      </c>
      <c r="P39" s="45">
        <v>15000</v>
      </c>
    </row>
    <row r="40" spans="1:16" outlineLevel="1" x14ac:dyDescent="0.25">
      <c r="A40" s="12" t="s">
        <v>25</v>
      </c>
      <c r="D40" s="15"/>
      <c r="E40" s="15"/>
      <c r="F40" s="15"/>
      <c r="G40" s="15"/>
      <c r="H40" s="15"/>
      <c r="I40" s="45">
        <v>0</v>
      </c>
      <c r="J40" s="45">
        <v>0</v>
      </c>
      <c r="K40" s="45">
        <v>-20000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</row>
    <row r="41" spans="1:16" outlineLevel="1" x14ac:dyDescent="0.25">
      <c r="A41" s="12" t="s">
        <v>26</v>
      </c>
      <c r="D41" s="15"/>
      <c r="E41" s="15"/>
      <c r="F41" s="15"/>
      <c r="G41" s="15"/>
      <c r="H41" s="15"/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</row>
    <row r="42" spans="1:16" outlineLevel="1" x14ac:dyDescent="0.25">
      <c r="A42" s="12" t="s">
        <v>231</v>
      </c>
      <c r="D42" s="15"/>
      <c r="E42" s="15"/>
      <c r="F42" s="15"/>
      <c r="G42" s="15"/>
      <c r="H42" s="15"/>
      <c r="I42" s="45">
        <v>0</v>
      </c>
      <c r="J42" s="45">
        <v>0</v>
      </c>
      <c r="K42" s="45">
        <v>0</v>
      </c>
      <c r="L42" s="45">
        <v>0</v>
      </c>
      <c r="M42" s="45">
        <v>100</v>
      </c>
      <c r="N42" s="45">
        <v>100</v>
      </c>
      <c r="O42" s="45">
        <v>0</v>
      </c>
      <c r="P42" s="45">
        <v>0</v>
      </c>
    </row>
    <row r="43" spans="1:16" outlineLevel="1" x14ac:dyDescent="0.25">
      <c r="D43" s="15"/>
      <c r="E43" s="15"/>
      <c r="F43" s="15"/>
      <c r="G43" s="15"/>
      <c r="H43" s="15"/>
      <c r="I43" s="45"/>
      <c r="J43" s="45"/>
      <c r="K43" s="45"/>
      <c r="L43" s="45"/>
      <c r="M43" s="45"/>
      <c r="N43" s="45"/>
    </row>
    <row r="44" spans="1:16" outlineLevel="1" x14ac:dyDescent="0.25">
      <c r="A44" s="47" t="s">
        <v>11</v>
      </c>
      <c r="D44" s="15"/>
      <c r="E44" s="15"/>
      <c r="F44" s="15"/>
      <c r="G44" s="15"/>
      <c r="H44" s="15"/>
      <c r="I44" s="45"/>
      <c r="J44" s="45"/>
      <c r="K44" s="45"/>
      <c r="L44" s="45"/>
      <c r="M44" s="45"/>
      <c r="N44" s="45"/>
    </row>
    <row r="45" spans="1:16" outlineLevel="1" x14ac:dyDescent="0.25">
      <c r="A45" s="16" t="s">
        <v>14</v>
      </c>
      <c r="B45" s="52"/>
      <c r="C45" s="53"/>
      <c r="D45" s="54"/>
      <c r="E45" s="55"/>
      <c r="F45" s="55"/>
      <c r="G45" s="55"/>
      <c r="H45" s="55"/>
      <c r="I45" s="55">
        <f t="shared" ref="I45:N58" si="5">CHOOSE($I$10,I13,I29)</f>
        <v>0.1</v>
      </c>
      <c r="J45" s="55">
        <f t="shared" si="5"/>
        <v>0.1</v>
      </c>
      <c r="K45" s="55">
        <f t="shared" si="5"/>
        <v>0.1</v>
      </c>
      <c r="L45" s="55">
        <f t="shared" si="5"/>
        <v>0.09</v>
      </c>
      <c r="M45" s="55">
        <f t="shared" si="5"/>
        <v>0.08</v>
      </c>
      <c r="N45" s="55">
        <f t="shared" si="5"/>
        <v>7.0000000000000007E-2</v>
      </c>
      <c r="O45" s="55">
        <f t="shared" ref="O45:P58" si="6">CHOOSE($I$10,O13,O29)</f>
        <v>0.1</v>
      </c>
      <c r="P45" s="55">
        <f t="shared" si="6"/>
        <v>0.1</v>
      </c>
    </row>
    <row r="46" spans="1:16" outlineLevel="1" x14ac:dyDescent="0.25">
      <c r="A46" s="57" t="s">
        <v>15</v>
      </c>
      <c r="B46" s="57"/>
      <c r="C46" s="58"/>
      <c r="D46" s="59"/>
      <c r="E46" s="59"/>
      <c r="F46" s="59"/>
      <c r="G46" s="59"/>
      <c r="H46" s="59"/>
      <c r="I46" s="59">
        <f t="shared" si="5"/>
        <v>0.42</v>
      </c>
      <c r="J46" s="59">
        <f t="shared" si="5"/>
        <v>0.43</v>
      </c>
      <c r="K46" s="59">
        <f t="shared" si="5"/>
        <v>0.44</v>
      </c>
      <c r="L46" s="59">
        <f t="shared" si="5"/>
        <v>0.45</v>
      </c>
      <c r="M46" s="59">
        <f t="shared" si="5"/>
        <v>0.46</v>
      </c>
      <c r="N46" s="59">
        <f t="shared" si="5"/>
        <v>0.46</v>
      </c>
      <c r="O46" s="59">
        <f t="shared" si="6"/>
        <v>0.42</v>
      </c>
      <c r="P46" s="59">
        <f t="shared" si="6"/>
        <v>0.42</v>
      </c>
    </row>
    <row r="47" spans="1:16" outlineLevel="1" x14ac:dyDescent="0.25">
      <c r="A47" s="57" t="s">
        <v>185</v>
      </c>
      <c r="B47" s="57"/>
      <c r="C47" s="58"/>
      <c r="D47" s="59"/>
      <c r="E47" s="59"/>
      <c r="F47" s="59"/>
      <c r="G47" s="59"/>
      <c r="H47" s="59"/>
      <c r="I47" s="59">
        <f t="shared" si="5"/>
        <v>0.17</v>
      </c>
      <c r="J47" s="59">
        <f t="shared" si="5"/>
        <v>0.17</v>
      </c>
      <c r="K47" s="59">
        <f t="shared" si="5"/>
        <v>0.17</v>
      </c>
      <c r="L47" s="59">
        <f t="shared" si="5"/>
        <v>0.17</v>
      </c>
      <c r="M47" s="59">
        <f t="shared" si="5"/>
        <v>0.17</v>
      </c>
      <c r="N47" s="59">
        <f t="shared" si="5"/>
        <v>0.17</v>
      </c>
      <c r="O47" s="59">
        <f t="shared" si="6"/>
        <v>0.17</v>
      </c>
      <c r="P47" s="59">
        <f t="shared" si="6"/>
        <v>0.17</v>
      </c>
    </row>
    <row r="48" spans="1:16" outlineLevel="1" x14ac:dyDescent="0.25">
      <c r="A48" s="57" t="s">
        <v>184</v>
      </c>
      <c r="B48" s="57"/>
      <c r="C48" s="58"/>
      <c r="D48" s="61"/>
      <c r="E48" s="61"/>
      <c r="F48" s="61"/>
      <c r="G48" s="61"/>
      <c r="H48" s="61"/>
      <c r="I48" s="61">
        <f t="shared" si="5"/>
        <v>15000</v>
      </c>
      <c r="J48" s="61">
        <f t="shared" si="5"/>
        <v>15000</v>
      </c>
      <c r="K48" s="61">
        <f t="shared" si="5"/>
        <v>0</v>
      </c>
      <c r="L48" s="61">
        <f t="shared" si="5"/>
        <v>15000</v>
      </c>
      <c r="M48" s="61">
        <f t="shared" si="5"/>
        <v>15000</v>
      </c>
      <c r="N48" s="61">
        <f t="shared" si="5"/>
        <v>15000</v>
      </c>
      <c r="O48" s="61">
        <f t="shared" si="6"/>
        <v>15000</v>
      </c>
      <c r="P48" s="61">
        <f t="shared" si="6"/>
        <v>15000</v>
      </c>
    </row>
    <row r="49" spans="1:16" outlineLevel="1" x14ac:dyDescent="0.25">
      <c r="A49" s="57" t="s">
        <v>18</v>
      </c>
      <c r="B49" s="57"/>
      <c r="C49" s="58"/>
      <c r="D49" s="59"/>
      <c r="E49" s="59"/>
      <c r="F49" s="59"/>
      <c r="G49" s="59"/>
      <c r="H49" s="59"/>
      <c r="I49" s="59">
        <f t="shared" si="5"/>
        <v>0.2</v>
      </c>
      <c r="J49" s="59">
        <f t="shared" si="5"/>
        <v>0.2</v>
      </c>
      <c r="K49" s="59">
        <f t="shared" si="5"/>
        <v>0.2</v>
      </c>
      <c r="L49" s="59">
        <f t="shared" si="5"/>
        <v>0.2</v>
      </c>
      <c r="M49" s="59">
        <f t="shared" si="5"/>
        <v>0.2</v>
      </c>
      <c r="N49" s="59">
        <f t="shared" si="5"/>
        <v>0.2</v>
      </c>
      <c r="O49" s="59">
        <f t="shared" si="6"/>
        <v>0.2</v>
      </c>
      <c r="P49" s="59">
        <f t="shared" si="6"/>
        <v>0.2</v>
      </c>
    </row>
    <row r="50" spans="1:16" outlineLevel="1" x14ac:dyDescent="0.25">
      <c r="A50" s="57" t="s">
        <v>19</v>
      </c>
      <c r="B50" s="57"/>
      <c r="C50" s="58"/>
      <c r="D50" s="59"/>
      <c r="E50" s="59"/>
      <c r="F50" s="59"/>
      <c r="G50" s="59"/>
      <c r="H50" s="59"/>
      <c r="I50" s="59">
        <f t="shared" si="5"/>
        <v>0.1</v>
      </c>
      <c r="J50" s="59">
        <f t="shared" si="5"/>
        <v>0.1</v>
      </c>
      <c r="K50" s="59">
        <f t="shared" si="5"/>
        <v>0</v>
      </c>
      <c r="L50" s="59">
        <f t="shared" si="5"/>
        <v>0.1</v>
      </c>
      <c r="M50" s="59">
        <f t="shared" si="5"/>
        <v>0.1</v>
      </c>
      <c r="N50" s="59">
        <f t="shared" si="5"/>
        <v>0.1</v>
      </c>
      <c r="O50" s="59">
        <f t="shared" si="6"/>
        <v>0.1</v>
      </c>
      <c r="P50" s="59">
        <f t="shared" si="6"/>
        <v>0.1</v>
      </c>
    </row>
    <row r="51" spans="1:16" outlineLevel="1" x14ac:dyDescent="0.25">
      <c r="A51" s="57" t="s">
        <v>20</v>
      </c>
      <c r="B51" s="63"/>
      <c r="C51" s="64"/>
      <c r="D51" s="59"/>
      <c r="E51" s="59"/>
      <c r="F51" s="59"/>
      <c r="G51" s="59"/>
      <c r="H51" s="59"/>
      <c r="I51" s="59">
        <f t="shared" si="5"/>
        <v>0.28000000000000003</v>
      </c>
      <c r="J51" s="59">
        <f t="shared" si="5"/>
        <v>0.28000000000000003</v>
      </c>
      <c r="K51" s="59">
        <f t="shared" si="5"/>
        <v>0.28000000000000003</v>
      </c>
      <c r="L51" s="59">
        <f t="shared" si="5"/>
        <v>0.28000000000000003</v>
      </c>
      <c r="M51" s="59">
        <f t="shared" si="5"/>
        <v>0.28000000000000003</v>
      </c>
      <c r="N51" s="59">
        <f t="shared" si="5"/>
        <v>0.28000000000000003</v>
      </c>
      <c r="O51" s="59">
        <f t="shared" si="6"/>
        <v>0.28000000000000003</v>
      </c>
      <c r="P51" s="59">
        <f t="shared" si="6"/>
        <v>0.28000000000000003</v>
      </c>
    </row>
    <row r="52" spans="1:16" outlineLevel="1" x14ac:dyDescent="0.25">
      <c r="A52" s="12" t="s">
        <v>21</v>
      </c>
      <c r="C52" s="65"/>
      <c r="D52" s="15"/>
      <c r="E52" s="15"/>
      <c r="F52" s="15"/>
      <c r="G52" s="15"/>
      <c r="H52" s="15"/>
      <c r="I52" s="15">
        <f t="shared" si="5"/>
        <v>18</v>
      </c>
      <c r="J52" s="15">
        <f t="shared" si="5"/>
        <v>18</v>
      </c>
      <c r="K52" s="15">
        <f t="shared" si="5"/>
        <v>18</v>
      </c>
      <c r="L52" s="15">
        <f t="shared" si="5"/>
        <v>18</v>
      </c>
      <c r="M52" s="15">
        <f t="shared" si="5"/>
        <v>18</v>
      </c>
      <c r="N52" s="15">
        <f t="shared" si="5"/>
        <v>18</v>
      </c>
      <c r="O52" s="15">
        <f t="shared" si="6"/>
        <v>18</v>
      </c>
      <c r="P52" s="15">
        <f t="shared" si="6"/>
        <v>18</v>
      </c>
    </row>
    <row r="53" spans="1:16" outlineLevel="1" x14ac:dyDescent="0.25">
      <c r="A53" s="12" t="s">
        <v>22</v>
      </c>
      <c r="C53" s="65"/>
      <c r="D53" s="15"/>
      <c r="E53" s="15"/>
      <c r="F53" s="15"/>
      <c r="G53" s="15"/>
      <c r="H53" s="15"/>
      <c r="I53" s="15">
        <f t="shared" si="5"/>
        <v>80</v>
      </c>
      <c r="J53" s="15">
        <f t="shared" si="5"/>
        <v>90</v>
      </c>
      <c r="K53" s="15">
        <f t="shared" si="5"/>
        <v>100</v>
      </c>
      <c r="L53" s="15">
        <f t="shared" si="5"/>
        <v>100</v>
      </c>
      <c r="M53" s="15">
        <f t="shared" si="5"/>
        <v>100</v>
      </c>
      <c r="N53" s="15">
        <f t="shared" si="5"/>
        <v>100</v>
      </c>
      <c r="O53" s="15">
        <f t="shared" si="6"/>
        <v>80</v>
      </c>
      <c r="P53" s="15">
        <f t="shared" si="6"/>
        <v>80</v>
      </c>
    </row>
    <row r="54" spans="1:16" outlineLevel="1" x14ac:dyDescent="0.25">
      <c r="A54" s="12" t="s">
        <v>23</v>
      </c>
      <c r="C54" s="65"/>
      <c r="D54" s="15"/>
      <c r="E54" s="15"/>
      <c r="F54" s="15"/>
      <c r="G54" s="15"/>
      <c r="H54" s="15"/>
      <c r="I54" s="15">
        <f t="shared" si="5"/>
        <v>37</v>
      </c>
      <c r="J54" s="15">
        <f t="shared" si="5"/>
        <v>37</v>
      </c>
      <c r="K54" s="15">
        <f t="shared" si="5"/>
        <v>37</v>
      </c>
      <c r="L54" s="15">
        <f t="shared" si="5"/>
        <v>37</v>
      </c>
      <c r="M54" s="15">
        <f t="shared" si="5"/>
        <v>37</v>
      </c>
      <c r="N54" s="15">
        <f t="shared" si="5"/>
        <v>37</v>
      </c>
      <c r="O54" s="15">
        <f t="shared" si="6"/>
        <v>37</v>
      </c>
      <c r="P54" s="15">
        <f t="shared" si="6"/>
        <v>37</v>
      </c>
    </row>
    <row r="55" spans="1:16" outlineLevel="1" x14ac:dyDescent="0.25">
      <c r="A55" s="12" t="s">
        <v>24</v>
      </c>
      <c r="D55" s="15"/>
      <c r="E55" s="15"/>
      <c r="F55" s="15"/>
      <c r="G55" s="15"/>
      <c r="H55" s="15"/>
      <c r="I55" s="15">
        <f t="shared" si="5"/>
        <v>15000</v>
      </c>
      <c r="J55" s="15">
        <f t="shared" si="5"/>
        <v>15000</v>
      </c>
      <c r="K55" s="15">
        <f t="shared" si="5"/>
        <v>15000</v>
      </c>
      <c r="L55" s="15">
        <f t="shared" si="5"/>
        <v>15000</v>
      </c>
      <c r="M55" s="15">
        <f t="shared" si="5"/>
        <v>15000</v>
      </c>
      <c r="N55" s="15">
        <f t="shared" si="5"/>
        <v>15000</v>
      </c>
      <c r="O55" s="15">
        <f t="shared" si="6"/>
        <v>15000</v>
      </c>
      <c r="P55" s="15">
        <f t="shared" si="6"/>
        <v>15000</v>
      </c>
    </row>
    <row r="56" spans="1:16" outlineLevel="1" x14ac:dyDescent="0.25">
      <c r="A56" s="12" t="s">
        <v>25</v>
      </c>
      <c r="D56" s="15"/>
      <c r="E56" s="15"/>
      <c r="F56" s="15"/>
      <c r="G56" s="15"/>
      <c r="H56" s="15"/>
      <c r="I56" s="15">
        <f t="shared" si="5"/>
        <v>0</v>
      </c>
      <c r="J56" s="15">
        <f t="shared" si="5"/>
        <v>0</v>
      </c>
      <c r="K56" s="15">
        <f t="shared" si="5"/>
        <v>-20000</v>
      </c>
      <c r="L56" s="15">
        <f t="shared" si="5"/>
        <v>0</v>
      </c>
      <c r="M56" s="15">
        <f t="shared" si="5"/>
        <v>0</v>
      </c>
      <c r="N56" s="15">
        <f t="shared" si="5"/>
        <v>0</v>
      </c>
      <c r="O56" s="15">
        <f t="shared" si="6"/>
        <v>0</v>
      </c>
      <c r="P56" s="15">
        <f t="shared" si="6"/>
        <v>0</v>
      </c>
    </row>
    <row r="57" spans="1:16" outlineLevel="1" x14ac:dyDescent="0.25">
      <c r="A57" s="12" t="s">
        <v>26</v>
      </c>
      <c r="D57" s="15"/>
      <c r="E57" s="15"/>
      <c r="F57" s="15"/>
      <c r="G57" s="15"/>
      <c r="H57" s="15"/>
      <c r="I57" s="15">
        <f t="shared" si="5"/>
        <v>0</v>
      </c>
      <c r="J57" s="15">
        <f t="shared" si="5"/>
        <v>0</v>
      </c>
      <c r="K57" s="15">
        <f t="shared" si="5"/>
        <v>0</v>
      </c>
      <c r="L57" s="15">
        <f t="shared" si="5"/>
        <v>0</v>
      </c>
      <c r="M57" s="15">
        <f t="shared" si="5"/>
        <v>0</v>
      </c>
      <c r="N57" s="15">
        <f t="shared" si="5"/>
        <v>0</v>
      </c>
      <c r="O57" s="15">
        <f t="shared" si="6"/>
        <v>0</v>
      </c>
      <c r="P57" s="15">
        <f t="shared" si="6"/>
        <v>0</v>
      </c>
    </row>
    <row r="58" spans="1:16" outlineLevel="1" x14ac:dyDescent="0.25">
      <c r="A58" s="12" t="s">
        <v>231</v>
      </c>
      <c r="D58" s="15"/>
      <c r="E58" s="15"/>
      <c r="F58" s="15"/>
      <c r="G58" s="15"/>
      <c r="H58" s="15"/>
      <c r="I58" s="15">
        <f t="shared" si="5"/>
        <v>0</v>
      </c>
      <c r="J58" s="15">
        <f t="shared" si="5"/>
        <v>0</v>
      </c>
      <c r="K58" s="15">
        <f t="shared" si="5"/>
        <v>0</v>
      </c>
      <c r="L58" s="15">
        <f t="shared" si="5"/>
        <v>0</v>
      </c>
      <c r="M58" s="15">
        <f t="shared" si="5"/>
        <v>200</v>
      </c>
      <c r="N58" s="15">
        <f t="shared" si="5"/>
        <v>200</v>
      </c>
      <c r="O58" s="15">
        <f t="shared" si="6"/>
        <v>0</v>
      </c>
      <c r="P58" s="15">
        <f t="shared" si="6"/>
        <v>0</v>
      </c>
    </row>
    <row r="59" spans="1:16" outlineLevel="1" x14ac:dyDescent="0.25">
      <c r="D59" s="15"/>
      <c r="E59" s="15"/>
      <c r="F59" s="15"/>
      <c r="G59" s="15"/>
      <c r="H59" s="15"/>
      <c r="I59" s="45"/>
      <c r="J59" s="45"/>
      <c r="K59" s="45"/>
      <c r="L59" s="45"/>
      <c r="M59" s="45"/>
      <c r="N59" s="45"/>
    </row>
    <row r="60" spans="1:16" x14ac:dyDescent="0.25">
      <c r="D60" s="15"/>
      <c r="E60" s="15"/>
      <c r="F60" s="15"/>
      <c r="G60" s="15"/>
      <c r="H60" s="15"/>
      <c r="I60" s="45"/>
      <c r="J60" s="45"/>
      <c r="K60" s="45"/>
      <c r="L60" s="45"/>
      <c r="M60" s="45"/>
      <c r="N60" s="45"/>
    </row>
    <row r="61" spans="1:16" x14ac:dyDescent="0.25">
      <c r="A61" s="22" t="s">
        <v>28</v>
      </c>
      <c r="B61" s="22"/>
      <c r="C61" s="23"/>
      <c r="D61" s="24">
        <f>D$2</f>
        <v>2012</v>
      </c>
      <c r="E61" s="24">
        <f t="shared" ref="E61:P61" si="7">E$2</f>
        <v>2013</v>
      </c>
      <c r="F61" s="24">
        <f t="shared" si="7"/>
        <v>2014</v>
      </c>
      <c r="G61" s="24">
        <f t="shared" si="7"/>
        <v>2015</v>
      </c>
      <c r="H61" s="24">
        <f t="shared" si="7"/>
        <v>2016</v>
      </c>
      <c r="I61" s="25">
        <f t="shared" si="7"/>
        <v>2017</v>
      </c>
      <c r="J61" s="25">
        <f t="shared" si="7"/>
        <v>2018</v>
      </c>
      <c r="K61" s="25">
        <f t="shared" si="7"/>
        <v>2019</v>
      </c>
      <c r="L61" s="25">
        <f t="shared" si="7"/>
        <v>2020</v>
      </c>
      <c r="M61" s="25">
        <f t="shared" si="7"/>
        <v>2021</v>
      </c>
      <c r="N61" s="25">
        <f t="shared" si="7"/>
        <v>2022</v>
      </c>
      <c r="O61" s="26">
        <f t="shared" si="7"/>
        <v>43008</v>
      </c>
      <c r="P61" s="26">
        <f t="shared" si="7"/>
        <v>43100</v>
      </c>
    </row>
    <row r="62" spans="1:16" outlineLevel="1" x14ac:dyDescent="0.25">
      <c r="A62" s="66"/>
      <c r="B62" s="66"/>
      <c r="C62" s="67"/>
      <c r="D62" s="68"/>
      <c r="E62" s="68"/>
      <c r="F62" s="68"/>
      <c r="G62" s="68"/>
      <c r="H62" s="68"/>
      <c r="I62" s="69"/>
      <c r="J62" s="69"/>
      <c r="K62" s="69"/>
      <c r="L62" s="69"/>
      <c r="M62" s="69"/>
      <c r="N62" s="69"/>
    </row>
    <row r="63" spans="1:16" outlineLevel="1" x14ac:dyDescent="0.25">
      <c r="A63" s="47" t="s">
        <v>9</v>
      </c>
      <c r="B63" s="47"/>
      <c r="C63" s="70"/>
      <c r="D63" s="71">
        <v>102007</v>
      </c>
      <c r="E63" s="71">
        <v>118086</v>
      </c>
      <c r="F63" s="71">
        <v>131345</v>
      </c>
      <c r="G63" s="71">
        <v>142341</v>
      </c>
      <c r="H63" s="71">
        <v>150772</v>
      </c>
      <c r="I63" s="72">
        <f t="shared" ref="I63:N63" si="8">H63*((1+I45))</f>
        <v>165849.20000000001</v>
      </c>
      <c r="J63" s="72">
        <f t="shared" si="8"/>
        <v>182434.12000000002</v>
      </c>
      <c r="K63" s="72">
        <f t="shared" si="8"/>
        <v>200677.53200000004</v>
      </c>
      <c r="L63" s="72">
        <f t="shared" si="8"/>
        <v>218738.50988000006</v>
      </c>
      <c r="M63" s="72">
        <f t="shared" si="8"/>
        <v>236237.59067040007</v>
      </c>
      <c r="N63" s="72">
        <f t="shared" si="8"/>
        <v>252774.22201732808</v>
      </c>
      <c r="O63" s="73">
        <f>I63*O$6</f>
        <v>124386.90000000001</v>
      </c>
      <c r="P63" s="73">
        <f>I63*P$6</f>
        <v>41462.300000000003</v>
      </c>
    </row>
    <row r="64" spans="1:16" outlineLevel="1" x14ac:dyDescent="0.25">
      <c r="A64" s="57" t="s">
        <v>29</v>
      </c>
      <c r="B64" s="57"/>
      <c r="C64" s="58"/>
      <c r="D64" s="74">
        <v>39023</v>
      </c>
      <c r="E64" s="74">
        <v>48004</v>
      </c>
      <c r="F64" s="74">
        <v>49123</v>
      </c>
      <c r="G64" s="74">
        <v>52654</v>
      </c>
      <c r="H64" s="74">
        <v>56710</v>
      </c>
      <c r="I64" s="75">
        <f t="shared" ref="I64:N64" si="9">I63*(I46)</f>
        <v>69656.664000000004</v>
      </c>
      <c r="J64" s="75">
        <f t="shared" si="9"/>
        <v>78446.671600000016</v>
      </c>
      <c r="K64" s="75">
        <f t="shared" si="9"/>
        <v>88298.114080000014</v>
      </c>
      <c r="L64" s="75">
        <f t="shared" si="9"/>
        <v>98432.329446000032</v>
      </c>
      <c r="M64" s="75">
        <f t="shared" si="9"/>
        <v>108669.29170838403</v>
      </c>
      <c r="N64" s="75">
        <f t="shared" si="9"/>
        <v>116276.14212797092</v>
      </c>
      <c r="O64" s="76">
        <f>I64*O$6</f>
        <v>52242.498000000007</v>
      </c>
      <c r="P64" s="12">
        <f>I64*P$6</f>
        <v>17414.166000000001</v>
      </c>
    </row>
    <row r="65" spans="1:16" outlineLevel="1" x14ac:dyDescent="0.25">
      <c r="A65" s="52" t="s">
        <v>30</v>
      </c>
      <c r="B65" s="52"/>
      <c r="C65" s="53"/>
      <c r="D65" s="77">
        <f>D63-D64</f>
        <v>62984</v>
      </c>
      <c r="E65" s="77">
        <f t="shared" ref="E65:M65" si="10">E63-E64</f>
        <v>70082</v>
      </c>
      <c r="F65" s="77">
        <f t="shared" si="10"/>
        <v>82222</v>
      </c>
      <c r="G65" s="77">
        <f t="shared" si="10"/>
        <v>89687</v>
      </c>
      <c r="H65" s="77">
        <f t="shared" si="10"/>
        <v>94062</v>
      </c>
      <c r="I65" s="77">
        <f t="shared" si="10"/>
        <v>96192.536000000007</v>
      </c>
      <c r="J65" s="77">
        <f t="shared" si="10"/>
        <v>103987.44840000001</v>
      </c>
      <c r="K65" s="77">
        <f t="shared" si="10"/>
        <v>112379.41792000002</v>
      </c>
      <c r="L65" s="77">
        <f t="shared" si="10"/>
        <v>120306.18043400002</v>
      </c>
      <c r="M65" s="77">
        <f t="shared" si="10"/>
        <v>127568.29896201604</v>
      </c>
      <c r="N65" s="77">
        <f>N63-N64</f>
        <v>136498.07988935715</v>
      </c>
      <c r="O65" s="77">
        <f>O63-O64</f>
        <v>72144.402000000002</v>
      </c>
      <c r="P65" s="77">
        <f>P63-P64</f>
        <v>24048.134000000002</v>
      </c>
    </row>
    <row r="66" spans="1:16" outlineLevel="1" x14ac:dyDescent="0.25">
      <c r="A66" s="66" t="s">
        <v>31</v>
      </c>
      <c r="B66" s="66"/>
      <c r="C66" s="67"/>
      <c r="D66" s="78"/>
      <c r="E66" s="78"/>
      <c r="F66" s="78"/>
      <c r="G66" s="78"/>
      <c r="H66" s="78"/>
      <c r="I66" s="78"/>
      <c r="J66" s="78"/>
      <c r="K66" s="78"/>
      <c r="L66" s="69"/>
      <c r="M66" s="69"/>
      <c r="N66" s="69"/>
    </row>
    <row r="67" spans="1:16" outlineLevel="1" x14ac:dyDescent="0.25">
      <c r="A67" s="57" t="s">
        <v>186</v>
      </c>
      <c r="D67" s="79">
        <v>26427</v>
      </c>
      <c r="E67" s="79">
        <v>22658</v>
      </c>
      <c r="F67" s="79">
        <v>23872</v>
      </c>
      <c r="G67" s="79">
        <v>23002</v>
      </c>
      <c r="H67" s="79">
        <v>25245</v>
      </c>
      <c r="I67" s="17">
        <f t="shared" ref="I67:N67" si="11">I63*I47</f>
        <v>28194.364000000005</v>
      </c>
      <c r="J67" s="17">
        <f t="shared" si="11"/>
        <v>31013.800400000007</v>
      </c>
      <c r="K67" s="17">
        <f t="shared" si="11"/>
        <v>34115.180440000011</v>
      </c>
      <c r="L67" s="17">
        <f t="shared" si="11"/>
        <v>37185.546679600011</v>
      </c>
      <c r="M67" s="17">
        <f t="shared" si="11"/>
        <v>40160.390413968016</v>
      </c>
      <c r="N67" s="17">
        <f t="shared" si="11"/>
        <v>42971.617742945775</v>
      </c>
      <c r="O67" s="12">
        <f>I67*O$6</f>
        <v>21145.773000000005</v>
      </c>
      <c r="P67" s="12">
        <f>I67*P$6</f>
        <v>7048.5910000000013</v>
      </c>
    </row>
    <row r="68" spans="1:16" outlineLevel="1" x14ac:dyDescent="0.25">
      <c r="A68" s="12" t="s">
        <v>183</v>
      </c>
      <c r="D68" s="79">
        <v>10963</v>
      </c>
      <c r="E68" s="79">
        <v>10125</v>
      </c>
      <c r="F68" s="79">
        <v>10087</v>
      </c>
      <c r="G68" s="79">
        <v>11020</v>
      </c>
      <c r="H68" s="79">
        <v>11412</v>
      </c>
      <c r="I68" s="17">
        <f t="shared" ref="I68:N68" si="12">I48</f>
        <v>15000</v>
      </c>
      <c r="J68" s="17">
        <f t="shared" si="12"/>
        <v>15000</v>
      </c>
      <c r="K68" s="17">
        <f t="shared" si="12"/>
        <v>0</v>
      </c>
      <c r="L68" s="17">
        <f t="shared" si="12"/>
        <v>15000</v>
      </c>
      <c r="M68" s="17">
        <f t="shared" si="12"/>
        <v>15000</v>
      </c>
      <c r="N68" s="17">
        <f t="shared" si="12"/>
        <v>15000</v>
      </c>
      <c r="O68" s="12">
        <f>I68*O$6</f>
        <v>11250</v>
      </c>
      <c r="P68" s="12">
        <f>I68*P$6</f>
        <v>3750</v>
      </c>
    </row>
    <row r="69" spans="1:16" outlineLevel="1" x14ac:dyDescent="0.25">
      <c r="A69" s="12" t="s">
        <v>32</v>
      </c>
      <c r="D69" s="79">
        <v>19500</v>
      </c>
      <c r="E69" s="79">
        <v>18150</v>
      </c>
      <c r="F69" s="79">
        <v>17205</v>
      </c>
      <c r="G69" s="79">
        <v>16543.5</v>
      </c>
      <c r="H69" s="79">
        <v>16080.449999999999</v>
      </c>
      <c r="I69" s="17">
        <f t="shared" ref="I69:N69" si="13">+I141</f>
        <v>7504.2100000000009</v>
      </c>
      <c r="J69" s="17">
        <f t="shared" si="13"/>
        <v>9003.3680000000004</v>
      </c>
      <c r="K69" s="17">
        <f t="shared" si="13"/>
        <v>10202.6944</v>
      </c>
      <c r="L69" s="17">
        <f t="shared" si="13"/>
        <v>11162.155520000002</v>
      </c>
      <c r="M69" s="17">
        <f t="shared" si="13"/>
        <v>11929.724416000001</v>
      </c>
      <c r="N69" s="17">
        <f t="shared" si="13"/>
        <v>12543.779532800001</v>
      </c>
      <c r="O69" s="12">
        <f>I69*O$6</f>
        <v>5628.1575000000012</v>
      </c>
      <c r="P69" s="12">
        <f>I69*P$6</f>
        <v>1876.0525000000002</v>
      </c>
    </row>
    <row r="70" spans="1:16" outlineLevel="1" x14ac:dyDescent="0.25">
      <c r="A70" s="80" t="s">
        <v>33</v>
      </c>
      <c r="B70" s="80"/>
      <c r="C70" s="81"/>
      <c r="D70" s="82">
        <v>2500</v>
      </c>
      <c r="E70" s="82">
        <v>2500</v>
      </c>
      <c r="F70" s="82">
        <v>1500</v>
      </c>
      <c r="G70" s="82">
        <v>1500</v>
      </c>
      <c r="H70" s="82">
        <v>1500</v>
      </c>
      <c r="I70" s="83">
        <f t="shared" ref="I70:N70" si="14">I148</f>
        <v>3000</v>
      </c>
      <c r="J70" s="83">
        <f t="shared" si="14"/>
        <v>3000</v>
      </c>
      <c r="K70" s="83">
        <f t="shared" si="14"/>
        <v>0</v>
      </c>
      <c r="L70" s="83">
        <f t="shared" si="14"/>
        <v>1000</v>
      </c>
      <c r="M70" s="83">
        <f t="shared" si="14"/>
        <v>1000</v>
      </c>
      <c r="N70" s="83">
        <f t="shared" si="14"/>
        <v>1000</v>
      </c>
      <c r="O70" s="12">
        <f>I70*O$6</f>
        <v>2250</v>
      </c>
      <c r="P70" s="12">
        <f>I70*P$6</f>
        <v>750</v>
      </c>
    </row>
    <row r="71" spans="1:16" outlineLevel="1" x14ac:dyDescent="0.25">
      <c r="A71" s="66" t="s">
        <v>34</v>
      </c>
      <c r="B71" s="57"/>
      <c r="C71" s="58"/>
      <c r="D71" s="69">
        <f t="shared" ref="D71:N71" si="15">SUM(D67:D70)</f>
        <v>59390</v>
      </c>
      <c r="E71" s="69">
        <f t="shared" si="15"/>
        <v>53433</v>
      </c>
      <c r="F71" s="69">
        <f t="shared" si="15"/>
        <v>52664</v>
      </c>
      <c r="G71" s="69">
        <f t="shared" si="15"/>
        <v>52065.5</v>
      </c>
      <c r="H71" s="69">
        <f t="shared" si="15"/>
        <v>54237.45</v>
      </c>
      <c r="I71" s="69">
        <f t="shared" si="15"/>
        <v>53698.574000000001</v>
      </c>
      <c r="J71" s="69">
        <f t="shared" si="15"/>
        <v>58017.16840000001</v>
      </c>
      <c r="K71" s="69">
        <f t="shared" si="15"/>
        <v>44317.874840000011</v>
      </c>
      <c r="L71" s="69">
        <f t="shared" si="15"/>
        <v>64347.702199600011</v>
      </c>
      <c r="M71" s="69">
        <f t="shared" si="15"/>
        <v>68090.114829968021</v>
      </c>
      <c r="N71" s="69">
        <f t="shared" si="15"/>
        <v>71515.397275745781</v>
      </c>
      <c r="O71" s="84">
        <f>SUM(O67:O70)</f>
        <v>40273.930500000002</v>
      </c>
      <c r="P71" s="84">
        <f>SUM(P67:P70)</f>
        <v>13424.6435</v>
      </c>
    </row>
    <row r="72" spans="1:16" outlineLevel="1" x14ac:dyDescent="0.25">
      <c r="A72" s="52" t="s">
        <v>35</v>
      </c>
      <c r="B72" s="52"/>
      <c r="C72" s="53"/>
      <c r="D72" s="77">
        <f t="shared" ref="D72:N72" si="16">D65-D71</f>
        <v>3594</v>
      </c>
      <c r="E72" s="77">
        <f t="shared" si="16"/>
        <v>16649</v>
      </c>
      <c r="F72" s="77">
        <f t="shared" si="16"/>
        <v>29558</v>
      </c>
      <c r="G72" s="77">
        <f t="shared" si="16"/>
        <v>37621.5</v>
      </c>
      <c r="H72" s="77">
        <f t="shared" si="16"/>
        <v>39824.550000000003</v>
      </c>
      <c r="I72" s="77">
        <f t="shared" si="16"/>
        <v>42493.962000000007</v>
      </c>
      <c r="J72" s="77">
        <f t="shared" si="16"/>
        <v>45970.28</v>
      </c>
      <c r="K72" s="77">
        <f t="shared" si="16"/>
        <v>68061.543080000003</v>
      </c>
      <c r="L72" s="77">
        <f t="shared" si="16"/>
        <v>55958.478234400012</v>
      </c>
      <c r="M72" s="77">
        <f t="shared" si="16"/>
        <v>59478.184132048016</v>
      </c>
      <c r="N72" s="77">
        <f t="shared" si="16"/>
        <v>64982.682613611367</v>
      </c>
      <c r="O72" s="77">
        <f>O65-O71</f>
        <v>31870.4715</v>
      </c>
      <c r="P72" s="77">
        <f>P65-P71</f>
        <v>10623.490500000002</v>
      </c>
    </row>
    <row r="73" spans="1:16" outlineLevel="1" x14ac:dyDescent="0.25">
      <c r="A73" s="66"/>
      <c r="B73" s="66"/>
      <c r="C73" s="67"/>
      <c r="D73" s="68"/>
      <c r="E73" s="68"/>
      <c r="F73" s="68"/>
      <c r="G73" s="68"/>
      <c r="H73" s="68"/>
      <c r="I73" s="69"/>
      <c r="J73" s="69"/>
      <c r="K73" s="69"/>
      <c r="L73" s="69"/>
      <c r="M73" s="69"/>
      <c r="N73" s="69"/>
    </row>
    <row r="74" spans="1:16" outlineLevel="1" x14ac:dyDescent="0.25">
      <c r="A74" s="57" t="s">
        <v>36</v>
      </c>
      <c r="B74" s="57"/>
      <c r="C74" s="58"/>
      <c r="D74" s="79">
        <v>1120.1708000000001</v>
      </c>
      <c r="E74" s="79">
        <v>4858.2165021220308</v>
      </c>
      <c r="F74" s="79">
        <v>8482.8061148686775</v>
      </c>
      <c r="G74" s="79">
        <v>10908.02097640469</v>
      </c>
      <c r="H74" s="79">
        <v>11597.665241419718</v>
      </c>
      <c r="I74" s="85">
        <f t="shared" ref="I74:N74" si="17">IF(I72&gt;0,I72*I51,0)</f>
        <v>11898.309360000003</v>
      </c>
      <c r="J74" s="85">
        <f t="shared" si="17"/>
        <v>12871.678400000001</v>
      </c>
      <c r="K74" s="85">
        <f t="shared" si="17"/>
        <v>19057.232062400002</v>
      </c>
      <c r="L74" s="85">
        <f t="shared" si="17"/>
        <v>15668.373905632005</v>
      </c>
      <c r="M74" s="85">
        <f t="shared" si="17"/>
        <v>16653.891556973445</v>
      </c>
      <c r="N74" s="85">
        <f t="shared" si="17"/>
        <v>18195.151131811184</v>
      </c>
      <c r="O74" s="85">
        <f>I74*O$6</f>
        <v>8923.7320200000031</v>
      </c>
      <c r="P74" s="85">
        <f>I74*P$6</f>
        <v>2974.5773400000007</v>
      </c>
    </row>
    <row r="75" spans="1:16" ht="18.75" outlineLevel="1" thickBot="1" x14ac:dyDescent="0.3">
      <c r="A75" s="86" t="s">
        <v>37</v>
      </c>
      <c r="B75" s="86"/>
      <c r="C75" s="87"/>
      <c r="D75" s="88">
        <f>D72-D74</f>
        <v>2473.8292000000001</v>
      </c>
      <c r="E75" s="88">
        <f t="shared" ref="E75:M75" si="18">E72-E74</f>
        <v>11790.783497877968</v>
      </c>
      <c r="F75" s="88">
        <f t="shared" si="18"/>
        <v>21075.193885131324</v>
      </c>
      <c r="G75" s="88">
        <f t="shared" si="18"/>
        <v>26713.479023595311</v>
      </c>
      <c r="H75" s="88">
        <f t="shared" si="18"/>
        <v>28226.884758580287</v>
      </c>
      <c r="I75" s="88">
        <f t="shared" si="18"/>
        <v>30595.652640000004</v>
      </c>
      <c r="J75" s="88">
        <f t="shared" si="18"/>
        <v>33098.601599999995</v>
      </c>
      <c r="K75" s="88">
        <f t="shared" si="18"/>
        <v>49004.311017600005</v>
      </c>
      <c r="L75" s="88">
        <f t="shared" si="18"/>
        <v>40290.104328768008</v>
      </c>
      <c r="M75" s="88">
        <f t="shared" si="18"/>
        <v>42824.292575074571</v>
      </c>
      <c r="N75" s="88">
        <f>N72-N74</f>
        <v>46787.531481800179</v>
      </c>
      <c r="O75" s="88">
        <f>O72-O74</f>
        <v>22946.739479999997</v>
      </c>
      <c r="P75" s="88">
        <f>P72-P74</f>
        <v>7648.913160000001</v>
      </c>
    </row>
    <row r="76" spans="1:16" ht="18.75" outlineLevel="1" collapsed="1" thickTop="1" x14ac:dyDescent="0.25">
      <c r="D76" s="79"/>
      <c r="E76" s="79"/>
      <c r="F76" s="79"/>
      <c r="G76" s="79"/>
      <c r="H76" s="79"/>
    </row>
    <row r="77" spans="1:16" x14ac:dyDescent="0.25">
      <c r="D77" s="79"/>
      <c r="E77" s="79"/>
      <c r="F77" s="79"/>
      <c r="G77" s="79"/>
      <c r="H77" s="79"/>
    </row>
    <row r="78" spans="1:16" x14ac:dyDescent="0.25">
      <c r="A78" s="22" t="s">
        <v>38</v>
      </c>
      <c r="B78" s="22"/>
      <c r="C78" s="23"/>
      <c r="D78" s="24">
        <f t="shared" ref="D78:P78" si="19">D$2</f>
        <v>2012</v>
      </c>
      <c r="E78" s="24">
        <f t="shared" si="19"/>
        <v>2013</v>
      </c>
      <c r="F78" s="24">
        <f t="shared" si="19"/>
        <v>2014</v>
      </c>
      <c r="G78" s="24">
        <f t="shared" si="19"/>
        <v>2015</v>
      </c>
      <c r="H78" s="24">
        <f t="shared" si="19"/>
        <v>2016</v>
      </c>
      <c r="I78" s="25">
        <f t="shared" si="19"/>
        <v>2017</v>
      </c>
      <c r="J78" s="25">
        <f t="shared" si="19"/>
        <v>2018</v>
      </c>
      <c r="K78" s="25">
        <f t="shared" si="19"/>
        <v>2019</v>
      </c>
      <c r="L78" s="25">
        <f t="shared" si="19"/>
        <v>2020</v>
      </c>
      <c r="M78" s="25">
        <f t="shared" si="19"/>
        <v>2021</v>
      </c>
      <c r="N78" s="25">
        <f t="shared" si="19"/>
        <v>2022</v>
      </c>
      <c r="O78" s="26">
        <f t="shared" si="19"/>
        <v>43008</v>
      </c>
      <c r="P78" s="26">
        <f t="shared" si="19"/>
        <v>43100</v>
      </c>
    </row>
    <row r="79" spans="1:16" outlineLevel="1" x14ac:dyDescent="0.25">
      <c r="D79" s="79"/>
      <c r="E79" s="79"/>
      <c r="F79" s="79"/>
      <c r="G79" s="79"/>
      <c r="H79" s="79"/>
    </row>
    <row r="80" spans="1:16" outlineLevel="1" x14ac:dyDescent="0.25">
      <c r="A80" s="47" t="s">
        <v>39</v>
      </c>
      <c r="D80" s="79"/>
      <c r="E80" s="79"/>
      <c r="F80" s="79"/>
      <c r="G80" s="79"/>
      <c r="H80" s="79"/>
    </row>
    <row r="81" spans="1:17" ht="16.5" customHeight="1" outlineLevel="1" x14ac:dyDescent="0.25">
      <c r="A81" s="12" t="s">
        <v>40</v>
      </c>
      <c r="C81" s="89"/>
      <c r="D81" s="100">
        <f t="shared" ref="D81:M81" si="20">D125</f>
        <v>67971.179199999999</v>
      </c>
      <c r="E81" s="100">
        <f t="shared" si="20"/>
        <v>81209.912697877982</v>
      </c>
      <c r="F81" s="100">
        <f t="shared" si="20"/>
        <v>83715.256583009294</v>
      </c>
      <c r="G81" s="100">
        <f t="shared" si="20"/>
        <v>111069.33560660461</v>
      </c>
      <c r="H81" s="100">
        <f t="shared" si="20"/>
        <v>139549.5203651849</v>
      </c>
      <c r="I81" s="12">
        <f t="shared" si="20"/>
        <v>159473.99080792462</v>
      </c>
      <c r="J81" s="12">
        <f t="shared" si="20"/>
        <v>182573.31492080132</v>
      </c>
      <c r="K81" s="12">
        <f t="shared" si="20"/>
        <v>202031.03538431914</v>
      </c>
      <c r="L81" s="12">
        <f t="shared" si="20"/>
        <v>235919.31641543814</v>
      </c>
      <c r="M81" s="12">
        <f t="shared" si="20"/>
        <v>272767.54442510585</v>
      </c>
      <c r="N81" s="90">
        <f>N125</f>
        <v>314770.38710907951</v>
      </c>
      <c r="O81" s="90">
        <f>O125</f>
        <v>153654.01143309698</v>
      </c>
      <c r="P81" s="90">
        <f>I81</f>
        <v>159473.99080792462</v>
      </c>
    </row>
    <row r="82" spans="1:17" ht="16.5" customHeight="1" outlineLevel="1" x14ac:dyDescent="0.25">
      <c r="A82" s="12" t="s">
        <v>41</v>
      </c>
      <c r="C82" s="89"/>
      <c r="D82" s="79">
        <v>5100.3500000000004</v>
      </c>
      <c r="E82" s="79">
        <v>5904.3</v>
      </c>
      <c r="F82" s="79">
        <v>6567.25</v>
      </c>
      <c r="G82" s="79">
        <v>7117.05</v>
      </c>
      <c r="H82" s="79">
        <v>7538.6</v>
      </c>
      <c r="I82" s="91">
        <f t="shared" ref="I82:O82" si="21">I63*I52/I5</f>
        <v>8178.8646575342473</v>
      </c>
      <c r="J82" s="91">
        <f t="shared" si="21"/>
        <v>8996.7511232876732</v>
      </c>
      <c r="K82" s="91">
        <f t="shared" si="21"/>
        <v>9896.42623561644</v>
      </c>
      <c r="L82" s="91">
        <f t="shared" si="21"/>
        <v>10757.631633442625</v>
      </c>
      <c r="M82" s="91">
        <f t="shared" si="21"/>
        <v>11650.072964567677</v>
      </c>
      <c r="N82" s="92">
        <f t="shared" si="21"/>
        <v>12465.578072087414</v>
      </c>
      <c r="O82" s="92">
        <f t="shared" si="21"/>
        <v>8201.3340659340665</v>
      </c>
      <c r="P82" s="90">
        <f>I82</f>
        <v>8178.8646575342473</v>
      </c>
    </row>
    <row r="83" spans="1:17" ht="16.5" customHeight="1" outlineLevel="1" x14ac:dyDescent="0.25">
      <c r="A83" s="12" t="s">
        <v>42</v>
      </c>
      <c r="C83" s="89"/>
      <c r="D83" s="79">
        <v>7804.6</v>
      </c>
      <c r="E83" s="79">
        <v>9600.8000000000011</v>
      </c>
      <c r="F83" s="79">
        <v>9824.6</v>
      </c>
      <c r="G83" s="79">
        <v>10530.800000000001</v>
      </c>
      <c r="H83" s="79">
        <v>11342</v>
      </c>
      <c r="I83" s="14">
        <f t="shared" ref="I83:O83" si="22">I64*I53/I5</f>
        <v>15267.21402739726</v>
      </c>
      <c r="J83" s="14">
        <f t="shared" si="22"/>
        <v>19343.014915068496</v>
      </c>
      <c r="K83" s="14">
        <f t="shared" si="22"/>
        <v>24191.264131506854</v>
      </c>
      <c r="L83" s="14">
        <f t="shared" si="22"/>
        <v>26894.079083606564</v>
      </c>
      <c r="M83" s="14">
        <f t="shared" si="22"/>
        <v>29772.408687228501</v>
      </c>
      <c r="N83" s="93">
        <f t="shared" si="22"/>
        <v>31856.477295334498</v>
      </c>
      <c r="O83" s="93">
        <f t="shared" si="22"/>
        <v>15309.156923076926</v>
      </c>
      <c r="P83" s="90">
        <f>I83</f>
        <v>15267.21402739726</v>
      </c>
    </row>
    <row r="84" spans="1:17" ht="16.5" customHeight="1" outlineLevel="1" x14ac:dyDescent="0.25">
      <c r="A84" s="134" t="s">
        <v>153</v>
      </c>
      <c r="B84" s="16"/>
      <c r="C84" s="94"/>
      <c r="D84" s="77">
        <f t="shared" ref="D84:M84" si="23">SUM(D81:D83)</f>
        <v>80876.12920000001</v>
      </c>
      <c r="E84" s="77">
        <f t="shared" si="23"/>
        <v>96715.012697877988</v>
      </c>
      <c r="F84" s="77">
        <f t="shared" si="23"/>
        <v>100107.1065830093</v>
      </c>
      <c r="G84" s="77">
        <f t="shared" si="23"/>
        <v>128717.18560660462</v>
      </c>
      <c r="H84" s="77">
        <f t="shared" si="23"/>
        <v>158430.12036518491</v>
      </c>
      <c r="I84" s="77">
        <f t="shared" si="23"/>
        <v>182920.06949285613</v>
      </c>
      <c r="J84" s="77">
        <f t="shared" si="23"/>
        <v>210913.08095915749</v>
      </c>
      <c r="K84" s="77">
        <f t="shared" si="23"/>
        <v>236118.72575144243</v>
      </c>
      <c r="L84" s="77">
        <f t="shared" si="23"/>
        <v>273571.02713248733</v>
      </c>
      <c r="M84" s="77">
        <f t="shared" si="23"/>
        <v>314190.02607690205</v>
      </c>
      <c r="N84" s="95">
        <f>SUM(N81:N83)</f>
        <v>359092.44247650146</v>
      </c>
      <c r="O84" s="95">
        <f>SUM(O81:O83)</f>
        <v>177164.50242210797</v>
      </c>
      <c r="P84" s="95">
        <f>SUM(P81:P83)</f>
        <v>182920.06949285613</v>
      </c>
    </row>
    <row r="85" spans="1:17" ht="15.75" customHeight="1" outlineLevel="1" x14ac:dyDescent="0.25">
      <c r="A85" s="12" t="s">
        <v>43</v>
      </c>
      <c r="D85" s="79">
        <v>45500</v>
      </c>
      <c r="E85" s="79">
        <v>42350</v>
      </c>
      <c r="F85" s="79">
        <v>40145</v>
      </c>
      <c r="G85" s="79">
        <v>38601.5</v>
      </c>
      <c r="H85" s="79">
        <v>37521.050000000003</v>
      </c>
      <c r="I85" s="12">
        <f t="shared" ref="I85:O85" si="24">I142</f>
        <v>45016.840000000004</v>
      </c>
      <c r="J85" s="12">
        <f t="shared" si="24"/>
        <v>51013.472000000002</v>
      </c>
      <c r="K85" s="12">
        <f t="shared" si="24"/>
        <v>55810.777600000009</v>
      </c>
      <c r="L85" s="12">
        <f t="shared" si="24"/>
        <v>59648.622080000001</v>
      </c>
      <c r="M85" s="12">
        <f t="shared" si="24"/>
        <v>62718.897664000004</v>
      </c>
      <c r="N85" s="90">
        <f t="shared" si="24"/>
        <v>65175.118131200004</v>
      </c>
      <c r="O85" s="90">
        <f t="shared" si="24"/>
        <v>43142.892500000002</v>
      </c>
      <c r="P85" s="90">
        <f>I85</f>
        <v>45016.840000000004</v>
      </c>
    </row>
    <row r="86" spans="1:17" ht="15.75" customHeight="1" outlineLevel="1" x14ac:dyDescent="0.25">
      <c r="A86" s="12" t="s">
        <v>176</v>
      </c>
      <c r="D86" s="79"/>
      <c r="E86" s="79"/>
      <c r="F86" s="79"/>
      <c r="G86" s="79"/>
      <c r="H86" s="79"/>
      <c r="N86" s="90"/>
      <c r="O86" s="90"/>
      <c r="P86" s="90">
        <f>I86</f>
        <v>0</v>
      </c>
    </row>
    <row r="87" spans="1:17" ht="16.5" customHeight="1" outlineLevel="1" thickBot="1" x14ac:dyDescent="0.3">
      <c r="A87" s="86" t="s">
        <v>44</v>
      </c>
      <c r="B87" s="86"/>
      <c r="C87" s="87"/>
      <c r="D87" s="88">
        <f>SUM(D84:D86)</f>
        <v>126376.12920000001</v>
      </c>
      <c r="E87" s="88">
        <f t="shared" ref="E87:M87" si="25">SUM(E84:E86)</f>
        <v>139065.012697878</v>
      </c>
      <c r="F87" s="88">
        <f t="shared" si="25"/>
        <v>140252.1065830093</v>
      </c>
      <c r="G87" s="88">
        <f t="shared" si="25"/>
        <v>167318.68560660462</v>
      </c>
      <c r="H87" s="88">
        <f t="shared" si="25"/>
        <v>195951.17036518489</v>
      </c>
      <c r="I87" s="88">
        <f t="shared" si="25"/>
        <v>227936.90949285612</v>
      </c>
      <c r="J87" s="88">
        <f t="shared" si="25"/>
        <v>261926.5529591575</v>
      </c>
      <c r="K87" s="88">
        <f t="shared" si="25"/>
        <v>291929.50335144246</v>
      </c>
      <c r="L87" s="88">
        <f t="shared" si="25"/>
        <v>333219.64921248733</v>
      </c>
      <c r="M87" s="88">
        <f t="shared" si="25"/>
        <v>376908.92374090204</v>
      </c>
      <c r="N87" s="95">
        <f>SUM(N84:N86)</f>
        <v>424267.56060770148</v>
      </c>
      <c r="O87" s="95">
        <f>SUM(O84:O86)</f>
        <v>220307.39492210798</v>
      </c>
      <c r="P87" s="96">
        <f>SUM(P84:P86)</f>
        <v>227936.90949285612</v>
      </c>
    </row>
    <row r="88" spans="1:17" ht="16.5" customHeight="1" outlineLevel="1" thickTop="1" x14ac:dyDescent="0.25">
      <c r="A88" s="66"/>
      <c r="B88" s="66"/>
      <c r="C88" s="67"/>
      <c r="D88" s="68"/>
      <c r="E88" s="68"/>
      <c r="F88" s="68"/>
      <c r="G88" s="68"/>
      <c r="H88" s="68"/>
      <c r="I88" s="66"/>
      <c r="J88" s="66"/>
      <c r="K88" s="66"/>
      <c r="L88" s="66"/>
      <c r="M88" s="66"/>
      <c r="N88" s="97"/>
      <c r="O88" s="97"/>
      <c r="P88" s="98"/>
    </row>
    <row r="89" spans="1:17" ht="16.5" customHeight="1" outlineLevel="1" x14ac:dyDescent="0.25">
      <c r="A89" s="47" t="s">
        <v>45</v>
      </c>
      <c r="C89" s="89"/>
      <c r="D89" s="79"/>
      <c r="E89" s="79"/>
      <c r="F89" s="79"/>
      <c r="G89" s="79"/>
      <c r="H89" s="79"/>
      <c r="N89" s="90"/>
      <c r="O89" s="90"/>
      <c r="P89" s="90"/>
    </row>
    <row r="90" spans="1:17" ht="16.5" customHeight="1" outlineLevel="1" x14ac:dyDescent="0.25">
      <c r="A90" s="76" t="s">
        <v>154</v>
      </c>
      <c r="C90" s="89"/>
      <c r="D90" s="79"/>
      <c r="E90" s="79"/>
      <c r="F90" s="79"/>
      <c r="G90" s="79"/>
      <c r="H90" s="79"/>
      <c r="N90" s="90"/>
      <c r="O90" s="90"/>
      <c r="P90" s="90">
        <f>I90</f>
        <v>0</v>
      </c>
    </row>
    <row r="91" spans="1:17" ht="16.5" customHeight="1" outlineLevel="1" x14ac:dyDescent="0.25">
      <c r="A91" s="12" t="s">
        <v>46</v>
      </c>
      <c r="C91" s="89"/>
      <c r="D91" s="79">
        <v>3902.3</v>
      </c>
      <c r="E91" s="79">
        <v>4800.4000000000005</v>
      </c>
      <c r="F91" s="79">
        <v>4912.3</v>
      </c>
      <c r="G91" s="79">
        <v>5265.4000000000005</v>
      </c>
      <c r="H91" s="79">
        <v>5671</v>
      </c>
      <c r="I91" s="14">
        <f t="shared" ref="I91:O91" si="26">I64*I54/I5</f>
        <v>7061.086487671233</v>
      </c>
      <c r="J91" s="14">
        <f t="shared" si="26"/>
        <v>7952.1283539726046</v>
      </c>
      <c r="K91" s="14">
        <f t="shared" si="26"/>
        <v>8950.7677286575363</v>
      </c>
      <c r="L91" s="14">
        <f t="shared" si="26"/>
        <v>9950.8092609344294</v>
      </c>
      <c r="M91" s="14">
        <f t="shared" si="26"/>
        <v>11015.791214274544</v>
      </c>
      <c r="N91" s="93">
        <f t="shared" si="26"/>
        <v>11786.896599273763</v>
      </c>
      <c r="O91" s="93">
        <f t="shared" si="26"/>
        <v>7080.4850769230779</v>
      </c>
      <c r="P91" s="90">
        <f>I91</f>
        <v>7061.086487671233</v>
      </c>
    </row>
    <row r="92" spans="1:17" s="47" customFormat="1" ht="16.5" customHeight="1" outlineLevel="1" x14ac:dyDescent="0.25">
      <c r="A92" s="134" t="s">
        <v>156</v>
      </c>
      <c r="B92" s="52"/>
      <c r="C92" s="99"/>
      <c r="D92" s="77">
        <f t="shared" ref="D92:M92" si="27">SUM(D90:D91)</f>
        <v>3902.3</v>
      </c>
      <c r="E92" s="77">
        <f t="shared" si="27"/>
        <v>4800.4000000000005</v>
      </c>
      <c r="F92" s="77">
        <f t="shared" si="27"/>
        <v>4912.3</v>
      </c>
      <c r="G92" s="77">
        <f t="shared" si="27"/>
        <v>5265.4000000000005</v>
      </c>
      <c r="H92" s="77">
        <f t="shared" si="27"/>
        <v>5671</v>
      </c>
      <c r="I92" s="77">
        <f t="shared" si="27"/>
        <v>7061.086487671233</v>
      </c>
      <c r="J92" s="77">
        <f t="shared" si="27"/>
        <v>7952.1283539726046</v>
      </c>
      <c r="K92" s="77">
        <f t="shared" si="27"/>
        <v>8950.7677286575363</v>
      </c>
      <c r="L92" s="77">
        <f t="shared" si="27"/>
        <v>9950.8092609344294</v>
      </c>
      <c r="M92" s="77">
        <f t="shared" si="27"/>
        <v>11015.791214274544</v>
      </c>
      <c r="N92" s="95">
        <f>SUM(N90:N91)</f>
        <v>11786.896599273763</v>
      </c>
      <c r="O92" s="95">
        <f>SUM(O90:O91)</f>
        <v>7080.4850769230779</v>
      </c>
      <c r="P92" s="95">
        <f>SUM(P90:P91)</f>
        <v>7061.086487671233</v>
      </c>
    </row>
    <row r="93" spans="1:17" ht="15.75" customHeight="1" outlineLevel="1" x14ac:dyDescent="0.25">
      <c r="A93" s="12" t="s">
        <v>155</v>
      </c>
      <c r="D93" s="79">
        <v>50000</v>
      </c>
      <c r="E93" s="79">
        <v>50000</v>
      </c>
      <c r="F93" s="79">
        <v>30000</v>
      </c>
      <c r="G93" s="79">
        <v>30000</v>
      </c>
      <c r="H93" s="79">
        <v>30000</v>
      </c>
      <c r="I93" s="12">
        <f t="shared" ref="I93:O93" si="28">I147</f>
        <v>30000</v>
      </c>
      <c r="J93" s="12">
        <f t="shared" si="28"/>
        <v>30000</v>
      </c>
      <c r="K93" s="12">
        <f t="shared" si="28"/>
        <v>10000</v>
      </c>
      <c r="L93" s="12">
        <f t="shared" si="28"/>
        <v>10000</v>
      </c>
      <c r="M93" s="12">
        <f t="shared" si="28"/>
        <v>10000</v>
      </c>
      <c r="N93" s="90">
        <f t="shared" si="28"/>
        <v>10000</v>
      </c>
      <c r="O93" s="90">
        <f t="shared" si="28"/>
        <v>30000</v>
      </c>
      <c r="P93" s="90">
        <f>I93</f>
        <v>30000</v>
      </c>
    </row>
    <row r="94" spans="1:17" ht="15.75" customHeight="1" outlineLevel="1" x14ac:dyDescent="0.25">
      <c r="A94" s="52" t="s">
        <v>47</v>
      </c>
      <c r="B94" s="52"/>
      <c r="C94" s="53"/>
      <c r="D94" s="77">
        <f t="shared" ref="D94:M94" si="29">SUM(D92:D93)</f>
        <v>53902.3</v>
      </c>
      <c r="E94" s="77">
        <f t="shared" si="29"/>
        <v>54800.4</v>
      </c>
      <c r="F94" s="77">
        <f t="shared" si="29"/>
        <v>34912.300000000003</v>
      </c>
      <c r="G94" s="77">
        <f t="shared" si="29"/>
        <v>35265.4</v>
      </c>
      <c r="H94" s="77">
        <f t="shared" si="29"/>
        <v>35671</v>
      </c>
      <c r="I94" s="77">
        <f t="shared" si="29"/>
        <v>37061.086487671229</v>
      </c>
      <c r="J94" s="77">
        <f t="shared" si="29"/>
        <v>37952.128353972606</v>
      </c>
      <c r="K94" s="77">
        <f t="shared" si="29"/>
        <v>18950.767728657534</v>
      </c>
      <c r="L94" s="77">
        <f t="shared" si="29"/>
        <v>19950.809260934431</v>
      </c>
      <c r="M94" s="77">
        <f t="shared" si="29"/>
        <v>21015.791214274544</v>
      </c>
      <c r="N94" s="95">
        <f>SUM(N92:N93)</f>
        <v>21786.896599273765</v>
      </c>
      <c r="O94" s="95">
        <f>SUM(O92:O93)</f>
        <v>37080.485076923076</v>
      </c>
      <c r="P94" s="95">
        <f>SUM(P92:P93)</f>
        <v>37061.086487671229</v>
      </c>
      <c r="Q94" s="135"/>
    </row>
    <row r="95" spans="1:17" outlineLevel="1" x14ac:dyDescent="0.25">
      <c r="A95" s="47" t="s">
        <v>48</v>
      </c>
      <c r="D95" s="79"/>
      <c r="E95" s="79"/>
      <c r="F95" s="79"/>
      <c r="G95" s="79"/>
      <c r="H95" s="79"/>
    </row>
    <row r="96" spans="1:17" outlineLevel="1" x14ac:dyDescent="0.25">
      <c r="A96" s="12" t="s">
        <v>49</v>
      </c>
      <c r="D96" s="79">
        <v>70000</v>
      </c>
      <c r="E96" s="79">
        <v>70000</v>
      </c>
      <c r="F96" s="79">
        <v>70000</v>
      </c>
      <c r="G96" s="79">
        <v>70000</v>
      </c>
      <c r="H96" s="79">
        <v>70000</v>
      </c>
      <c r="I96" s="12">
        <f t="shared" ref="I96:N96" si="30">H96+I57</f>
        <v>70000</v>
      </c>
      <c r="J96" s="12">
        <f t="shared" si="30"/>
        <v>70000</v>
      </c>
      <c r="K96" s="12">
        <f t="shared" si="30"/>
        <v>70000</v>
      </c>
      <c r="L96" s="12">
        <f t="shared" si="30"/>
        <v>70000</v>
      </c>
      <c r="M96" s="12">
        <f t="shared" si="30"/>
        <v>70000</v>
      </c>
      <c r="N96" s="12">
        <f t="shared" si="30"/>
        <v>70000</v>
      </c>
      <c r="O96" s="12">
        <f>H96+O57</f>
        <v>70000</v>
      </c>
      <c r="P96" s="12">
        <f>I96</f>
        <v>70000</v>
      </c>
    </row>
    <row r="97" spans="1:16" outlineLevel="1" x14ac:dyDescent="0.25">
      <c r="A97" s="12" t="s">
        <v>50</v>
      </c>
      <c r="D97" s="79">
        <v>2473.8292000000001</v>
      </c>
      <c r="E97" s="79">
        <v>14264.612697877968</v>
      </c>
      <c r="F97" s="79">
        <v>35339.806583009296</v>
      </c>
      <c r="G97" s="79">
        <v>62053.285606604608</v>
      </c>
      <c r="H97" s="79">
        <v>90280.170365184895</v>
      </c>
      <c r="I97" s="12">
        <f t="shared" ref="I97:N97" si="31">+H97+I75-I58</f>
        <v>120875.8230051849</v>
      </c>
      <c r="J97" s="12">
        <f t="shared" si="31"/>
        <v>153974.42460518487</v>
      </c>
      <c r="K97" s="12">
        <f t="shared" si="31"/>
        <v>202978.73562278488</v>
      </c>
      <c r="L97" s="12">
        <f t="shared" si="31"/>
        <v>243268.83995155289</v>
      </c>
      <c r="M97" s="12">
        <f t="shared" si="31"/>
        <v>285893.13252662745</v>
      </c>
      <c r="N97" s="12">
        <f t="shared" si="31"/>
        <v>332480.66400842764</v>
      </c>
      <c r="O97" s="12">
        <f>+H97+O75-O58</f>
        <v>113226.90984518488</v>
      </c>
      <c r="P97" s="12">
        <f>I97</f>
        <v>120875.8230051849</v>
      </c>
    </row>
    <row r="98" spans="1:16" outlineLevel="1" x14ac:dyDescent="0.25">
      <c r="A98" s="101" t="s">
        <v>48</v>
      </c>
      <c r="B98" s="101"/>
      <c r="C98" s="102"/>
      <c r="D98" s="84">
        <f t="shared" ref="D98:P98" si="32">SUM(D96:D97)</f>
        <v>72473.829200000007</v>
      </c>
      <c r="E98" s="84">
        <f t="shared" si="32"/>
        <v>84264.612697877965</v>
      </c>
      <c r="F98" s="84">
        <f t="shared" si="32"/>
        <v>105339.8065830093</v>
      </c>
      <c r="G98" s="84">
        <f t="shared" si="32"/>
        <v>132053.28560660459</v>
      </c>
      <c r="H98" s="84">
        <f t="shared" si="32"/>
        <v>160280.17036518489</v>
      </c>
      <c r="I98" s="101">
        <f t="shared" si="32"/>
        <v>190875.82300518488</v>
      </c>
      <c r="J98" s="101">
        <f t="shared" si="32"/>
        <v>223974.42460518487</v>
      </c>
      <c r="K98" s="101">
        <f t="shared" si="32"/>
        <v>272978.73562278488</v>
      </c>
      <c r="L98" s="101">
        <f t="shared" si="32"/>
        <v>313268.83995155292</v>
      </c>
      <c r="M98" s="101">
        <f t="shared" si="32"/>
        <v>355893.13252662745</v>
      </c>
      <c r="N98" s="101">
        <f t="shared" si="32"/>
        <v>402480.66400842764</v>
      </c>
      <c r="O98" s="101">
        <f t="shared" si="32"/>
        <v>183226.90984518488</v>
      </c>
      <c r="P98" s="101">
        <f t="shared" si="32"/>
        <v>190875.82300518488</v>
      </c>
    </row>
    <row r="99" spans="1:16" ht="18.75" outlineLevel="1" thickBot="1" x14ac:dyDescent="0.3">
      <c r="A99" s="86" t="s">
        <v>51</v>
      </c>
      <c r="B99" s="86"/>
      <c r="C99" s="87"/>
      <c r="D99" s="88">
        <f>D94+D98</f>
        <v>126376.12920000001</v>
      </c>
      <c r="E99" s="88">
        <f>E94+E98</f>
        <v>139065.01269787797</v>
      </c>
      <c r="F99" s="88">
        <f>F94+F98</f>
        <v>140252.1065830093</v>
      </c>
      <c r="G99" s="88">
        <f>G94+G98</f>
        <v>167318.68560660459</v>
      </c>
      <c r="H99" s="88">
        <f>H94+H98</f>
        <v>195951.17036518489</v>
      </c>
      <c r="I99" s="86">
        <f t="shared" ref="I99:P99" si="33">I98+I94</f>
        <v>227936.90949285612</v>
      </c>
      <c r="J99" s="86">
        <f t="shared" si="33"/>
        <v>261926.55295915747</v>
      </c>
      <c r="K99" s="86">
        <f t="shared" si="33"/>
        <v>291929.5033514424</v>
      </c>
      <c r="L99" s="86">
        <f t="shared" si="33"/>
        <v>333219.64921248733</v>
      </c>
      <c r="M99" s="86">
        <f t="shared" si="33"/>
        <v>376908.92374090198</v>
      </c>
      <c r="N99" s="86">
        <f t="shared" si="33"/>
        <v>424267.56060770142</v>
      </c>
      <c r="O99" s="86">
        <f t="shared" si="33"/>
        <v>220307.39492210795</v>
      </c>
      <c r="P99" s="86">
        <f t="shared" si="33"/>
        <v>227936.90949285612</v>
      </c>
    </row>
    <row r="100" spans="1:16" ht="18.75" outlineLevel="1" thickTop="1" x14ac:dyDescent="0.25">
      <c r="D100" s="79"/>
      <c r="E100" s="79"/>
      <c r="F100" s="79"/>
      <c r="G100" s="79"/>
      <c r="H100" s="79"/>
    </row>
    <row r="101" spans="1:16" outlineLevel="1" x14ac:dyDescent="0.25">
      <c r="A101" s="30" t="s">
        <v>52</v>
      </c>
      <c r="B101" s="103"/>
      <c r="C101" s="104"/>
      <c r="D101" s="103">
        <f t="shared" ref="D101:M101" si="34">D99-D87</f>
        <v>0</v>
      </c>
      <c r="E101" s="103">
        <f t="shared" si="34"/>
        <v>0</v>
      </c>
      <c r="F101" s="103">
        <f t="shared" si="34"/>
        <v>0</v>
      </c>
      <c r="G101" s="103">
        <f t="shared" si="34"/>
        <v>0</v>
      </c>
      <c r="H101" s="103">
        <f t="shared" si="34"/>
        <v>0</v>
      </c>
      <c r="I101" s="103">
        <f t="shared" si="34"/>
        <v>0</v>
      </c>
      <c r="J101" s="103">
        <f t="shared" si="34"/>
        <v>0</v>
      </c>
      <c r="K101" s="103">
        <f t="shared" si="34"/>
        <v>0</v>
      </c>
      <c r="L101" s="103">
        <f t="shared" si="34"/>
        <v>0</v>
      </c>
      <c r="M101" s="103">
        <f t="shared" si="34"/>
        <v>0</v>
      </c>
      <c r="N101" s="103">
        <f>N99-N87</f>
        <v>0</v>
      </c>
      <c r="O101" s="103">
        <f>O99-O87</f>
        <v>0</v>
      </c>
      <c r="P101" s="103">
        <f>P99-P87</f>
        <v>0</v>
      </c>
    </row>
    <row r="102" spans="1:16" outlineLevel="1" x14ac:dyDescent="0.25">
      <c r="A102" s="103"/>
      <c r="B102" s="103"/>
      <c r="C102" s="104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</row>
    <row r="103" spans="1:16" x14ac:dyDescent="0.25">
      <c r="D103" s="79"/>
      <c r="E103" s="79"/>
      <c r="F103" s="79"/>
      <c r="G103" s="79"/>
      <c r="H103" s="79"/>
    </row>
    <row r="104" spans="1:16" x14ac:dyDescent="0.25">
      <c r="A104" s="22" t="s">
        <v>53</v>
      </c>
      <c r="B104" s="22"/>
      <c r="C104" s="23"/>
      <c r="D104" s="24">
        <f t="shared" ref="D104:P104" si="35">D$2</f>
        <v>2012</v>
      </c>
      <c r="E104" s="24">
        <f t="shared" si="35"/>
        <v>2013</v>
      </c>
      <c r="F104" s="24">
        <f t="shared" si="35"/>
        <v>2014</v>
      </c>
      <c r="G104" s="24">
        <f t="shared" si="35"/>
        <v>2015</v>
      </c>
      <c r="H104" s="24">
        <f t="shared" si="35"/>
        <v>2016</v>
      </c>
      <c r="I104" s="25">
        <f t="shared" si="35"/>
        <v>2017</v>
      </c>
      <c r="J104" s="25">
        <f t="shared" si="35"/>
        <v>2018</v>
      </c>
      <c r="K104" s="25">
        <f t="shared" si="35"/>
        <v>2019</v>
      </c>
      <c r="L104" s="25">
        <f t="shared" si="35"/>
        <v>2020</v>
      </c>
      <c r="M104" s="25">
        <f t="shared" si="35"/>
        <v>2021</v>
      </c>
      <c r="N104" s="25">
        <f t="shared" si="35"/>
        <v>2022</v>
      </c>
      <c r="O104" s="26">
        <f t="shared" si="35"/>
        <v>43008</v>
      </c>
      <c r="P104" s="26">
        <f t="shared" si="35"/>
        <v>43100</v>
      </c>
    </row>
    <row r="105" spans="1:16" outlineLevel="1" x14ac:dyDescent="0.25">
      <c r="A105" s="47"/>
      <c r="D105" s="68"/>
      <c r="E105" s="79"/>
      <c r="F105" s="79"/>
      <c r="G105" s="79"/>
      <c r="H105" s="79"/>
    </row>
    <row r="106" spans="1:16" outlineLevel="1" x14ac:dyDescent="0.25">
      <c r="A106" s="47" t="s">
        <v>54</v>
      </c>
      <c r="D106" s="79"/>
      <c r="E106" s="79"/>
      <c r="F106" s="79"/>
      <c r="G106" s="79"/>
      <c r="H106" s="79"/>
    </row>
    <row r="107" spans="1:16" outlineLevel="1" x14ac:dyDescent="0.25">
      <c r="A107" s="12" t="s">
        <v>37</v>
      </c>
      <c r="D107" s="12">
        <f t="shared" ref="D107:N107" si="36">D75</f>
        <v>2473.8292000000001</v>
      </c>
      <c r="E107" s="12">
        <f t="shared" si="36"/>
        <v>11790.783497877968</v>
      </c>
      <c r="F107" s="12">
        <f t="shared" si="36"/>
        <v>21075.193885131324</v>
      </c>
      <c r="G107" s="12">
        <f t="shared" si="36"/>
        <v>26713.479023595311</v>
      </c>
      <c r="H107" s="12">
        <f t="shared" si="36"/>
        <v>28226.884758580287</v>
      </c>
      <c r="I107" s="12">
        <f t="shared" si="36"/>
        <v>30595.652640000004</v>
      </c>
      <c r="J107" s="12">
        <f t="shared" si="36"/>
        <v>33098.601599999995</v>
      </c>
      <c r="K107" s="12">
        <f t="shared" si="36"/>
        <v>49004.311017600005</v>
      </c>
      <c r="L107" s="12">
        <f t="shared" si="36"/>
        <v>40290.104328768008</v>
      </c>
      <c r="M107" s="12">
        <f t="shared" si="36"/>
        <v>42824.292575074571</v>
      </c>
      <c r="N107" s="12">
        <f t="shared" si="36"/>
        <v>46787.531481800179</v>
      </c>
      <c r="O107" s="12">
        <f>O75</f>
        <v>22946.739479999997</v>
      </c>
      <c r="P107" s="12">
        <f>P75</f>
        <v>7648.913160000001</v>
      </c>
    </row>
    <row r="108" spans="1:16" outlineLevel="1" x14ac:dyDescent="0.25">
      <c r="A108" s="12" t="s">
        <v>55</v>
      </c>
      <c r="D108" s="79">
        <v>19500</v>
      </c>
      <c r="E108" s="79">
        <v>18150</v>
      </c>
      <c r="F108" s="79">
        <v>17205</v>
      </c>
      <c r="G108" s="79">
        <v>16543.5</v>
      </c>
      <c r="H108" s="79">
        <v>16080.449999999999</v>
      </c>
      <c r="I108" s="12">
        <f t="shared" ref="I108:N108" si="37">I69</f>
        <v>7504.2100000000009</v>
      </c>
      <c r="J108" s="12">
        <f t="shared" si="37"/>
        <v>9003.3680000000004</v>
      </c>
      <c r="K108" s="12">
        <f t="shared" si="37"/>
        <v>10202.6944</v>
      </c>
      <c r="L108" s="12">
        <f t="shared" si="37"/>
        <v>11162.155520000002</v>
      </c>
      <c r="M108" s="12">
        <f t="shared" si="37"/>
        <v>11929.724416000001</v>
      </c>
      <c r="N108" s="12">
        <f t="shared" si="37"/>
        <v>12543.779532800001</v>
      </c>
      <c r="O108" s="12">
        <f>O69</f>
        <v>5628.1575000000012</v>
      </c>
      <c r="P108" s="12">
        <f>P69</f>
        <v>1876.0525000000002</v>
      </c>
    </row>
    <row r="109" spans="1:16" outlineLevel="1" x14ac:dyDescent="0.25">
      <c r="A109" s="12" t="s">
        <v>56</v>
      </c>
      <c r="D109" s="79">
        <v>9002.6500000000015</v>
      </c>
      <c r="E109" s="79">
        <v>1702.0499999999993</v>
      </c>
      <c r="F109" s="79">
        <v>774.84999999999854</v>
      </c>
      <c r="G109" s="79">
        <v>902.90000000000146</v>
      </c>
      <c r="H109" s="79">
        <v>827.14999999999782</v>
      </c>
      <c r="I109" s="12">
        <f t="shared" ref="I109:N109" si="38">I136</f>
        <v>3175.3921972602766</v>
      </c>
      <c r="J109" s="12">
        <f t="shared" si="38"/>
        <v>4002.6454871232854</v>
      </c>
      <c r="K109" s="12">
        <f t="shared" si="38"/>
        <v>4749.284954082199</v>
      </c>
      <c r="L109" s="12">
        <f t="shared" si="38"/>
        <v>2563.9788176489965</v>
      </c>
      <c r="M109" s="12">
        <f t="shared" si="38"/>
        <v>2705.7889814068731</v>
      </c>
      <c r="N109" s="12">
        <f t="shared" si="38"/>
        <v>2128.4683306265179</v>
      </c>
      <c r="O109" s="12">
        <f>O136</f>
        <v>3220.4059120879174</v>
      </c>
      <c r="P109" s="12">
        <f>P136</f>
        <v>-45.013714827640797</v>
      </c>
    </row>
    <row r="110" spans="1:16" outlineLevel="1" x14ac:dyDescent="0.25">
      <c r="A110" s="52" t="s">
        <v>57</v>
      </c>
      <c r="B110" s="16"/>
      <c r="C110" s="105"/>
      <c r="D110" s="77">
        <f t="shared" ref="D110:N110" si="39">D107+D108-D109</f>
        <v>12971.179199999999</v>
      </c>
      <c r="E110" s="77">
        <f t="shared" si="39"/>
        <v>28238.733497877969</v>
      </c>
      <c r="F110" s="77">
        <f t="shared" si="39"/>
        <v>37505.343885131326</v>
      </c>
      <c r="G110" s="77">
        <f t="shared" si="39"/>
        <v>42354.07902359531</v>
      </c>
      <c r="H110" s="77">
        <f t="shared" si="39"/>
        <v>43480.18475858029</v>
      </c>
      <c r="I110" s="77">
        <f t="shared" si="39"/>
        <v>34924.47044273973</v>
      </c>
      <c r="J110" s="77">
        <f t="shared" si="39"/>
        <v>38099.324112876711</v>
      </c>
      <c r="K110" s="77">
        <f t="shared" si="39"/>
        <v>54457.720463517806</v>
      </c>
      <c r="L110" s="77">
        <f t="shared" si="39"/>
        <v>48888.281031119011</v>
      </c>
      <c r="M110" s="77">
        <f t="shared" si="39"/>
        <v>52048.228009667699</v>
      </c>
      <c r="N110" s="77">
        <f t="shared" si="39"/>
        <v>57202.842683973664</v>
      </c>
      <c r="O110" s="77">
        <f>O107+O108-O109</f>
        <v>25354.49106791208</v>
      </c>
      <c r="P110" s="77">
        <f>P107+P108-P109</f>
        <v>9569.9793748276425</v>
      </c>
    </row>
    <row r="111" spans="1:16" outlineLevel="1" x14ac:dyDescent="0.25">
      <c r="A111" s="66"/>
      <c r="B111" s="57"/>
      <c r="C111" s="58"/>
      <c r="D111" s="68"/>
      <c r="E111" s="68"/>
      <c r="F111" s="68"/>
      <c r="G111" s="68"/>
      <c r="H111" s="68"/>
      <c r="I111" s="66"/>
      <c r="J111" s="66"/>
      <c r="K111" s="66"/>
      <c r="L111" s="66"/>
      <c r="M111" s="66"/>
      <c r="N111" s="66"/>
      <c r="O111" s="66"/>
      <c r="P111" s="66"/>
    </row>
    <row r="112" spans="1:16" outlineLevel="1" x14ac:dyDescent="0.25">
      <c r="A112" s="47" t="s">
        <v>58</v>
      </c>
      <c r="D112" s="74"/>
      <c r="E112" s="74"/>
      <c r="F112" s="74"/>
      <c r="G112" s="74"/>
      <c r="H112" s="74"/>
      <c r="I112" s="57"/>
      <c r="J112" s="57"/>
      <c r="K112" s="57"/>
      <c r="L112" s="57"/>
      <c r="M112" s="57"/>
      <c r="N112" s="57"/>
      <c r="O112" s="57"/>
      <c r="P112" s="57"/>
    </row>
    <row r="113" spans="1:16" outlineLevel="1" x14ac:dyDescent="0.25">
      <c r="A113" s="12" t="s">
        <v>59</v>
      </c>
      <c r="D113" s="74">
        <v>-15000</v>
      </c>
      <c r="E113" s="74">
        <v>-15000</v>
      </c>
      <c r="F113" s="74">
        <v>-15000</v>
      </c>
      <c r="G113" s="74">
        <v>-15000</v>
      </c>
      <c r="H113" s="74">
        <v>-15000</v>
      </c>
      <c r="I113" s="57">
        <f t="shared" ref="I113:P113" si="40">-I140</f>
        <v>-15000</v>
      </c>
      <c r="J113" s="57">
        <f t="shared" si="40"/>
        <v>-15000</v>
      </c>
      <c r="K113" s="57">
        <f t="shared" si="40"/>
        <v>-15000</v>
      </c>
      <c r="L113" s="57">
        <f t="shared" si="40"/>
        <v>-15000</v>
      </c>
      <c r="M113" s="57">
        <f t="shared" si="40"/>
        <v>-15000</v>
      </c>
      <c r="N113" s="57">
        <f t="shared" si="40"/>
        <v>-15000</v>
      </c>
      <c r="O113" s="57">
        <f t="shared" si="40"/>
        <v>-11250</v>
      </c>
      <c r="P113" s="57">
        <f t="shared" si="40"/>
        <v>-3750</v>
      </c>
    </row>
    <row r="114" spans="1:16" outlineLevel="1" x14ac:dyDescent="0.25">
      <c r="A114" s="12" t="s">
        <v>189</v>
      </c>
      <c r="D114" s="74"/>
      <c r="E114" s="74"/>
      <c r="F114" s="74"/>
      <c r="G114" s="74"/>
      <c r="H114" s="74"/>
      <c r="I114" s="57"/>
      <c r="J114" s="57"/>
      <c r="K114" s="57"/>
      <c r="L114" s="57"/>
      <c r="M114" s="57"/>
      <c r="N114" s="57"/>
      <c r="O114" s="57"/>
      <c r="P114" s="57"/>
    </row>
    <row r="115" spans="1:16" outlineLevel="1" x14ac:dyDescent="0.25">
      <c r="A115" s="52" t="s">
        <v>60</v>
      </c>
      <c r="B115" s="16"/>
      <c r="C115" s="105"/>
      <c r="D115" s="77">
        <f>SUM(D113:D114)</f>
        <v>-15000</v>
      </c>
      <c r="E115" s="77">
        <f t="shared" ref="E115:N115" si="41">SUM(E113:E114)</f>
        <v>-15000</v>
      </c>
      <c r="F115" s="77">
        <f t="shared" si="41"/>
        <v>-15000</v>
      </c>
      <c r="G115" s="77">
        <f t="shared" si="41"/>
        <v>-15000</v>
      </c>
      <c r="H115" s="77">
        <f t="shared" si="41"/>
        <v>-15000</v>
      </c>
      <c r="I115" s="77">
        <f t="shared" si="41"/>
        <v>-15000</v>
      </c>
      <c r="J115" s="77">
        <f t="shared" si="41"/>
        <v>-15000</v>
      </c>
      <c r="K115" s="77">
        <f t="shared" si="41"/>
        <v>-15000</v>
      </c>
      <c r="L115" s="77">
        <f t="shared" si="41"/>
        <v>-15000</v>
      </c>
      <c r="M115" s="77">
        <f t="shared" si="41"/>
        <v>-15000</v>
      </c>
      <c r="N115" s="77">
        <f t="shared" si="41"/>
        <v>-15000</v>
      </c>
      <c r="O115" s="77">
        <f>SUM(O113:O114)</f>
        <v>-11250</v>
      </c>
      <c r="P115" s="77">
        <f>SUM(P113:P114)</f>
        <v>-3750</v>
      </c>
    </row>
    <row r="116" spans="1:16" outlineLevel="1" x14ac:dyDescent="0.25">
      <c r="A116" s="66"/>
      <c r="B116" s="57"/>
      <c r="C116" s="58"/>
      <c r="D116" s="68"/>
      <c r="E116" s="68"/>
      <c r="F116" s="68"/>
      <c r="G116" s="68"/>
      <c r="H116" s="68"/>
      <c r="I116" s="66"/>
      <c r="J116" s="66"/>
      <c r="K116" s="66"/>
      <c r="L116" s="66"/>
      <c r="M116" s="66"/>
      <c r="N116" s="66"/>
      <c r="O116" s="66"/>
      <c r="P116" s="66"/>
    </row>
    <row r="117" spans="1:16" outlineLevel="1" x14ac:dyDescent="0.25">
      <c r="A117" s="47" t="s">
        <v>61</v>
      </c>
      <c r="D117" s="74"/>
      <c r="E117" s="74"/>
      <c r="F117" s="74"/>
      <c r="G117" s="74"/>
      <c r="H117" s="74"/>
      <c r="I117" s="57"/>
      <c r="J117" s="57"/>
      <c r="K117" s="57"/>
      <c r="L117" s="57"/>
      <c r="M117" s="57"/>
      <c r="N117" s="57"/>
      <c r="O117" s="57"/>
      <c r="P117" s="57"/>
    </row>
    <row r="118" spans="1:16" outlineLevel="1" x14ac:dyDescent="0.25">
      <c r="A118" s="12" t="s">
        <v>62</v>
      </c>
      <c r="D118" s="74">
        <v>0</v>
      </c>
      <c r="E118" s="74">
        <v>0</v>
      </c>
      <c r="F118" s="74">
        <v>-20000</v>
      </c>
      <c r="G118" s="74">
        <v>0</v>
      </c>
      <c r="H118" s="74">
        <v>0</v>
      </c>
      <c r="I118" s="57">
        <f t="shared" ref="I118:N118" si="42">I146</f>
        <v>0</v>
      </c>
      <c r="J118" s="57">
        <f t="shared" si="42"/>
        <v>0</v>
      </c>
      <c r="K118" s="57">
        <f t="shared" si="42"/>
        <v>-20000</v>
      </c>
      <c r="L118" s="57">
        <f t="shared" si="42"/>
        <v>0</v>
      </c>
      <c r="M118" s="57">
        <f t="shared" si="42"/>
        <v>0</v>
      </c>
      <c r="N118" s="57">
        <f t="shared" si="42"/>
        <v>0</v>
      </c>
      <c r="O118" s="57">
        <f>O146</f>
        <v>0</v>
      </c>
      <c r="P118" s="57">
        <f>P146</f>
        <v>0</v>
      </c>
    </row>
    <row r="119" spans="1:16" outlineLevel="1" x14ac:dyDescent="0.25">
      <c r="A119" s="12" t="s">
        <v>63</v>
      </c>
      <c r="D119" s="74">
        <v>70000</v>
      </c>
      <c r="E119" s="74">
        <v>0</v>
      </c>
      <c r="F119" s="74">
        <v>0</v>
      </c>
      <c r="G119" s="74">
        <v>0</v>
      </c>
      <c r="H119" s="74">
        <v>0</v>
      </c>
      <c r="I119" s="57">
        <f t="shared" ref="I119:N119" si="43">I57</f>
        <v>0</v>
      </c>
      <c r="J119" s="57">
        <f t="shared" si="43"/>
        <v>0</v>
      </c>
      <c r="K119" s="57">
        <f t="shared" si="43"/>
        <v>0</v>
      </c>
      <c r="L119" s="57">
        <f t="shared" si="43"/>
        <v>0</v>
      </c>
      <c r="M119" s="57">
        <f t="shared" si="43"/>
        <v>0</v>
      </c>
      <c r="N119" s="57">
        <f t="shared" si="43"/>
        <v>0</v>
      </c>
      <c r="O119" s="57">
        <f>O57</f>
        <v>0</v>
      </c>
      <c r="P119" s="57">
        <f>P57</f>
        <v>0</v>
      </c>
    </row>
    <row r="120" spans="1:16" outlineLevel="1" x14ac:dyDescent="0.25">
      <c r="A120" s="12" t="s">
        <v>231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57">
        <f t="shared" ref="I120:P120" si="44">-I58</f>
        <v>0</v>
      </c>
      <c r="J120" s="57">
        <f t="shared" si="44"/>
        <v>0</v>
      </c>
      <c r="K120" s="57">
        <f t="shared" si="44"/>
        <v>0</v>
      </c>
      <c r="L120" s="57">
        <f t="shared" si="44"/>
        <v>0</v>
      </c>
      <c r="M120" s="57">
        <f t="shared" si="44"/>
        <v>-200</v>
      </c>
      <c r="N120" s="57">
        <f t="shared" si="44"/>
        <v>-200</v>
      </c>
      <c r="O120" s="57">
        <f t="shared" si="44"/>
        <v>0</v>
      </c>
      <c r="P120" s="57">
        <f t="shared" si="44"/>
        <v>0</v>
      </c>
    </row>
    <row r="121" spans="1:16" outlineLevel="1" x14ac:dyDescent="0.25">
      <c r="A121" s="52" t="s">
        <v>64</v>
      </c>
      <c r="B121" s="16"/>
      <c r="C121" s="105"/>
      <c r="D121" s="77">
        <f>SUM(D118:D120)</f>
        <v>70000</v>
      </c>
      <c r="E121" s="77">
        <f t="shared" ref="E121:N121" si="45">SUM(E118:E120)</f>
        <v>0</v>
      </c>
      <c r="F121" s="77">
        <f t="shared" si="45"/>
        <v>-20000</v>
      </c>
      <c r="G121" s="77">
        <f t="shared" si="45"/>
        <v>0</v>
      </c>
      <c r="H121" s="77">
        <f t="shared" si="45"/>
        <v>0</v>
      </c>
      <c r="I121" s="77">
        <f t="shared" si="45"/>
        <v>0</v>
      </c>
      <c r="J121" s="77">
        <f t="shared" si="45"/>
        <v>0</v>
      </c>
      <c r="K121" s="77">
        <f t="shared" si="45"/>
        <v>-20000</v>
      </c>
      <c r="L121" s="77">
        <f t="shared" si="45"/>
        <v>0</v>
      </c>
      <c r="M121" s="77">
        <f t="shared" si="45"/>
        <v>-200</v>
      </c>
      <c r="N121" s="77">
        <f t="shared" si="45"/>
        <v>-200</v>
      </c>
      <c r="O121" s="77">
        <f>SUM(O118:O120)</f>
        <v>0</v>
      </c>
      <c r="P121" s="77">
        <f>SUM(P118:P120)</f>
        <v>0</v>
      </c>
    </row>
    <row r="122" spans="1:16" outlineLevel="1" x14ac:dyDescent="0.25">
      <c r="A122" s="66"/>
      <c r="B122" s="57"/>
      <c r="C122" s="58"/>
      <c r="D122" s="68"/>
      <c r="E122" s="68"/>
      <c r="F122" s="68"/>
      <c r="G122" s="68"/>
      <c r="H122" s="68"/>
      <c r="I122" s="66"/>
      <c r="J122" s="66"/>
      <c r="K122" s="66"/>
      <c r="L122" s="66"/>
      <c r="M122" s="66"/>
      <c r="N122" s="66"/>
      <c r="O122" s="66"/>
      <c r="P122" s="66"/>
    </row>
    <row r="123" spans="1:16" outlineLevel="1" x14ac:dyDescent="0.25">
      <c r="A123" s="12" t="s">
        <v>65</v>
      </c>
      <c r="D123" s="106">
        <f t="shared" ref="D123:P123" si="46">D110+D115+D121</f>
        <v>67971.179199999999</v>
      </c>
      <c r="E123" s="106">
        <f t="shared" si="46"/>
        <v>13238.733497877969</v>
      </c>
      <c r="F123" s="106">
        <f t="shared" si="46"/>
        <v>2505.3438851313258</v>
      </c>
      <c r="G123" s="106">
        <f t="shared" si="46"/>
        <v>27354.07902359531</v>
      </c>
      <c r="H123" s="106">
        <f t="shared" si="46"/>
        <v>28480.18475858029</v>
      </c>
      <c r="I123" s="106">
        <f t="shared" si="46"/>
        <v>19924.47044273973</v>
      </c>
      <c r="J123" s="106">
        <f t="shared" si="46"/>
        <v>23099.324112876711</v>
      </c>
      <c r="K123" s="106">
        <f t="shared" si="46"/>
        <v>19457.720463517806</v>
      </c>
      <c r="L123" s="106">
        <f t="shared" si="46"/>
        <v>33888.281031119011</v>
      </c>
      <c r="M123" s="106">
        <f t="shared" si="46"/>
        <v>36848.228009667699</v>
      </c>
      <c r="N123" s="106">
        <f t="shared" si="46"/>
        <v>42002.842683973664</v>
      </c>
      <c r="O123" s="106">
        <f t="shared" si="46"/>
        <v>14104.49106791208</v>
      </c>
      <c r="P123" s="106">
        <f t="shared" si="46"/>
        <v>5819.9793748276425</v>
      </c>
    </row>
    <row r="124" spans="1:16" outlineLevel="1" x14ac:dyDescent="0.25">
      <c r="A124" s="12" t="s">
        <v>66</v>
      </c>
      <c r="D124" s="74">
        <v>0</v>
      </c>
      <c r="E124" s="74">
        <v>67971.179200000013</v>
      </c>
      <c r="F124" s="74">
        <v>81209.912697877968</v>
      </c>
      <c r="G124" s="74">
        <v>83715.256583009294</v>
      </c>
      <c r="H124" s="74">
        <v>111069.33560660461</v>
      </c>
      <c r="I124" s="57">
        <f t="shared" ref="I124:N124" si="47">H125</f>
        <v>139549.5203651849</v>
      </c>
      <c r="J124" s="57">
        <f t="shared" si="47"/>
        <v>159473.99080792462</v>
      </c>
      <c r="K124" s="57">
        <f t="shared" si="47"/>
        <v>182573.31492080132</v>
      </c>
      <c r="L124" s="57">
        <f t="shared" si="47"/>
        <v>202031.03538431914</v>
      </c>
      <c r="M124" s="57">
        <f t="shared" si="47"/>
        <v>235919.31641543814</v>
      </c>
      <c r="N124" s="57">
        <f t="shared" si="47"/>
        <v>272767.54442510585</v>
      </c>
      <c r="O124" s="57">
        <f>H125</f>
        <v>139549.5203651849</v>
      </c>
      <c r="P124" s="57">
        <f>O125</f>
        <v>153654.01143309698</v>
      </c>
    </row>
    <row r="125" spans="1:16" outlineLevel="1" x14ac:dyDescent="0.25">
      <c r="A125" s="52" t="s">
        <v>67</v>
      </c>
      <c r="B125" s="16"/>
      <c r="C125" s="105"/>
      <c r="D125" s="77">
        <f>SUM(D123:D124)</f>
        <v>67971.179199999999</v>
      </c>
      <c r="E125" s="77">
        <f t="shared" ref="E125:M125" si="48">SUM(E123:E124)</f>
        <v>81209.912697877982</v>
      </c>
      <c r="F125" s="77">
        <f t="shared" si="48"/>
        <v>83715.256583009294</v>
      </c>
      <c r="G125" s="77">
        <f t="shared" si="48"/>
        <v>111069.33560660461</v>
      </c>
      <c r="H125" s="77">
        <f t="shared" si="48"/>
        <v>139549.5203651849</v>
      </c>
      <c r="I125" s="77">
        <f t="shared" si="48"/>
        <v>159473.99080792462</v>
      </c>
      <c r="J125" s="77">
        <f t="shared" si="48"/>
        <v>182573.31492080132</v>
      </c>
      <c r="K125" s="77">
        <f t="shared" si="48"/>
        <v>202031.03538431914</v>
      </c>
      <c r="L125" s="77">
        <f t="shared" si="48"/>
        <v>235919.31641543814</v>
      </c>
      <c r="M125" s="77">
        <f t="shared" si="48"/>
        <v>272767.54442510585</v>
      </c>
      <c r="N125" s="77">
        <f>SUM(N123:N124)</f>
        <v>314770.38710907951</v>
      </c>
      <c r="O125" s="77">
        <f>SUM(O123:O124)</f>
        <v>153654.01143309698</v>
      </c>
      <c r="P125" s="77">
        <f>SUM(P123:P124)</f>
        <v>159473.99080792462</v>
      </c>
    </row>
    <row r="126" spans="1:16" outlineLevel="1" x14ac:dyDescent="0.25">
      <c r="A126" s="47"/>
      <c r="D126" s="68"/>
      <c r="E126" s="79"/>
      <c r="F126" s="79"/>
      <c r="G126" s="79"/>
      <c r="H126" s="79"/>
    </row>
    <row r="127" spans="1:16" outlineLevel="1" x14ac:dyDescent="0.25">
      <c r="A127" s="47"/>
      <c r="D127" s="68"/>
      <c r="E127" s="79"/>
      <c r="F127" s="79"/>
      <c r="G127" s="79"/>
      <c r="H127" s="79"/>
    </row>
    <row r="128" spans="1:16" x14ac:dyDescent="0.25">
      <c r="D128" s="79"/>
      <c r="E128" s="79"/>
      <c r="F128" s="79"/>
      <c r="G128" s="79"/>
      <c r="H128" s="79"/>
    </row>
    <row r="129" spans="1:16" x14ac:dyDescent="0.25">
      <c r="A129" s="22" t="s">
        <v>68</v>
      </c>
      <c r="B129" s="22"/>
      <c r="C129" s="23"/>
      <c r="D129" s="24">
        <f t="shared" ref="D129:P129" si="49">D$2</f>
        <v>2012</v>
      </c>
      <c r="E129" s="24">
        <f t="shared" si="49"/>
        <v>2013</v>
      </c>
      <c r="F129" s="24">
        <f t="shared" si="49"/>
        <v>2014</v>
      </c>
      <c r="G129" s="24">
        <f t="shared" si="49"/>
        <v>2015</v>
      </c>
      <c r="H129" s="24">
        <f t="shared" si="49"/>
        <v>2016</v>
      </c>
      <c r="I129" s="25">
        <f t="shared" si="49"/>
        <v>2017</v>
      </c>
      <c r="J129" s="25">
        <f t="shared" si="49"/>
        <v>2018</v>
      </c>
      <c r="K129" s="25">
        <f t="shared" si="49"/>
        <v>2019</v>
      </c>
      <c r="L129" s="25">
        <f t="shared" si="49"/>
        <v>2020</v>
      </c>
      <c r="M129" s="25">
        <f t="shared" si="49"/>
        <v>2021</v>
      </c>
      <c r="N129" s="25">
        <f t="shared" si="49"/>
        <v>2022</v>
      </c>
      <c r="O129" s="26">
        <f t="shared" si="49"/>
        <v>43008</v>
      </c>
      <c r="P129" s="26">
        <f t="shared" si="49"/>
        <v>43100</v>
      </c>
    </row>
    <row r="130" spans="1:16" outlineLevel="1" x14ac:dyDescent="0.25">
      <c r="D130" s="79"/>
      <c r="E130" s="79"/>
      <c r="F130" s="79"/>
      <c r="G130" s="79"/>
      <c r="H130" s="79"/>
    </row>
    <row r="131" spans="1:16" outlineLevel="1" x14ac:dyDescent="0.25">
      <c r="A131" s="47" t="s">
        <v>69</v>
      </c>
      <c r="D131" s="79"/>
      <c r="E131" s="79"/>
      <c r="F131" s="79"/>
      <c r="G131" s="79"/>
      <c r="H131" s="79"/>
    </row>
    <row r="132" spans="1:16" outlineLevel="1" x14ac:dyDescent="0.25">
      <c r="A132" s="12" t="s">
        <v>41</v>
      </c>
      <c r="D132" s="79">
        <v>5100.3500000000004</v>
      </c>
      <c r="E132" s="79">
        <v>5904.3</v>
      </c>
      <c r="F132" s="79">
        <v>6567.25</v>
      </c>
      <c r="G132" s="79">
        <v>7117.05</v>
      </c>
      <c r="H132" s="79">
        <v>7538.6</v>
      </c>
      <c r="I132" s="12">
        <f t="shared" ref="I132:N133" si="50">I82</f>
        <v>8178.8646575342473</v>
      </c>
      <c r="J132" s="12">
        <f t="shared" si="50"/>
        <v>8996.7511232876732</v>
      </c>
      <c r="K132" s="12">
        <f t="shared" si="50"/>
        <v>9896.42623561644</v>
      </c>
      <c r="L132" s="12">
        <f t="shared" si="50"/>
        <v>10757.631633442625</v>
      </c>
      <c r="M132" s="12">
        <f t="shared" si="50"/>
        <v>11650.072964567677</v>
      </c>
      <c r="N132" s="12">
        <f t="shared" si="50"/>
        <v>12465.578072087414</v>
      </c>
      <c r="O132" s="12">
        <f>O82</f>
        <v>8201.3340659340665</v>
      </c>
      <c r="P132" s="12">
        <f>P82</f>
        <v>8178.8646575342473</v>
      </c>
    </row>
    <row r="133" spans="1:16" outlineLevel="1" x14ac:dyDescent="0.25">
      <c r="A133" s="12" t="s">
        <v>42</v>
      </c>
      <c r="D133" s="79">
        <v>7804.6</v>
      </c>
      <c r="E133" s="79">
        <v>9600.8000000000011</v>
      </c>
      <c r="F133" s="79">
        <v>9824.6</v>
      </c>
      <c r="G133" s="79">
        <v>10530.800000000001</v>
      </c>
      <c r="H133" s="79">
        <v>11342</v>
      </c>
      <c r="I133" s="12">
        <f t="shared" si="50"/>
        <v>15267.21402739726</v>
      </c>
      <c r="J133" s="12">
        <f t="shared" si="50"/>
        <v>19343.014915068496</v>
      </c>
      <c r="K133" s="12">
        <f t="shared" si="50"/>
        <v>24191.264131506854</v>
      </c>
      <c r="L133" s="12">
        <f t="shared" si="50"/>
        <v>26894.079083606564</v>
      </c>
      <c r="M133" s="12">
        <f t="shared" si="50"/>
        <v>29772.408687228501</v>
      </c>
      <c r="N133" s="12">
        <f t="shared" si="50"/>
        <v>31856.477295334498</v>
      </c>
      <c r="O133" s="12">
        <f>O83</f>
        <v>15309.156923076926</v>
      </c>
      <c r="P133" s="12">
        <f>P83</f>
        <v>15267.21402739726</v>
      </c>
    </row>
    <row r="134" spans="1:16" outlineLevel="1" x14ac:dyDescent="0.25">
      <c r="A134" s="12" t="s">
        <v>46</v>
      </c>
      <c r="D134" s="79">
        <v>3902.3</v>
      </c>
      <c r="E134" s="79">
        <v>4800.4000000000005</v>
      </c>
      <c r="F134" s="79">
        <v>4912.3</v>
      </c>
      <c r="G134" s="79">
        <v>5265.4000000000005</v>
      </c>
      <c r="H134" s="79">
        <v>5671</v>
      </c>
      <c r="I134" s="12">
        <f t="shared" ref="I134:N134" si="51">I91</f>
        <v>7061.086487671233</v>
      </c>
      <c r="J134" s="12">
        <f t="shared" si="51"/>
        <v>7952.1283539726046</v>
      </c>
      <c r="K134" s="12">
        <f t="shared" si="51"/>
        <v>8950.7677286575363</v>
      </c>
      <c r="L134" s="12">
        <f t="shared" si="51"/>
        <v>9950.8092609344294</v>
      </c>
      <c r="M134" s="12">
        <f t="shared" si="51"/>
        <v>11015.791214274544</v>
      </c>
      <c r="N134" s="12">
        <f t="shared" si="51"/>
        <v>11786.896599273763</v>
      </c>
      <c r="O134" s="12">
        <f>O91</f>
        <v>7080.4850769230779</v>
      </c>
      <c r="P134" s="12">
        <f>P91</f>
        <v>7061.086487671233</v>
      </c>
    </row>
    <row r="135" spans="1:16" outlineLevel="1" x14ac:dyDescent="0.25">
      <c r="A135" s="16" t="s">
        <v>70</v>
      </c>
      <c r="B135" s="16"/>
      <c r="C135" s="105"/>
      <c r="D135" s="13">
        <f>D132+D133-D134</f>
        <v>9002.6500000000015</v>
      </c>
      <c r="E135" s="13">
        <f t="shared" ref="E135:M135" si="52">E132+E133-E134</f>
        <v>10704.7</v>
      </c>
      <c r="F135" s="13">
        <f t="shared" si="52"/>
        <v>11479.55</v>
      </c>
      <c r="G135" s="13">
        <f t="shared" si="52"/>
        <v>12382.45</v>
      </c>
      <c r="H135" s="13">
        <f t="shared" si="52"/>
        <v>13209.599999999999</v>
      </c>
      <c r="I135" s="13">
        <f t="shared" si="52"/>
        <v>16384.992197260275</v>
      </c>
      <c r="J135" s="13">
        <f t="shared" si="52"/>
        <v>20387.637684383561</v>
      </c>
      <c r="K135" s="13">
        <f t="shared" si="52"/>
        <v>25136.92263846576</v>
      </c>
      <c r="L135" s="13">
        <f t="shared" si="52"/>
        <v>27700.901456114756</v>
      </c>
      <c r="M135" s="13">
        <f t="shared" si="52"/>
        <v>30406.690437521629</v>
      </c>
      <c r="N135" s="13">
        <f>N132+N133-N134</f>
        <v>32535.158768148147</v>
      </c>
      <c r="O135" s="13">
        <f>O132+O133-O134</f>
        <v>16430.005912087916</v>
      </c>
      <c r="P135" s="13">
        <f>P132+P133-P134</f>
        <v>16384.992197260275</v>
      </c>
    </row>
    <row r="136" spans="1:16" outlineLevel="1" x14ac:dyDescent="0.25">
      <c r="A136" s="12" t="s">
        <v>71</v>
      </c>
      <c r="D136" s="100">
        <f>D135-C135</f>
        <v>9002.6500000000015</v>
      </c>
      <c r="E136" s="100">
        <f t="shared" ref="E136:N136" si="53">E135-D135</f>
        <v>1702.0499999999993</v>
      </c>
      <c r="F136" s="100">
        <f t="shared" si="53"/>
        <v>774.84999999999854</v>
      </c>
      <c r="G136" s="100">
        <f t="shared" si="53"/>
        <v>902.90000000000146</v>
      </c>
      <c r="H136" s="100">
        <f t="shared" si="53"/>
        <v>827.14999999999782</v>
      </c>
      <c r="I136" s="12">
        <f t="shared" si="53"/>
        <v>3175.3921972602766</v>
      </c>
      <c r="J136" s="12">
        <f t="shared" si="53"/>
        <v>4002.6454871232854</v>
      </c>
      <c r="K136" s="12">
        <f t="shared" si="53"/>
        <v>4749.284954082199</v>
      </c>
      <c r="L136" s="12">
        <f t="shared" si="53"/>
        <v>2563.9788176489965</v>
      </c>
      <c r="M136" s="12">
        <f t="shared" si="53"/>
        <v>2705.7889814068731</v>
      </c>
      <c r="N136" s="12">
        <f t="shared" si="53"/>
        <v>2128.4683306265179</v>
      </c>
      <c r="O136" s="12">
        <f>O135-H135</f>
        <v>3220.4059120879174</v>
      </c>
      <c r="P136" s="12">
        <f>P135-O135</f>
        <v>-45.013714827640797</v>
      </c>
    </row>
    <row r="137" spans="1:16" outlineLevel="1" x14ac:dyDescent="0.25">
      <c r="D137" s="79"/>
      <c r="E137" s="79"/>
      <c r="F137" s="79"/>
      <c r="G137" s="79"/>
      <c r="H137" s="79"/>
    </row>
    <row r="138" spans="1:16" outlineLevel="1" x14ac:dyDescent="0.25">
      <c r="A138" s="47" t="s">
        <v>72</v>
      </c>
      <c r="D138" s="79"/>
      <c r="E138" s="79"/>
      <c r="F138" s="79"/>
      <c r="G138" s="79"/>
      <c r="H138" s="79"/>
    </row>
    <row r="139" spans="1:16" outlineLevel="1" x14ac:dyDescent="0.25">
      <c r="A139" s="12" t="s">
        <v>73</v>
      </c>
      <c r="D139" s="79">
        <v>50000</v>
      </c>
      <c r="E139" s="79">
        <v>45500</v>
      </c>
      <c r="F139" s="79">
        <v>42350</v>
      </c>
      <c r="G139" s="79">
        <v>40145</v>
      </c>
      <c r="H139" s="79">
        <v>38601.5</v>
      </c>
      <c r="I139" s="12">
        <f t="shared" ref="I139:N139" si="54">H142</f>
        <v>37521.050000000003</v>
      </c>
      <c r="J139" s="12">
        <f t="shared" si="54"/>
        <v>45016.840000000004</v>
      </c>
      <c r="K139" s="12">
        <f t="shared" si="54"/>
        <v>51013.472000000002</v>
      </c>
      <c r="L139" s="12">
        <f t="shared" si="54"/>
        <v>55810.777600000009</v>
      </c>
      <c r="M139" s="12">
        <f t="shared" si="54"/>
        <v>59648.622080000001</v>
      </c>
      <c r="N139" s="12">
        <f t="shared" si="54"/>
        <v>62718.897664000004</v>
      </c>
      <c r="O139" s="12">
        <f>H142</f>
        <v>37521.050000000003</v>
      </c>
      <c r="P139" s="12">
        <f>O142</f>
        <v>43142.892500000002</v>
      </c>
    </row>
    <row r="140" spans="1:16" outlineLevel="1" x14ac:dyDescent="0.25">
      <c r="A140" s="12" t="s">
        <v>74</v>
      </c>
      <c r="D140" s="79">
        <v>15000</v>
      </c>
      <c r="E140" s="79">
        <v>15000</v>
      </c>
      <c r="F140" s="79">
        <v>15000</v>
      </c>
      <c r="G140" s="79">
        <v>15000</v>
      </c>
      <c r="H140" s="79">
        <v>15000</v>
      </c>
      <c r="I140" s="12">
        <f t="shared" ref="I140:N140" si="55">I55</f>
        <v>15000</v>
      </c>
      <c r="J140" s="12">
        <f t="shared" si="55"/>
        <v>15000</v>
      </c>
      <c r="K140" s="12">
        <f t="shared" si="55"/>
        <v>15000</v>
      </c>
      <c r="L140" s="12">
        <f t="shared" si="55"/>
        <v>15000</v>
      </c>
      <c r="M140" s="12">
        <f t="shared" si="55"/>
        <v>15000</v>
      </c>
      <c r="N140" s="12">
        <f t="shared" si="55"/>
        <v>15000</v>
      </c>
      <c r="O140" s="12">
        <f>$I140*O$6</f>
        <v>11250</v>
      </c>
      <c r="P140" s="12">
        <f>$I140*P$6</f>
        <v>3750</v>
      </c>
    </row>
    <row r="141" spans="1:16" outlineLevel="1" x14ac:dyDescent="0.25">
      <c r="A141" s="12" t="s">
        <v>75</v>
      </c>
      <c r="C141" s="89"/>
      <c r="D141" s="79">
        <v>19500</v>
      </c>
      <c r="E141" s="79">
        <v>18150</v>
      </c>
      <c r="F141" s="79">
        <v>17205</v>
      </c>
      <c r="G141" s="79">
        <v>16543.5</v>
      </c>
      <c r="H141" s="79">
        <v>16080.449999999999</v>
      </c>
      <c r="I141" s="14">
        <f t="shared" ref="I141:N141" si="56">I139*I49</f>
        <v>7504.2100000000009</v>
      </c>
      <c r="J141" s="14">
        <f t="shared" si="56"/>
        <v>9003.3680000000004</v>
      </c>
      <c r="K141" s="14">
        <f t="shared" si="56"/>
        <v>10202.6944</v>
      </c>
      <c r="L141" s="14">
        <f t="shared" si="56"/>
        <v>11162.155520000002</v>
      </c>
      <c r="M141" s="14">
        <f t="shared" si="56"/>
        <v>11929.724416000001</v>
      </c>
      <c r="N141" s="14">
        <f t="shared" si="56"/>
        <v>12543.779532800001</v>
      </c>
      <c r="O141" s="12">
        <f>$I141*O$6</f>
        <v>5628.1575000000012</v>
      </c>
      <c r="P141" s="12">
        <f>$I141*P$6</f>
        <v>1876.0525000000002</v>
      </c>
    </row>
    <row r="142" spans="1:16" outlineLevel="1" x14ac:dyDescent="0.25">
      <c r="A142" s="16" t="s">
        <v>76</v>
      </c>
      <c r="B142" s="16"/>
      <c r="C142" s="105"/>
      <c r="D142" s="13">
        <f>D139+D140-D141</f>
        <v>45500</v>
      </c>
      <c r="E142" s="13">
        <f t="shared" ref="E142:M142" si="57">E139+E140-E141</f>
        <v>42350</v>
      </c>
      <c r="F142" s="13">
        <f t="shared" si="57"/>
        <v>40145</v>
      </c>
      <c r="G142" s="13">
        <f t="shared" si="57"/>
        <v>38601.5</v>
      </c>
      <c r="H142" s="13">
        <f t="shared" si="57"/>
        <v>37521.050000000003</v>
      </c>
      <c r="I142" s="13">
        <f t="shared" si="57"/>
        <v>45016.840000000004</v>
      </c>
      <c r="J142" s="13">
        <f t="shared" si="57"/>
        <v>51013.472000000002</v>
      </c>
      <c r="K142" s="13">
        <f t="shared" si="57"/>
        <v>55810.777600000009</v>
      </c>
      <c r="L142" s="13">
        <f t="shared" si="57"/>
        <v>59648.622080000001</v>
      </c>
      <c r="M142" s="13">
        <f t="shared" si="57"/>
        <v>62718.897664000004</v>
      </c>
      <c r="N142" s="13">
        <f>N139+N140-N141</f>
        <v>65175.118131200004</v>
      </c>
      <c r="O142" s="13">
        <f>O139+O140-O141</f>
        <v>43142.892500000002</v>
      </c>
      <c r="P142" s="13">
        <f>P139+P140-P141</f>
        <v>45016.840000000004</v>
      </c>
    </row>
    <row r="143" spans="1:16" outlineLevel="1" x14ac:dyDescent="0.25">
      <c r="D143" s="79"/>
      <c r="E143" s="79"/>
      <c r="F143" s="79"/>
      <c r="G143" s="79"/>
      <c r="H143" s="79"/>
    </row>
    <row r="144" spans="1:16" outlineLevel="1" x14ac:dyDescent="0.25">
      <c r="A144" s="47" t="s">
        <v>77</v>
      </c>
      <c r="D144" s="79"/>
      <c r="E144" s="79"/>
      <c r="F144" s="79"/>
      <c r="G144" s="79"/>
      <c r="H144" s="79"/>
    </row>
    <row r="145" spans="1:16" outlineLevel="1" x14ac:dyDescent="0.25">
      <c r="A145" s="12" t="s">
        <v>78</v>
      </c>
      <c r="D145" s="79">
        <v>50000</v>
      </c>
      <c r="E145" s="79">
        <v>50000</v>
      </c>
      <c r="F145" s="79">
        <v>50000</v>
      </c>
      <c r="G145" s="79">
        <v>30000</v>
      </c>
      <c r="H145" s="79">
        <v>30000</v>
      </c>
      <c r="I145" s="12">
        <f t="shared" ref="I145:N145" si="58">H147</f>
        <v>30000</v>
      </c>
      <c r="J145" s="12">
        <f t="shared" si="58"/>
        <v>30000</v>
      </c>
      <c r="K145" s="12">
        <f t="shared" si="58"/>
        <v>30000</v>
      </c>
      <c r="L145" s="12">
        <f t="shared" si="58"/>
        <v>10000</v>
      </c>
      <c r="M145" s="12">
        <f t="shared" si="58"/>
        <v>10000</v>
      </c>
      <c r="N145" s="12">
        <f t="shared" si="58"/>
        <v>10000</v>
      </c>
      <c r="O145" s="12">
        <f>H147</f>
        <v>30000</v>
      </c>
      <c r="P145" s="12">
        <f>O147</f>
        <v>30000</v>
      </c>
    </row>
    <row r="146" spans="1:16" outlineLevel="1" x14ac:dyDescent="0.25">
      <c r="A146" s="12" t="s">
        <v>79</v>
      </c>
      <c r="D146" s="79">
        <v>0</v>
      </c>
      <c r="E146" s="79">
        <v>0</v>
      </c>
      <c r="F146" s="79">
        <v>-20000</v>
      </c>
      <c r="G146" s="79">
        <v>0</v>
      </c>
      <c r="H146" s="79">
        <v>0</v>
      </c>
      <c r="I146" s="15">
        <f t="shared" ref="I146:N146" si="59">I56</f>
        <v>0</v>
      </c>
      <c r="J146" s="15">
        <f t="shared" si="59"/>
        <v>0</v>
      </c>
      <c r="K146" s="15">
        <f t="shared" si="59"/>
        <v>-20000</v>
      </c>
      <c r="L146" s="15">
        <f t="shared" si="59"/>
        <v>0</v>
      </c>
      <c r="M146" s="15">
        <f t="shared" si="59"/>
        <v>0</v>
      </c>
      <c r="N146" s="15">
        <f t="shared" si="59"/>
        <v>0</v>
      </c>
      <c r="O146" s="15">
        <f>$I146*O$6</f>
        <v>0</v>
      </c>
      <c r="P146" s="15">
        <f>$I146*P$6</f>
        <v>0</v>
      </c>
    </row>
    <row r="147" spans="1:16" outlineLevel="1" x14ac:dyDescent="0.25">
      <c r="A147" s="16" t="s">
        <v>80</v>
      </c>
      <c r="B147" s="16"/>
      <c r="C147" s="105"/>
      <c r="D147" s="13">
        <f>SUM(D145:D146)</f>
        <v>50000</v>
      </c>
      <c r="E147" s="13">
        <f t="shared" ref="E147:M147" si="60">SUM(E145:E146)</f>
        <v>50000</v>
      </c>
      <c r="F147" s="13">
        <f t="shared" si="60"/>
        <v>30000</v>
      </c>
      <c r="G147" s="13">
        <f t="shared" si="60"/>
        <v>30000</v>
      </c>
      <c r="H147" s="13">
        <f t="shared" si="60"/>
        <v>30000</v>
      </c>
      <c r="I147" s="16">
        <f t="shared" si="60"/>
        <v>30000</v>
      </c>
      <c r="J147" s="16">
        <f t="shared" si="60"/>
        <v>30000</v>
      </c>
      <c r="K147" s="16">
        <f t="shared" si="60"/>
        <v>10000</v>
      </c>
      <c r="L147" s="16">
        <f t="shared" si="60"/>
        <v>10000</v>
      </c>
      <c r="M147" s="16">
        <f t="shared" si="60"/>
        <v>10000</v>
      </c>
      <c r="N147" s="16">
        <f>SUM(N145:N146)</f>
        <v>10000</v>
      </c>
      <c r="O147" s="16">
        <f>SUM(O145:O146)</f>
        <v>30000</v>
      </c>
      <c r="P147" s="16">
        <f>SUM(P145:P146)</f>
        <v>30000</v>
      </c>
    </row>
    <row r="148" spans="1:16" outlineLevel="1" x14ac:dyDescent="0.25">
      <c r="A148" s="12" t="s">
        <v>81</v>
      </c>
      <c r="C148" s="89"/>
      <c r="D148" s="79">
        <v>2500</v>
      </c>
      <c r="E148" s="79">
        <v>2500</v>
      </c>
      <c r="F148" s="79">
        <v>1500</v>
      </c>
      <c r="G148" s="79">
        <v>1500</v>
      </c>
      <c r="H148" s="79">
        <v>1500</v>
      </c>
      <c r="I148" s="12">
        <f t="shared" ref="I148:N148" si="61">I147*I50</f>
        <v>3000</v>
      </c>
      <c r="J148" s="12">
        <f t="shared" si="61"/>
        <v>3000</v>
      </c>
      <c r="K148" s="12">
        <f t="shared" si="61"/>
        <v>0</v>
      </c>
      <c r="L148" s="12">
        <f t="shared" si="61"/>
        <v>1000</v>
      </c>
      <c r="M148" s="12">
        <f t="shared" si="61"/>
        <v>1000</v>
      </c>
      <c r="N148" s="12">
        <f t="shared" si="61"/>
        <v>1000</v>
      </c>
      <c r="O148" s="15">
        <f>$I148*O$6</f>
        <v>2250</v>
      </c>
      <c r="P148" s="15">
        <f>$I148*P$6</f>
        <v>750</v>
      </c>
    </row>
    <row r="149" spans="1:16" outlineLevel="1" x14ac:dyDescent="0.25">
      <c r="D149" s="79"/>
      <c r="E149" s="79"/>
      <c r="F149" s="79"/>
      <c r="G149" s="79"/>
      <c r="H149" s="79"/>
    </row>
    <row r="150" spans="1:16" outlineLevel="1" x14ac:dyDescent="0.25">
      <c r="D150" s="79"/>
      <c r="E150" s="79"/>
      <c r="F150" s="79"/>
      <c r="G150" s="79"/>
      <c r="H150" s="79"/>
    </row>
    <row r="151" spans="1:16" x14ac:dyDescent="0.25">
      <c r="D151" s="79"/>
      <c r="E151" s="79"/>
      <c r="F151" s="79"/>
      <c r="G151" s="79"/>
      <c r="H151" s="79"/>
    </row>
    <row r="152" spans="1:16" x14ac:dyDescent="0.25">
      <c r="A152" s="42" t="s">
        <v>82</v>
      </c>
      <c r="B152" s="43"/>
      <c r="C152" s="4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</row>
    <row r="153" spans="1:16" outlineLevel="1" x14ac:dyDescent="0.25">
      <c r="A153" s="47"/>
      <c r="D153" s="79"/>
      <c r="E153" s="79"/>
      <c r="F153" s="79"/>
      <c r="G153" s="79"/>
      <c r="H153" s="79"/>
    </row>
    <row r="154" spans="1:16" outlineLevel="1" x14ac:dyDescent="0.25">
      <c r="A154" s="107" t="s">
        <v>12</v>
      </c>
      <c r="B154" s="79"/>
      <c r="C154" s="79"/>
      <c r="D154" s="79"/>
    </row>
    <row r="155" spans="1:16" outlineLevel="1" x14ac:dyDescent="0.25">
      <c r="A155" s="13" t="s">
        <v>83</v>
      </c>
      <c r="B155" s="108"/>
      <c r="C155" s="109">
        <v>0.25</v>
      </c>
      <c r="D155" s="79"/>
    </row>
    <row r="156" spans="1:16" outlineLevel="1" x14ac:dyDescent="0.25">
      <c r="A156" s="100" t="s">
        <v>84</v>
      </c>
      <c r="C156" s="110">
        <v>0.12</v>
      </c>
    </row>
    <row r="157" spans="1:16" outlineLevel="1" x14ac:dyDescent="0.25">
      <c r="A157" s="12" t="s">
        <v>255</v>
      </c>
      <c r="C157" s="110">
        <v>0.04</v>
      </c>
      <c r="J157" s="89"/>
      <c r="K157" s="89"/>
      <c r="L157" s="89"/>
      <c r="M157" s="89"/>
      <c r="N157" s="89"/>
    </row>
    <row r="158" spans="1:16" outlineLevel="1" x14ac:dyDescent="0.25">
      <c r="A158" s="12" t="s">
        <v>256</v>
      </c>
      <c r="C158" s="111">
        <v>8</v>
      </c>
      <c r="J158" s="89"/>
      <c r="K158" s="89"/>
      <c r="L158" s="89"/>
      <c r="M158" s="89"/>
      <c r="N158" s="89"/>
    </row>
    <row r="159" spans="1:16" outlineLevel="1" x14ac:dyDescent="0.25">
      <c r="A159" s="12" t="s">
        <v>7</v>
      </c>
      <c r="C159" s="112">
        <f>'Deal Assumptions &amp; Analysis'!D7</f>
        <v>11.75</v>
      </c>
      <c r="J159" s="89"/>
      <c r="K159" s="89"/>
      <c r="L159" s="89"/>
      <c r="M159" s="89"/>
      <c r="N159" s="89"/>
    </row>
    <row r="160" spans="1:16" outlineLevel="1" x14ac:dyDescent="0.25">
      <c r="A160" s="12" t="s">
        <v>85</v>
      </c>
      <c r="C160" s="113">
        <f>'Deal Assumptions &amp; Analysis'!D21</f>
        <v>50000</v>
      </c>
    </row>
    <row r="161" spans="1:14" outlineLevel="1" x14ac:dyDescent="0.25">
      <c r="C161" s="114"/>
    </row>
    <row r="162" spans="1:14" outlineLevel="1" x14ac:dyDescent="0.25">
      <c r="C162" s="115"/>
    </row>
    <row r="163" spans="1:14" outlineLevel="1" x14ac:dyDescent="0.25">
      <c r="A163" s="72" t="s">
        <v>86</v>
      </c>
      <c r="B163" s="17"/>
      <c r="C163" s="116" t="s">
        <v>87</v>
      </c>
      <c r="D163" s="117">
        <f>I2</f>
        <v>2017</v>
      </c>
      <c r="E163" s="118">
        <f>+D163+1</f>
        <v>2018</v>
      </c>
      <c r="F163" s="118">
        <f>+E163+1</f>
        <v>2019</v>
      </c>
      <c r="G163" s="118">
        <f>+F163+1</f>
        <v>2020</v>
      </c>
      <c r="H163" s="118">
        <f>+G163+1</f>
        <v>2021</v>
      </c>
      <c r="I163" s="118">
        <f>+H163+1</f>
        <v>2022</v>
      </c>
      <c r="J163" s="116" t="s">
        <v>88</v>
      </c>
      <c r="L163" s="47" t="s">
        <v>89</v>
      </c>
    </row>
    <row r="164" spans="1:14" outlineLevel="1" x14ac:dyDescent="0.25">
      <c r="A164" s="119" t="s">
        <v>0</v>
      </c>
      <c r="B164" s="119"/>
      <c r="C164" s="120">
        <f>'Deal Assumptions &amp; Analysis'!$D$9</f>
        <v>43008</v>
      </c>
      <c r="D164" s="121">
        <f t="shared" ref="D164:I164" si="62">DATE(D163,12,31)</f>
        <v>43100</v>
      </c>
      <c r="E164" s="121">
        <f t="shared" si="62"/>
        <v>43465</v>
      </c>
      <c r="F164" s="121">
        <f t="shared" si="62"/>
        <v>43830</v>
      </c>
      <c r="G164" s="121">
        <f t="shared" si="62"/>
        <v>44196</v>
      </c>
      <c r="H164" s="121">
        <f t="shared" si="62"/>
        <v>44561</v>
      </c>
      <c r="I164" s="121">
        <f t="shared" si="62"/>
        <v>44926</v>
      </c>
      <c r="J164" s="121">
        <f>I164</f>
        <v>44926</v>
      </c>
      <c r="L164" s="16" t="s">
        <v>2</v>
      </c>
      <c r="M164" s="16"/>
      <c r="N164" s="122">
        <f>+H171*C158</f>
        <v>579263.26838438411</v>
      </c>
    </row>
    <row r="165" spans="1:14" outlineLevel="1" x14ac:dyDescent="0.25">
      <c r="A165" s="30" t="s">
        <v>90</v>
      </c>
      <c r="B165" s="30"/>
      <c r="C165" s="30"/>
      <c r="D165" s="123">
        <f t="shared" ref="D165:I165" si="63">YEARFRAC(C164,D164)</f>
        <v>0.25</v>
      </c>
      <c r="E165" s="123">
        <f t="shared" si="63"/>
        <v>1</v>
      </c>
      <c r="F165" s="123">
        <f t="shared" si="63"/>
        <v>1</v>
      </c>
      <c r="G165" s="123">
        <f t="shared" si="63"/>
        <v>1</v>
      </c>
      <c r="H165" s="123">
        <f t="shared" si="63"/>
        <v>1</v>
      </c>
      <c r="I165" s="123">
        <f t="shared" si="63"/>
        <v>1</v>
      </c>
      <c r="J165" s="123">
        <f>H165</f>
        <v>1</v>
      </c>
    </row>
    <row r="166" spans="1:14" outlineLevel="1" x14ac:dyDescent="0.25">
      <c r="A166" s="30"/>
      <c r="B166" s="30"/>
      <c r="C166" s="30"/>
      <c r="D166" s="123"/>
      <c r="E166" s="123"/>
      <c r="F166" s="123"/>
      <c r="G166" s="123"/>
      <c r="H166" s="123"/>
      <c r="I166" s="123"/>
      <c r="J166" s="124"/>
    </row>
    <row r="167" spans="1:14" outlineLevel="1" x14ac:dyDescent="0.25">
      <c r="A167" s="12" t="s">
        <v>5</v>
      </c>
      <c r="C167" s="12"/>
      <c r="D167" s="57">
        <f t="shared" ref="D167:I167" si="64">I72+I70</f>
        <v>45493.962000000007</v>
      </c>
      <c r="E167" s="57">
        <f t="shared" si="64"/>
        <v>48970.28</v>
      </c>
      <c r="F167" s="57">
        <f t="shared" si="64"/>
        <v>68061.543080000003</v>
      </c>
      <c r="G167" s="57">
        <f t="shared" si="64"/>
        <v>56958.478234400012</v>
      </c>
      <c r="H167" s="57">
        <f t="shared" si="64"/>
        <v>60478.184132048016</v>
      </c>
      <c r="I167" s="57">
        <f t="shared" si="64"/>
        <v>65982.682613611367</v>
      </c>
    </row>
    <row r="168" spans="1:14" outlineLevel="1" x14ac:dyDescent="0.25">
      <c r="A168" s="12" t="s">
        <v>91</v>
      </c>
      <c r="C168" s="12"/>
      <c r="D168" s="14">
        <f t="shared" ref="D168:I168" si="65">D167*$C$155</f>
        <v>11373.490500000002</v>
      </c>
      <c r="E168" s="14">
        <f t="shared" si="65"/>
        <v>12242.57</v>
      </c>
      <c r="F168" s="14">
        <f t="shared" si="65"/>
        <v>17015.385770000001</v>
      </c>
      <c r="G168" s="14">
        <f t="shared" si="65"/>
        <v>14239.619558600003</v>
      </c>
      <c r="H168" s="14">
        <f t="shared" si="65"/>
        <v>15119.546033012004</v>
      </c>
      <c r="I168" s="14">
        <f t="shared" si="65"/>
        <v>16495.670653402842</v>
      </c>
    </row>
    <row r="169" spans="1:14" outlineLevel="1" x14ac:dyDescent="0.25">
      <c r="A169" s="16" t="s">
        <v>92</v>
      </c>
      <c r="B169" s="16"/>
      <c r="C169" s="16"/>
      <c r="D169" s="122">
        <f t="shared" ref="D169:I169" si="66">D167-D168</f>
        <v>34120.471500000007</v>
      </c>
      <c r="E169" s="122">
        <f t="shared" si="66"/>
        <v>36727.71</v>
      </c>
      <c r="F169" s="122">
        <f t="shared" si="66"/>
        <v>51046.157310000002</v>
      </c>
      <c r="G169" s="122">
        <f t="shared" si="66"/>
        <v>42718.858675800009</v>
      </c>
      <c r="H169" s="122">
        <f t="shared" si="66"/>
        <v>45358.638099036012</v>
      </c>
      <c r="I169" s="122">
        <f t="shared" si="66"/>
        <v>49487.011960208525</v>
      </c>
    </row>
    <row r="170" spans="1:14" outlineLevel="1" x14ac:dyDescent="0.25">
      <c r="A170" s="12" t="s">
        <v>93</v>
      </c>
      <c r="C170" s="57"/>
      <c r="D170" s="125">
        <f t="shared" ref="D170:I170" si="67">+I108</f>
        <v>7504.2100000000009</v>
      </c>
      <c r="E170" s="125">
        <f t="shared" si="67"/>
        <v>9003.3680000000004</v>
      </c>
      <c r="F170" s="125">
        <f t="shared" si="67"/>
        <v>10202.6944</v>
      </c>
      <c r="G170" s="125">
        <f t="shared" si="67"/>
        <v>11162.155520000002</v>
      </c>
      <c r="H170" s="125">
        <f t="shared" si="67"/>
        <v>11929.724416000001</v>
      </c>
      <c r="I170" s="125">
        <f t="shared" si="67"/>
        <v>12543.779532800001</v>
      </c>
      <c r="J170" s="57"/>
    </row>
    <row r="171" spans="1:14" outlineLevel="1" x14ac:dyDescent="0.25">
      <c r="A171" s="12" t="s">
        <v>4</v>
      </c>
      <c r="C171" s="57"/>
      <c r="D171" s="125">
        <f t="shared" ref="D171:I171" si="68">D167+D170</f>
        <v>52998.172000000006</v>
      </c>
      <c r="E171" s="125">
        <f t="shared" si="68"/>
        <v>57973.648000000001</v>
      </c>
      <c r="F171" s="125">
        <f t="shared" si="68"/>
        <v>78264.237480000011</v>
      </c>
      <c r="G171" s="125">
        <f t="shared" si="68"/>
        <v>68120.633754400013</v>
      </c>
      <c r="H171" s="125">
        <f t="shared" si="68"/>
        <v>72407.908548048013</v>
      </c>
      <c r="I171" s="125">
        <f t="shared" si="68"/>
        <v>78526.462146411373</v>
      </c>
      <c r="J171" s="57"/>
    </row>
    <row r="172" spans="1:14" outlineLevel="1" x14ac:dyDescent="0.25">
      <c r="A172" s="12" t="s">
        <v>94</v>
      </c>
      <c r="C172" s="57"/>
      <c r="D172" s="57">
        <f t="shared" ref="D172:I172" si="69">-I113</f>
        <v>15000</v>
      </c>
      <c r="E172" s="57">
        <f t="shared" si="69"/>
        <v>15000</v>
      </c>
      <c r="F172" s="57">
        <f t="shared" si="69"/>
        <v>15000</v>
      </c>
      <c r="G172" s="57">
        <f t="shared" si="69"/>
        <v>15000</v>
      </c>
      <c r="H172" s="57">
        <f t="shared" si="69"/>
        <v>15000</v>
      </c>
      <c r="I172" s="57">
        <f t="shared" si="69"/>
        <v>15000</v>
      </c>
      <c r="J172" s="57"/>
    </row>
    <row r="173" spans="1:14" outlineLevel="1" x14ac:dyDescent="0.25">
      <c r="A173" s="12" t="s">
        <v>95</v>
      </c>
      <c r="C173" s="57"/>
      <c r="D173" s="57">
        <f t="shared" ref="D173:I173" si="70">I136</f>
        <v>3175.3921972602766</v>
      </c>
      <c r="E173" s="57">
        <f t="shared" si="70"/>
        <v>4002.6454871232854</v>
      </c>
      <c r="F173" s="57">
        <f t="shared" si="70"/>
        <v>4749.284954082199</v>
      </c>
      <c r="G173" s="57">
        <f t="shared" si="70"/>
        <v>2563.9788176489965</v>
      </c>
      <c r="H173" s="57">
        <f t="shared" si="70"/>
        <v>2705.7889814068731</v>
      </c>
      <c r="I173" s="57">
        <f t="shared" si="70"/>
        <v>2128.4683306265179</v>
      </c>
      <c r="J173" s="57"/>
    </row>
    <row r="174" spans="1:14" outlineLevel="1" x14ac:dyDescent="0.25">
      <c r="A174" s="52" t="s">
        <v>96</v>
      </c>
      <c r="B174" s="52"/>
      <c r="C174" s="52"/>
      <c r="D174" s="52">
        <f t="shared" ref="D174:I174" si="71">D169+D170-D172-D173</f>
        <v>23449.289302739729</v>
      </c>
      <c r="E174" s="52">
        <f t="shared" si="71"/>
        <v>26728.432512876716</v>
      </c>
      <c r="F174" s="52">
        <f t="shared" si="71"/>
        <v>41499.566755917804</v>
      </c>
      <c r="G174" s="52">
        <f t="shared" si="71"/>
        <v>36317.035378151013</v>
      </c>
      <c r="H174" s="52">
        <f t="shared" si="71"/>
        <v>39582.57353362914</v>
      </c>
      <c r="I174" s="52">
        <f t="shared" si="71"/>
        <v>44902.323162382003</v>
      </c>
      <c r="J174" s="126">
        <f>N164</f>
        <v>579263.26838438411</v>
      </c>
    </row>
    <row r="175" spans="1:14" outlineLevel="1" x14ac:dyDescent="0.25">
      <c r="C175" s="12"/>
      <c r="D175" s="57"/>
      <c r="E175" s="57"/>
      <c r="F175" s="57"/>
      <c r="G175" s="57"/>
      <c r="H175" s="57"/>
      <c r="I175" s="57"/>
      <c r="J175" s="17"/>
    </row>
    <row r="176" spans="1:14" outlineLevel="1" x14ac:dyDescent="0.25">
      <c r="A176" s="47" t="s">
        <v>97</v>
      </c>
      <c r="B176" s="47"/>
      <c r="C176" s="47">
        <v>0</v>
      </c>
      <c r="D176" s="66">
        <f t="shared" ref="D176:J176" si="72">D174*D165</f>
        <v>5862.3223256849324</v>
      </c>
      <c r="E176" s="66">
        <f t="shared" si="72"/>
        <v>26728.432512876716</v>
      </c>
      <c r="F176" s="66">
        <f t="shared" si="72"/>
        <v>41499.566755917804</v>
      </c>
      <c r="G176" s="66">
        <f t="shared" si="72"/>
        <v>36317.035378151013</v>
      </c>
      <c r="H176" s="66">
        <f t="shared" si="72"/>
        <v>39582.57353362914</v>
      </c>
      <c r="I176" s="66">
        <f t="shared" si="72"/>
        <v>44902.323162382003</v>
      </c>
      <c r="J176" s="66">
        <f t="shared" si="72"/>
        <v>579263.26838438411</v>
      </c>
    </row>
    <row r="177" spans="1:12" outlineLevel="1" x14ac:dyDescent="0.25">
      <c r="C177" s="57"/>
      <c r="D177" s="57"/>
      <c r="E177" s="57"/>
      <c r="F177" s="57"/>
      <c r="G177" s="57"/>
      <c r="H177" s="57"/>
      <c r="I177" s="57"/>
      <c r="J177" s="57"/>
    </row>
    <row r="178" spans="1:12" outlineLevel="1" x14ac:dyDescent="0.25">
      <c r="A178" s="47" t="s">
        <v>98</v>
      </c>
      <c r="B178" s="47"/>
      <c r="C178" s="66">
        <f>-G184</f>
        <v>-463845.98856690305</v>
      </c>
      <c r="D178" s="66">
        <f t="shared" ref="D178:J178" si="73">D176</f>
        <v>5862.3223256849324</v>
      </c>
      <c r="E178" s="66">
        <f t="shared" si="73"/>
        <v>26728.432512876716</v>
      </c>
      <c r="F178" s="66">
        <f t="shared" si="73"/>
        <v>41499.566755917804</v>
      </c>
      <c r="G178" s="66">
        <f t="shared" si="73"/>
        <v>36317.035378151013</v>
      </c>
      <c r="H178" s="66">
        <f t="shared" si="73"/>
        <v>39582.57353362914</v>
      </c>
      <c r="I178" s="66">
        <f t="shared" si="73"/>
        <v>44902.323162382003</v>
      </c>
      <c r="J178" s="66">
        <f t="shared" si="73"/>
        <v>579263.26838438411</v>
      </c>
    </row>
    <row r="179" spans="1:12" outlineLevel="1" x14ac:dyDescent="0.25">
      <c r="A179" s="57"/>
      <c r="B179" s="127"/>
      <c r="C179" s="57"/>
      <c r="D179" s="57"/>
      <c r="E179" s="57"/>
      <c r="F179" s="57"/>
      <c r="G179" s="57"/>
      <c r="H179" s="57"/>
    </row>
    <row r="180" spans="1:12" outlineLevel="1" x14ac:dyDescent="0.25">
      <c r="A180" s="47" t="s">
        <v>99</v>
      </c>
      <c r="C180" s="57"/>
      <c r="E180" s="47" t="s">
        <v>100</v>
      </c>
      <c r="J180" s="47" t="s">
        <v>101</v>
      </c>
    </row>
    <row r="181" spans="1:12" outlineLevel="1" x14ac:dyDescent="0.25">
      <c r="A181" s="16" t="s">
        <v>102</v>
      </c>
      <c r="B181" s="16"/>
      <c r="C181" s="16">
        <f>XNPV(C156,C176:J176,C164:J164)</f>
        <v>454682.61364105204</v>
      </c>
      <c r="E181" s="16" t="s">
        <v>3</v>
      </c>
      <c r="F181" s="16"/>
      <c r="G181" s="16">
        <f>C159*C160</f>
        <v>587500</v>
      </c>
      <c r="J181" s="16" t="s">
        <v>107</v>
      </c>
      <c r="K181" s="16"/>
      <c r="L181" s="129">
        <f>XIRR(C178:J178,C164:J164)</f>
        <v>0.11516802906990053</v>
      </c>
    </row>
    <row r="182" spans="1:12" outlineLevel="1" x14ac:dyDescent="0.25">
      <c r="A182" s="12" t="s">
        <v>103</v>
      </c>
      <c r="C182" s="12">
        <f>+O81</f>
        <v>153654.01143309698</v>
      </c>
      <c r="E182" s="12" t="s">
        <v>104</v>
      </c>
      <c r="G182" s="12">
        <f>O93+O90</f>
        <v>30000</v>
      </c>
    </row>
    <row r="183" spans="1:12" outlineLevel="1" x14ac:dyDescent="0.25">
      <c r="A183" s="12" t="s">
        <v>105</v>
      </c>
      <c r="C183" s="12">
        <f>O93</f>
        <v>30000</v>
      </c>
      <c r="E183" s="12" t="s">
        <v>106</v>
      </c>
      <c r="G183" s="12">
        <f>O81</f>
        <v>153654.01143309698</v>
      </c>
      <c r="J183" s="57"/>
      <c r="K183" s="57"/>
      <c r="L183" s="127"/>
    </row>
    <row r="184" spans="1:12" outlineLevel="1" x14ac:dyDescent="0.25">
      <c r="A184" s="12" t="s">
        <v>8</v>
      </c>
      <c r="C184" s="16">
        <f>C181+C182-C183</f>
        <v>578336.62507414899</v>
      </c>
      <c r="E184" s="12" t="s">
        <v>102</v>
      </c>
      <c r="G184" s="16">
        <f>G181+G182-G183</f>
        <v>463845.98856690305</v>
      </c>
    </row>
    <row r="185" spans="1:12" outlineLevel="1" x14ac:dyDescent="0.25">
      <c r="C185" s="12"/>
      <c r="G185" s="124"/>
    </row>
    <row r="186" spans="1:12" outlineLevel="1" x14ac:dyDescent="0.25">
      <c r="A186" s="47" t="s">
        <v>108</v>
      </c>
      <c r="C186" s="131">
        <f>C184/C160</f>
        <v>11.56673250148298</v>
      </c>
      <c r="E186" s="47" t="s">
        <v>108</v>
      </c>
      <c r="F186" s="47"/>
      <c r="G186" s="132">
        <f>C159</f>
        <v>11.75</v>
      </c>
    </row>
    <row r="187" spans="1:12" outlineLevel="1" x14ac:dyDescent="0.25">
      <c r="C187" s="12"/>
    </row>
    <row r="188" spans="1:12" outlineLevel="1" x14ac:dyDescent="0.25">
      <c r="C188" s="12"/>
    </row>
    <row r="189" spans="1:12" x14ac:dyDescent="0.25">
      <c r="C189" s="12"/>
    </row>
  </sheetData>
  <sheetProtection algorithmName="SHA-512" hashValue="RuqQSPs1zV3DWyonSw5WZ+MdxMuCFzN23T6gimBD8Wy8PcjVpWvP2J+bJPiJhmHpZeag6gZAsvfDT1QjrJLa5A==" saltValue="iyAiOlOaFXB9lDvJiZKlCw==" spinCount="100000" sheet="1" objects="1" scenarios="1"/>
  <protectedRanges>
    <protectedRange sqref="I10" name="Scenario"/>
  </protectedRanges>
  <conditionalFormatting sqref="D4:P6">
    <cfRule type="containsText" dxfId="11" priority="3" operator="containsText" text="OK">
      <formula>NOT(ISERROR(SEARCH("OK",D4)))</formula>
    </cfRule>
    <cfRule type="containsText" dxfId="10" priority="4" operator="containsText" text="ERROR">
      <formula>NOT(ISERROR(SEARCH("ERROR",D4)))</formula>
    </cfRule>
  </conditionalFormatting>
  <conditionalFormatting sqref="G10:H10">
    <cfRule type="containsText" dxfId="9" priority="1" operator="containsText" text="OK">
      <formula>NOT(ISERROR(SEARCH("OK",G10)))</formula>
    </cfRule>
    <cfRule type="containsText" dxfId="8" priority="2" operator="containsText" text="ERROR">
      <formula>NOT(ISERROR(SEARCH("ERROR",G10)))</formula>
    </cfRule>
  </conditionalFormatting>
  <conditionalFormatting sqref="J10">
    <cfRule type="containsText" dxfId="7" priority="19" operator="containsText" text="OK">
      <formula>NOT(ISERROR(SEARCH("OK",J10)))</formula>
    </cfRule>
    <cfRule type="containsText" dxfId="6" priority="20" operator="containsText" text="ERROR">
      <formula>NOT(ISERROR(SEARCH("ERROR",J10)))</formula>
    </cfRule>
  </conditionalFormatting>
  <dataValidations count="1">
    <dataValidation type="list" allowBlank="1" showInputMessage="1" showErrorMessage="1" sqref="I10" xr:uid="{00000000-0002-0000-0300-000000000000}">
      <formula1>"1,2"</formula1>
    </dataValidation>
  </dataValidations>
  <pageMargins left="0.7" right="0.7" top="0.35" bottom="0.32" header="0.22" footer="0.24"/>
  <pageSetup scale="52" orientation="landscape" r:id="rId1"/>
  <rowBreaks count="3" manualBreakCount="3">
    <brk id="60" max="15" man="1"/>
    <brk id="103" max="15" man="1"/>
    <brk id="151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189"/>
  <sheetViews>
    <sheetView showGridLines="0" zoomScale="90" zoomScaleNormal="90" workbookViewId="0">
      <pane xSplit="3" ySplit="6" topLeftCell="D24" activePane="bottomRight" state="frozen"/>
      <selection activeCell="K16" sqref="K16"/>
      <selection pane="topRight" activeCell="K16" sqref="K16"/>
      <selection pane="bottomLeft" activeCell="K16" sqref="K16"/>
      <selection pane="bottomRight" activeCell="E32" sqref="E32"/>
    </sheetView>
  </sheetViews>
  <sheetFormatPr defaultColWidth="9.140625" defaultRowHeight="18" outlineLevelRow="1" x14ac:dyDescent="0.25"/>
  <cols>
    <col min="1" max="2" width="14.42578125" style="12" customWidth="1"/>
    <col min="3" max="3" width="14.42578125" style="31" customWidth="1"/>
    <col min="4" max="14" width="14.42578125" style="12" customWidth="1"/>
    <col min="15" max="15" width="17.28515625" style="12" bestFit="1" customWidth="1"/>
    <col min="16" max="16" width="18.5703125" style="12" bestFit="1" customWidth="1"/>
    <col min="17" max="16384" width="9.140625" style="12"/>
  </cols>
  <sheetData>
    <row r="1" spans="1:16" s="17" customFormat="1" ht="33.75" x14ac:dyDescent="0.5">
      <c r="C1" s="18"/>
      <c r="D1" s="19" t="str">
        <f>'Deal Assumptions &amp; Analysis'!D6&amp;" Model"</f>
        <v>Brick 'n' Mortar Co Model</v>
      </c>
      <c r="E1" s="20"/>
      <c r="F1" s="20"/>
      <c r="H1" s="20"/>
      <c r="I1" s="21"/>
      <c r="J1" s="20"/>
      <c r="K1" s="20"/>
      <c r="L1" s="20"/>
      <c r="M1" s="20"/>
      <c r="N1" s="20"/>
      <c r="O1" s="21"/>
      <c r="P1" s="20"/>
    </row>
    <row r="2" spans="1:16" ht="21" customHeight="1" x14ac:dyDescent="0.25">
      <c r="A2" s="22"/>
      <c r="B2" s="22"/>
      <c r="C2" s="23"/>
      <c r="D2" s="24">
        <v>2012</v>
      </c>
      <c r="E2" s="24">
        <f>+D2+1</f>
        <v>2013</v>
      </c>
      <c r="F2" s="24">
        <f t="shared" ref="F2:N2" si="0">+E2+1</f>
        <v>2014</v>
      </c>
      <c r="G2" s="24">
        <f t="shared" si="0"/>
        <v>2015</v>
      </c>
      <c r="H2" s="24">
        <f t="shared" si="0"/>
        <v>2016</v>
      </c>
      <c r="I2" s="25">
        <f t="shared" si="0"/>
        <v>2017</v>
      </c>
      <c r="J2" s="25">
        <f t="shared" si="0"/>
        <v>2018</v>
      </c>
      <c r="K2" s="25">
        <f t="shared" si="0"/>
        <v>2019</v>
      </c>
      <c r="L2" s="25">
        <f t="shared" si="0"/>
        <v>2020</v>
      </c>
      <c r="M2" s="25">
        <f t="shared" si="0"/>
        <v>2021</v>
      </c>
      <c r="N2" s="25">
        <f t="shared" si="0"/>
        <v>2022</v>
      </c>
      <c r="O2" s="26">
        <f>O4</f>
        <v>43008</v>
      </c>
      <c r="P2" s="26">
        <f>P4</f>
        <v>43100</v>
      </c>
    </row>
    <row r="3" spans="1:16" outlineLevel="1" x14ac:dyDescent="0.25">
      <c r="A3" s="27" t="s">
        <v>10</v>
      </c>
      <c r="B3" s="27"/>
      <c r="C3" s="28"/>
      <c r="D3" s="29" t="str">
        <f t="shared" ref="D3:N3" si="1">IFERROR(IF(ABS(D101)&gt;1,"ERROR","ok"),"ok")</f>
        <v>ok</v>
      </c>
      <c r="E3" s="29" t="str">
        <f t="shared" si="1"/>
        <v>ok</v>
      </c>
      <c r="F3" s="29" t="str">
        <f t="shared" si="1"/>
        <v>ok</v>
      </c>
      <c r="G3" s="29" t="str">
        <f t="shared" si="1"/>
        <v>ok</v>
      </c>
      <c r="H3" s="29" t="str">
        <f t="shared" si="1"/>
        <v>ok</v>
      </c>
      <c r="I3" s="29" t="str">
        <f t="shared" si="1"/>
        <v>ok</v>
      </c>
      <c r="J3" s="29" t="str">
        <f t="shared" si="1"/>
        <v>ok</v>
      </c>
      <c r="K3" s="29" t="str">
        <f t="shared" si="1"/>
        <v>ok</v>
      </c>
      <c r="L3" s="29" t="str">
        <f t="shared" si="1"/>
        <v>ok</v>
      </c>
      <c r="M3" s="29" t="str">
        <f t="shared" si="1"/>
        <v>ok</v>
      </c>
      <c r="N3" s="29" t="str">
        <f t="shared" si="1"/>
        <v>ok</v>
      </c>
      <c r="O3" s="29"/>
      <c r="P3" s="29"/>
    </row>
    <row r="4" spans="1:16" outlineLevel="1" x14ac:dyDescent="0.25">
      <c r="A4" s="30" t="s">
        <v>157</v>
      </c>
      <c r="D4" s="32">
        <v>41274</v>
      </c>
      <c r="E4" s="33">
        <f>EOMONTH(D4,12)</f>
        <v>41639</v>
      </c>
      <c r="F4" s="33">
        <f t="shared" ref="F4:N4" si="2">EOMONTH(E4,12)</f>
        <v>42004</v>
      </c>
      <c r="G4" s="33">
        <f t="shared" si="2"/>
        <v>42369</v>
      </c>
      <c r="H4" s="33">
        <f t="shared" si="2"/>
        <v>42735</v>
      </c>
      <c r="I4" s="33">
        <f t="shared" si="2"/>
        <v>43100</v>
      </c>
      <c r="J4" s="33">
        <f t="shared" si="2"/>
        <v>43465</v>
      </c>
      <c r="K4" s="33">
        <f t="shared" si="2"/>
        <v>43830</v>
      </c>
      <c r="L4" s="33">
        <f t="shared" si="2"/>
        <v>44196</v>
      </c>
      <c r="M4" s="33">
        <f t="shared" si="2"/>
        <v>44561</v>
      </c>
      <c r="N4" s="33">
        <f t="shared" si="2"/>
        <v>44926</v>
      </c>
      <c r="O4" s="34">
        <f>'Deal Assumptions &amp; Analysis'!D9</f>
        <v>43008</v>
      </c>
      <c r="P4" s="33">
        <f>EOMONTH(O4,P6*12)</f>
        <v>43100</v>
      </c>
    </row>
    <row r="5" spans="1:16" outlineLevel="1" x14ac:dyDescent="0.25">
      <c r="A5" s="30" t="s">
        <v>158</v>
      </c>
      <c r="D5" s="35">
        <v>366</v>
      </c>
      <c r="E5" s="36">
        <f>E4-D4</f>
        <v>365</v>
      </c>
      <c r="F5" s="36">
        <f t="shared" ref="F5:N5" si="3">F4-E4</f>
        <v>365</v>
      </c>
      <c r="G5" s="36">
        <f t="shared" si="3"/>
        <v>365</v>
      </c>
      <c r="H5" s="36">
        <f t="shared" si="3"/>
        <v>366</v>
      </c>
      <c r="I5" s="36">
        <f t="shared" si="3"/>
        <v>365</v>
      </c>
      <c r="J5" s="36">
        <f t="shared" si="3"/>
        <v>365</v>
      </c>
      <c r="K5" s="36">
        <f t="shared" si="3"/>
        <v>365</v>
      </c>
      <c r="L5" s="36">
        <f t="shared" si="3"/>
        <v>366</v>
      </c>
      <c r="M5" s="36">
        <f t="shared" si="3"/>
        <v>365</v>
      </c>
      <c r="N5" s="36">
        <f t="shared" si="3"/>
        <v>365</v>
      </c>
      <c r="O5" s="37">
        <f>O4-H4</f>
        <v>273</v>
      </c>
      <c r="P5" s="37">
        <f>P4-O4</f>
        <v>92</v>
      </c>
    </row>
    <row r="6" spans="1:16" outlineLevel="1" x14ac:dyDescent="0.25">
      <c r="A6" s="30" t="s">
        <v>159</v>
      </c>
      <c r="D6" s="38">
        <v>1</v>
      </c>
      <c r="E6" s="39">
        <f>D6</f>
        <v>1</v>
      </c>
      <c r="F6" s="39">
        <f t="shared" ref="F6:N6" si="4">E6</f>
        <v>1</v>
      </c>
      <c r="G6" s="39">
        <f t="shared" si="4"/>
        <v>1</v>
      </c>
      <c r="H6" s="39">
        <f t="shared" si="4"/>
        <v>1</v>
      </c>
      <c r="I6" s="39">
        <f t="shared" si="4"/>
        <v>1</v>
      </c>
      <c r="J6" s="39">
        <f t="shared" si="4"/>
        <v>1</v>
      </c>
      <c r="K6" s="39">
        <f t="shared" si="4"/>
        <v>1</v>
      </c>
      <c r="L6" s="39">
        <f t="shared" si="4"/>
        <v>1</v>
      </c>
      <c r="M6" s="39">
        <f t="shared" si="4"/>
        <v>1</v>
      </c>
      <c r="N6" s="39">
        <f t="shared" si="4"/>
        <v>1</v>
      </c>
      <c r="O6" s="40">
        <f>ROUND(O5/365,2)</f>
        <v>0.75</v>
      </c>
      <c r="P6" s="41">
        <f>N6-O6</f>
        <v>0.25</v>
      </c>
    </row>
    <row r="8" spans="1:16" x14ac:dyDescent="0.25">
      <c r="A8" s="42" t="s">
        <v>12</v>
      </c>
      <c r="B8" s="43"/>
      <c r="C8" s="44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</row>
    <row r="9" spans="1:16" outlineLevel="1" x14ac:dyDescent="0.25">
      <c r="D9" s="15"/>
      <c r="E9" s="15"/>
      <c r="F9" s="15"/>
      <c r="G9" s="15"/>
      <c r="H9" s="15"/>
      <c r="I9" s="45"/>
      <c r="J9" s="45"/>
      <c r="K9" s="45"/>
      <c r="L9" s="45"/>
      <c r="M9" s="45"/>
      <c r="N9" s="45"/>
    </row>
    <row r="10" spans="1:16" outlineLevel="1" x14ac:dyDescent="0.25">
      <c r="D10" s="15"/>
      <c r="E10" s="15"/>
      <c r="F10" s="15"/>
      <c r="G10" s="36"/>
      <c r="H10" s="36" t="s">
        <v>11</v>
      </c>
      <c r="I10" s="46">
        <v>1</v>
      </c>
      <c r="J10" s="36"/>
      <c r="L10" s="45"/>
      <c r="M10" s="45"/>
      <c r="N10" s="45"/>
    </row>
    <row r="11" spans="1:16" outlineLevel="1" x14ac:dyDescent="0.25">
      <c r="D11" s="15"/>
      <c r="E11" s="15"/>
      <c r="F11" s="15"/>
      <c r="G11" s="15"/>
      <c r="H11" s="15"/>
      <c r="I11" s="45"/>
      <c r="J11" s="45"/>
      <c r="K11" s="45"/>
      <c r="L11" s="45"/>
      <c r="M11" s="45"/>
      <c r="N11" s="45"/>
    </row>
    <row r="12" spans="1:16" s="48" customFormat="1" outlineLevel="1" x14ac:dyDescent="0.25">
      <c r="A12" s="47" t="s">
        <v>13</v>
      </c>
      <c r="C12" s="49"/>
      <c r="H12" s="50"/>
      <c r="I12" s="51"/>
      <c r="J12" s="51"/>
      <c r="K12" s="51"/>
      <c r="L12" s="51"/>
      <c r="M12" s="51"/>
      <c r="N12" s="51"/>
    </row>
    <row r="13" spans="1:16" outlineLevel="1" x14ac:dyDescent="0.25">
      <c r="A13" s="16" t="s">
        <v>14</v>
      </c>
      <c r="B13" s="52"/>
      <c r="C13" s="53"/>
      <c r="D13" s="54"/>
      <c r="E13" s="55"/>
      <c r="F13" s="55"/>
      <c r="G13" s="55"/>
      <c r="H13" s="55"/>
      <c r="I13" s="56">
        <v>0.15</v>
      </c>
      <c r="J13" s="56">
        <v>0.15</v>
      </c>
      <c r="K13" s="56">
        <v>0.12</v>
      </c>
      <c r="L13" s="56">
        <v>0.1</v>
      </c>
      <c r="M13" s="56">
        <v>0.08</v>
      </c>
      <c r="N13" s="56">
        <v>0.06</v>
      </c>
      <c r="O13" s="56">
        <v>0.15</v>
      </c>
      <c r="P13" s="56">
        <v>0.15</v>
      </c>
    </row>
    <row r="14" spans="1:16" outlineLevel="1" x14ac:dyDescent="0.25">
      <c r="A14" s="57" t="s">
        <v>15</v>
      </c>
      <c r="B14" s="57"/>
      <c r="C14" s="58"/>
      <c r="D14" s="59"/>
      <c r="E14" s="59"/>
      <c r="F14" s="59"/>
      <c r="G14" s="59"/>
      <c r="H14" s="59"/>
      <c r="I14" s="60">
        <v>0.42</v>
      </c>
      <c r="J14" s="60">
        <v>0.41</v>
      </c>
      <c r="K14" s="60">
        <v>0.4</v>
      </c>
      <c r="L14" s="60">
        <v>0.4</v>
      </c>
      <c r="M14" s="60">
        <v>0.4</v>
      </c>
      <c r="N14" s="60">
        <v>0.4</v>
      </c>
      <c r="O14" s="60">
        <v>0.42</v>
      </c>
      <c r="P14" s="60">
        <v>0.42</v>
      </c>
    </row>
    <row r="15" spans="1:16" outlineLevel="1" x14ac:dyDescent="0.25">
      <c r="A15" s="57" t="s">
        <v>16</v>
      </c>
      <c r="B15" s="57"/>
      <c r="C15" s="58"/>
      <c r="D15" s="59"/>
      <c r="E15" s="59"/>
      <c r="F15" s="59"/>
      <c r="G15" s="59"/>
      <c r="H15" s="59"/>
      <c r="I15" s="60">
        <v>0.16</v>
      </c>
      <c r="J15" s="60">
        <v>0.16</v>
      </c>
      <c r="K15" s="60">
        <v>0.16</v>
      </c>
      <c r="L15" s="60">
        <v>0.16</v>
      </c>
      <c r="M15" s="60">
        <v>0.16</v>
      </c>
      <c r="N15" s="60">
        <v>0.16</v>
      </c>
      <c r="O15" s="60">
        <v>0.16</v>
      </c>
      <c r="P15" s="60">
        <v>0.16</v>
      </c>
    </row>
    <row r="16" spans="1:16" outlineLevel="1" x14ac:dyDescent="0.25">
      <c r="A16" s="57" t="s">
        <v>17</v>
      </c>
      <c r="B16" s="57"/>
      <c r="C16" s="58"/>
      <c r="D16" s="61"/>
      <c r="E16" s="61"/>
      <c r="F16" s="61"/>
      <c r="G16" s="61"/>
      <c r="H16" s="61"/>
      <c r="I16" s="62">
        <v>7000</v>
      </c>
      <c r="J16" s="62">
        <v>7000</v>
      </c>
      <c r="K16" s="62"/>
      <c r="L16" s="62">
        <v>7000</v>
      </c>
      <c r="M16" s="62">
        <v>7000</v>
      </c>
      <c r="N16" s="62">
        <v>7000</v>
      </c>
      <c r="O16" s="62">
        <v>7000</v>
      </c>
      <c r="P16" s="62">
        <v>7000</v>
      </c>
    </row>
    <row r="17" spans="1:16" outlineLevel="1" x14ac:dyDescent="0.25">
      <c r="A17" s="57" t="s">
        <v>18</v>
      </c>
      <c r="B17" s="57"/>
      <c r="C17" s="58"/>
      <c r="D17" s="59"/>
      <c r="E17" s="59"/>
      <c r="F17" s="59"/>
      <c r="G17" s="59"/>
      <c r="H17" s="59"/>
      <c r="I17" s="60">
        <v>0.2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0.2</v>
      </c>
    </row>
    <row r="18" spans="1:16" outlineLevel="1" x14ac:dyDescent="0.25">
      <c r="A18" s="57" t="s">
        <v>19</v>
      </c>
      <c r="B18" s="57"/>
      <c r="C18" s="58"/>
      <c r="D18" s="59"/>
      <c r="E18" s="59"/>
      <c r="F18" s="59"/>
      <c r="G18" s="59"/>
      <c r="H18" s="59"/>
      <c r="I18" s="60">
        <v>0.08</v>
      </c>
      <c r="J18" s="60">
        <v>0.08</v>
      </c>
      <c r="K18" s="60"/>
      <c r="L18" s="60">
        <v>0.08</v>
      </c>
      <c r="M18" s="60">
        <v>0.08</v>
      </c>
      <c r="N18" s="60">
        <v>0.08</v>
      </c>
      <c r="O18" s="60">
        <v>0.08</v>
      </c>
      <c r="P18" s="60">
        <v>0.08</v>
      </c>
    </row>
    <row r="19" spans="1:16" outlineLevel="1" x14ac:dyDescent="0.25">
      <c r="A19" s="57" t="s">
        <v>20</v>
      </c>
      <c r="B19" s="63"/>
      <c r="C19" s="64"/>
      <c r="D19" s="59"/>
      <c r="E19" s="59"/>
      <c r="F19" s="59"/>
      <c r="G19" s="59"/>
      <c r="H19" s="59"/>
      <c r="I19" s="60">
        <v>0.32</v>
      </c>
      <c r="J19" s="60">
        <v>0.32</v>
      </c>
      <c r="K19" s="60">
        <v>0.32</v>
      </c>
      <c r="L19" s="60">
        <v>0.32</v>
      </c>
      <c r="M19" s="60">
        <v>0.32</v>
      </c>
      <c r="N19" s="60">
        <v>0.32</v>
      </c>
      <c r="O19" s="60">
        <v>0.32</v>
      </c>
      <c r="P19" s="60">
        <v>0.32</v>
      </c>
    </row>
    <row r="20" spans="1:16" outlineLevel="1" x14ac:dyDescent="0.25">
      <c r="A20" s="12" t="s">
        <v>21</v>
      </c>
      <c r="C20" s="65"/>
      <c r="D20" s="15"/>
      <c r="E20" s="15"/>
      <c r="F20" s="15"/>
      <c r="G20" s="15"/>
      <c r="H20" s="15"/>
      <c r="I20" s="45">
        <v>22</v>
      </c>
      <c r="J20" s="45">
        <v>18</v>
      </c>
      <c r="K20" s="45">
        <v>18</v>
      </c>
      <c r="L20" s="45">
        <v>18</v>
      </c>
      <c r="M20" s="45">
        <v>18</v>
      </c>
      <c r="N20" s="45">
        <v>18</v>
      </c>
      <c r="O20" s="45">
        <v>22</v>
      </c>
      <c r="P20" s="45">
        <v>22</v>
      </c>
    </row>
    <row r="21" spans="1:16" outlineLevel="1" x14ac:dyDescent="0.25">
      <c r="A21" s="12" t="s">
        <v>22</v>
      </c>
      <c r="C21" s="65"/>
      <c r="D21" s="15"/>
      <c r="E21" s="15"/>
      <c r="F21" s="15"/>
      <c r="G21" s="15"/>
      <c r="H21" s="15"/>
      <c r="I21" s="45">
        <v>75</v>
      </c>
      <c r="J21" s="45">
        <v>75</v>
      </c>
      <c r="K21" s="45">
        <v>75</v>
      </c>
      <c r="L21" s="45">
        <v>75</v>
      </c>
      <c r="M21" s="45">
        <v>75</v>
      </c>
      <c r="N21" s="45">
        <v>75</v>
      </c>
      <c r="O21" s="45">
        <v>75</v>
      </c>
      <c r="P21" s="45">
        <v>75</v>
      </c>
    </row>
    <row r="22" spans="1:16" outlineLevel="1" x14ac:dyDescent="0.25">
      <c r="A22" s="12" t="s">
        <v>23</v>
      </c>
      <c r="C22" s="65"/>
      <c r="D22" s="15"/>
      <c r="E22" s="15"/>
      <c r="F22" s="15"/>
      <c r="G22" s="15"/>
      <c r="H22" s="15"/>
      <c r="I22" s="45">
        <v>39</v>
      </c>
      <c r="J22" s="45">
        <v>39</v>
      </c>
      <c r="K22" s="45">
        <v>39</v>
      </c>
      <c r="L22" s="45">
        <v>39</v>
      </c>
      <c r="M22" s="45">
        <v>39</v>
      </c>
      <c r="N22" s="45">
        <v>39</v>
      </c>
      <c r="O22" s="45">
        <v>39</v>
      </c>
      <c r="P22" s="45">
        <v>39</v>
      </c>
    </row>
    <row r="23" spans="1:16" outlineLevel="1" x14ac:dyDescent="0.25">
      <c r="A23" s="12" t="s">
        <v>24</v>
      </c>
      <c r="D23" s="15"/>
      <c r="E23" s="15"/>
      <c r="F23" s="15"/>
      <c r="G23" s="15"/>
      <c r="H23" s="15"/>
      <c r="I23" s="45">
        <v>5750</v>
      </c>
      <c r="J23" s="45">
        <v>5750</v>
      </c>
      <c r="K23" s="45">
        <v>5750</v>
      </c>
      <c r="L23" s="45">
        <v>5750</v>
      </c>
      <c r="M23" s="45">
        <v>5750</v>
      </c>
      <c r="N23" s="45">
        <v>5750</v>
      </c>
      <c r="O23" s="45">
        <v>5750</v>
      </c>
      <c r="P23" s="45">
        <v>5750</v>
      </c>
    </row>
    <row r="24" spans="1:16" outlineLevel="1" x14ac:dyDescent="0.25">
      <c r="A24" s="12" t="s">
        <v>25</v>
      </c>
      <c r="D24" s="15"/>
      <c r="E24" s="15"/>
      <c r="F24" s="15"/>
      <c r="G24" s="15"/>
      <c r="H24" s="15"/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-10000</v>
      </c>
      <c r="O24" s="45">
        <v>0</v>
      </c>
      <c r="P24" s="45">
        <v>0</v>
      </c>
    </row>
    <row r="25" spans="1:16" outlineLevel="1" x14ac:dyDescent="0.25">
      <c r="A25" s="12" t="s">
        <v>26</v>
      </c>
      <c r="D25" s="15"/>
      <c r="E25" s="15"/>
      <c r="F25" s="15"/>
      <c r="G25" s="15"/>
      <c r="H25" s="15"/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</row>
    <row r="26" spans="1:16" outlineLevel="1" x14ac:dyDescent="0.25">
      <c r="A26" s="12" t="s">
        <v>231</v>
      </c>
      <c r="D26" s="15"/>
      <c r="E26" s="15"/>
      <c r="F26" s="15"/>
      <c r="G26" s="15"/>
      <c r="H26" s="15"/>
      <c r="I26" s="45">
        <v>0</v>
      </c>
      <c r="J26" s="45">
        <v>0</v>
      </c>
      <c r="K26" s="45">
        <v>0</v>
      </c>
      <c r="L26" s="45">
        <v>0</v>
      </c>
      <c r="M26" s="45">
        <v>200</v>
      </c>
      <c r="N26" s="45">
        <v>200</v>
      </c>
      <c r="O26" s="45">
        <v>0</v>
      </c>
      <c r="P26" s="45">
        <v>0</v>
      </c>
    </row>
    <row r="27" spans="1:16" outlineLevel="1" x14ac:dyDescent="0.25">
      <c r="D27" s="15"/>
      <c r="E27" s="15"/>
      <c r="F27" s="15"/>
      <c r="G27" s="15"/>
      <c r="H27" s="15"/>
      <c r="I27" s="45"/>
      <c r="J27" s="45"/>
      <c r="K27" s="45"/>
      <c r="L27" s="45"/>
      <c r="M27" s="45"/>
      <c r="N27" s="45"/>
    </row>
    <row r="28" spans="1:16" s="48" customFormat="1" outlineLevel="1" x14ac:dyDescent="0.25">
      <c r="A28" s="47" t="s">
        <v>27</v>
      </c>
      <c r="C28" s="49"/>
      <c r="H28" s="50"/>
      <c r="I28" s="51"/>
      <c r="J28" s="51"/>
      <c r="K28" s="51"/>
      <c r="L28" s="51"/>
      <c r="M28" s="51"/>
      <c r="N28" s="51"/>
    </row>
    <row r="29" spans="1:16" outlineLevel="1" x14ac:dyDescent="0.25">
      <c r="A29" s="16" t="s">
        <v>14</v>
      </c>
      <c r="B29" s="52"/>
      <c r="C29" s="53"/>
      <c r="D29" s="54"/>
      <c r="E29" s="55"/>
      <c r="F29" s="55"/>
      <c r="G29" s="55"/>
      <c r="H29" s="55"/>
      <c r="I29" s="56">
        <v>0.05</v>
      </c>
      <c r="J29" s="56">
        <v>4.4999999999999998E-2</v>
      </c>
      <c r="K29" s="56">
        <v>0.04</v>
      </c>
      <c r="L29" s="56">
        <v>3.5000000000000003E-2</v>
      </c>
      <c r="M29" s="56">
        <v>0.03</v>
      </c>
      <c r="N29" s="56">
        <v>0.03</v>
      </c>
      <c r="O29" s="56">
        <v>0.05</v>
      </c>
      <c r="P29" s="56">
        <v>0.05</v>
      </c>
    </row>
    <row r="30" spans="1:16" outlineLevel="1" x14ac:dyDescent="0.25">
      <c r="A30" s="57" t="s">
        <v>15</v>
      </c>
      <c r="B30" s="57"/>
      <c r="C30" s="58"/>
      <c r="D30" s="59"/>
      <c r="E30" s="59"/>
      <c r="F30" s="59"/>
      <c r="G30" s="59"/>
      <c r="H30" s="59"/>
      <c r="I30" s="60">
        <v>0.37</v>
      </c>
      <c r="J30" s="60">
        <v>0.37</v>
      </c>
      <c r="K30" s="60">
        <v>0.36</v>
      </c>
      <c r="L30" s="60">
        <v>0.36</v>
      </c>
      <c r="M30" s="60">
        <v>0.35</v>
      </c>
      <c r="N30" s="60">
        <v>0.35</v>
      </c>
      <c r="O30" s="60">
        <v>0.37</v>
      </c>
      <c r="P30" s="60">
        <v>0.37</v>
      </c>
    </row>
    <row r="31" spans="1:16" outlineLevel="1" x14ac:dyDescent="0.25">
      <c r="A31" s="57" t="s">
        <v>16</v>
      </c>
      <c r="B31" s="57"/>
      <c r="C31" s="58"/>
      <c r="D31" s="59"/>
      <c r="E31" s="59"/>
      <c r="F31" s="59"/>
      <c r="G31" s="59"/>
      <c r="H31" s="59"/>
      <c r="I31" s="60">
        <v>0.17</v>
      </c>
      <c r="J31" s="60">
        <v>0.17</v>
      </c>
      <c r="K31" s="60">
        <v>0.17</v>
      </c>
      <c r="L31" s="60">
        <v>0.17</v>
      </c>
      <c r="M31" s="60">
        <v>0.17</v>
      </c>
      <c r="N31" s="60">
        <v>0.17</v>
      </c>
      <c r="O31" s="60">
        <v>0.17</v>
      </c>
      <c r="P31" s="60">
        <v>0.17</v>
      </c>
    </row>
    <row r="32" spans="1:16" outlineLevel="1" x14ac:dyDescent="0.25">
      <c r="A32" s="57" t="s">
        <v>17</v>
      </c>
      <c r="B32" s="57"/>
      <c r="C32" s="58"/>
      <c r="D32" s="61"/>
      <c r="E32" s="61"/>
      <c r="F32" s="61"/>
      <c r="G32" s="61"/>
      <c r="H32" s="61"/>
      <c r="I32" s="62">
        <v>10000</v>
      </c>
      <c r="J32" s="62">
        <v>10000</v>
      </c>
      <c r="K32" s="62">
        <v>10000</v>
      </c>
      <c r="L32" s="62">
        <v>10000</v>
      </c>
      <c r="M32" s="62">
        <v>10000</v>
      </c>
      <c r="N32" s="62">
        <v>10000</v>
      </c>
      <c r="O32" s="62">
        <v>10000</v>
      </c>
      <c r="P32" s="62">
        <v>10000</v>
      </c>
    </row>
    <row r="33" spans="1:16" outlineLevel="1" x14ac:dyDescent="0.25">
      <c r="A33" s="57" t="s">
        <v>18</v>
      </c>
      <c r="B33" s="57"/>
      <c r="C33" s="58"/>
      <c r="D33" s="59"/>
      <c r="E33" s="59"/>
      <c r="F33" s="59"/>
      <c r="G33" s="59"/>
      <c r="H33" s="59"/>
      <c r="I33" s="60">
        <v>0.2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0.2</v>
      </c>
    </row>
    <row r="34" spans="1:16" outlineLevel="1" x14ac:dyDescent="0.25">
      <c r="A34" s="57" t="s">
        <v>19</v>
      </c>
      <c r="B34" s="57"/>
      <c r="C34" s="58"/>
      <c r="D34" s="59"/>
      <c r="E34" s="59"/>
      <c r="F34" s="59"/>
      <c r="G34" s="59"/>
      <c r="H34" s="59"/>
      <c r="I34" s="60">
        <v>0.05</v>
      </c>
      <c r="J34" s="60">
        <v>0.05</v>
      </c>
      <c r="K34" s="60">
        <v>0.05</v>
      </c>
      <c r="L34" s="60">
        <v>0.05</v>
      </c>
      <c r="M34" s="60">
        <v>0.05</v>
      </c>
      <c r="N34" s="60">
        <v>0.05</v>
      </c>
      <c r="O34" s="60">
        <v>0.05</v>
      </c>
      <c r="P34" s="60">
        <v>0.05</v>
      </c>
    </row>
    <row r="35" spans="1:16" outlineLevel="1" x14ac:dyDescent="0.25">
      <c r="A35" s="57" t="s">
        <v>20</v>
      </c>
      <c r="B35" s="63"/>
      <c r="C35" s="64"/>
      <c r="D35" s="59"/>
      <c r="E35" s="59"/>
      <c r="F35" s="59"/>
      <c r="G35" s="59"/>
      <c r="H35" s="59"/>
      <c r="I35" s="60">
        <v>0.28000000000000003</v>
      </c>
      <c r="J35" s="60">
        <v>0.28000000000000003</v>
      </c>
      <c r="K35" s="60">
        <v>0.28000000000000003</v>
      </c>
      <c r="L35" s="60">
        <v>0.28000000000000003</v>
      </c>
      <c r="M35" s="60">
        <v>0.28000000000000003</v>
      </c>
      <c r="N35" s="60">
        <v>0.28000000000000003</v>
      </c>
      <c r="O35" s="60">
        <v>0.28000000000000003</v>
      </c>
      <c r="P35" s="60">
        <v>0.28000000000000003</v>
      </c>
    </row>
    <row r="36" spans="1:16" outlineLevel="1" x14ac:dyDescent="0.25">
      <c r="A36" s="12" t="s">
        <v>21</v>
      </c>
      <c r="C36" s="65"/>
      <c r="D36" s="15"/>
      <c r="E36" s="15"/>
      <c r="F36" s="15"/>
      <c r="G36" s="15"/>
      <c r="H36" s="15"/>
      <c r="I36" s="45">
        <v>18</v>
      </c>
      <c r="J36" s="45">
        <v>18</v>
      </c>
      <c r="K36" s="45">
        <v>18</v>
      </c>
      <c r="L36" s="45">
        <v>18</v>
      </c>
      <c r="M36" s="45">
        <v>18</v>
      </c>
      <c r="N36" s="45">
        <v>18</v>
      </c>
      <c r="O36" s="45">
        <v>18</v>
      </c>
      <c r="P36" s="45">
        <v>18</v>
      </c>
    </row>
    <row r="37" spans="1:16" outlineLevel="1" x14ac:dyDescent="0.25">
      <c r="A37" s="12" t="s">
        <v>22</v>
      </c>
      <c r="C37" s="65"/>
      <c r="D37" s="15"/>
      <c r="E37" s="15"/>
      <c r="F37" s="15"/>
      <c r="G37" s="15"/>
      <c r="H37" s="15"/>
      <c r="I37" s="45">
        <v>73</v>
      </c>
      <c r="J37" s="45">
        <v>73</v>
      </c>
      <c r="K37" s="45">
        <v>73</v>
      </c>
      <c r="L37" s="45">
        <v>73</v>
      </c>
      <c r="M37" s="45">
        <v>73</v>
      </c>
      <c r="N37" s="45">
        <v>73</v>
      </c>
      <c r="O37" s="45">
        <v>73</v>
      </c>
      <c r="P37" s="45">
        <v>73</v>
      </c>
    </row>
    <row r="38" spans="1:16" outlineLevel="1" x14ac:dyDescent="0.25">
      <c r="A38" s="12" t="s">
        <v>23</v>
      </c>
      <c r="C38" s="65"/>
      <c r="D38" s="15"/>
      <c r="E38" s="15"/>
      <c r="F38" s="15"/>
      <c r="G38" s="15"/>
      <c r="H38" s="15"/>
      <c r="I38" s="45">
        <v>37</v>
      </c>
      <c r="J38" s="45">
        <v>37</v>
      </c>
      <c r="K38" s="45">
        <v>37</v>
      </c>
      <c r="L38" s="45">
        <v>37</v>
      </c>
      <c r="M38" s="45">
        <v>37</v>
      </c>
      <c r="N38" s="45">
        <v>37</v>
      </c>
      <c r="O38" s="45">
        <v>37</v>
      </c>
      <c r="P38" s="45">
        <v>37</v>
      </c>
    </row>
    <row r="39" spans="1:16" outlineLevel="1" x14ac:dyDescent="0.25">
      <c r="A39" s="12" t="s">
        <v>24</v>
      </c>
      <c r="D39" s="15"/>
      <c r="E39" s="15"/>
      <c r="F39" s="15"/>
      <c r="G39" s="15"/>
      <c r="H39" s="15"/>
      <c r="I39" s="45">
        <v>15000</v>
      </c>
      <c r="J39" s="45">
        <v>15000</v>
      </c>
      <c r="K39" s="45">
        <v>15000</v>
      </c>
      <c r="L39" s="45">
        <v>15000</v>
      </c>
      <c r="M39" s="45">
        <v>15000</v>
      </c>
      <c r="N39" s="45">
        <v>15000</v>
      </c>
      <c r="O39" s="45">
        <v>15000</v>
      </c>
      <c r="P39" s="45">
        <v>15000</v>
      </c>
    </row>
    <row r="40" spans="1:16" outlineLevel="1" x14ac:dyDescent="0.25">
      <c r="A40" s="12" t="s">
        <v>25</v>
      </c>
      <c r="D40" s="15"/>
      <c r="E40" s="15"/>
      <c r="F40" s="15"/>
      <c r="G40" s="15"/>
      <c r="H40" s="15"/>
      <c r="I40" s="45">
        <v>0</v>
      </c>
      <c r="J40" s="45">
        <v>0</v>
      </c>
      <c r="K40" s="45">
        <v>-20000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</row>
    <row r="41" spans="1:16" outlineLevel="1" x14ac:dyDescent="0.25">
      <c r="A41" s="12" t="s">
        <v>26</v>
      </c>
      <c r="D41" s="15"/>
      <c r="E41" s="15"/>
      <c r="F41" s="15"/>
      <c r="G41" s="15"/>
      <c r="H41" s="15"/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</row>
    <row r="42" spans="1:16" outlineLevel="1" x14ac:dyDescent="0.25">
      <c r="A42" s="12" t="s">
        <v>231</v>
      </c>
      <c r="D42" s="15"/>
      <c r="E42" s="15"/>
      <c r="F42" s="15"/>
      <c r="G42" s="15"/>
      <c r="H42" s="15"/>
      <c r="I42" s="45">
        <v>0</v>
      </c>
      <c r="J42" s="45">
        <v>0</v>
      </c>
      <c r="K42" s="45">
        <v>0</v>
      </c>
      <c r="L42" s="45">
        <v>0</v>
      </c>
      <c r="M42" s="45">
        <v>100</v>
      </c>
      <c r="N42" s="45">
        <v>100</v>
      </c>
      <c r="O42" s="45">
        <v>0</v>
      </c>
      <c r="P42" s="45">
        <v>0</v>
      </c>
    </row>
    <row r="43" spans="1:16" outlineLevel="1" x14ac:dyDescent="0.25">
      <c r="D43" s="15"/>
      <c r="E43" s="15"/>
      <c r="F43" s="15"/>
      <c r="G43" s="15"/>
      <c r="H43" s="15"/>
      <c r="I43" s="45"/>
      <c r="J43" s="45"/>
      <c r="K43" s="45"/>
      <c r="L43" s="45"/>
      <c r="M43" s="45"/>
      <c r="N43" s="45"/>
    </row>
    <row r="44" spans="1:16" outlineLevel="1" x14ac:dyDescent="0.25">
      <c r="A44" s="47" t="s">
        <v>11</v>
      </c>
      <c r="D44" s="15"/>
      <c r="E44" s="15"/>
      <c r="F44" s="15"/>
      <c r="G44" s="15"/>
      <c r="H44" s="15"/>
      <c r="I44" s="45"/>
      <c r="J44" s="45"/>
      <c r="K44" s="45"/>
      <c r="L44" s="45"/>
      <c r="M44" s="45"/>
      <c r="N44" s="45"/>
    </row>
    <row r="45" spans="1:16" outlineLevel="1" x14ac:dyDescent="0.25">
      <c r="A45" s="16" t="s">
        <v>14</v>
      </c>
      <c r="B45" s="52"/>
      <c r="C45" s="53"/>
      <c r="D45" s="54"/>
      <c r="E45" s="55"/>
      <c r="F45" s="55"/>
      <c r="G45" s="55"/>
      <c r="H45" s="55"/>
      <c r="I45" s="55">
        <f>CHOOSE($I$10,I13,I29)</f>
        <v>0.15</v>
      </c>
      <c r="J45" s="55">
        <f t="shared" ref="I45:N58" si="5">CHOOSE($I$10,J13,J29)</f>
        <v>0.15</v>
      </c>
      <c r="K45" s="55">
        <f t="shared" si="5"/>
        <v>0.12</v>
      </c>
      <c r="L45" s="55">
        <f t="shared" si="5"/>
        <v>0.1</v>
      </c>
      <c r="M45" s="55">
        <f t="shared" si="5"/>
        <v>0.08</v>
      </c>
      <c r="N45" s="55">
        <f t="shared" si="5"/>
        <v>0.06</v>
      </c>
      <c r="O45" s="55">
        <f t="shared" ref="O45:P58" si="6">CHOOSE($I$10,O13,O29)</f>
        <v>0.15</v>
      </c>
      <c r="P45" s="55">
        <f t="shared" si="6"/>
        <v>0.15</v>
      </c>
    </row>
    <row r="46" spans="1:16" outlineLevel="1" x14ac:dyDescent="0.25">
      <c r="A46" s="57" t="s">
        <v>15</v>
      </c>
      <c r="B46" s="57"/>
      <c r="C46" s="58"/>
      <c r="D46" s="59"/>
      <c r="E46" s="59"/>
      <c r="F46" s="59"/>
      <c r="G46" s="59"/>
      <c r="H46" s="59"/>
      <c r="I46" s="59">
        <f t="shared" si="5"/>
        <v>0.42</v>
      </c>
      <c r="J46" s="59">
        <f t="shared" si="5"/>
        <v>0.41</v>
      </c>
      <c r="K46" s="59">
        <f t="shared" si="5"/>
        <v>0.4</v>
      </c>
      <c r="L46" s="59">
        <f t="shared" si="5"/>
        <v>0.4</v>
      </c>
      <c r="M46" s="59">
        <f t="shared" si="5"/>
        <v>0.4</v>
      </c>
      <c r="N46" s="59">
        <f t="shared" si="5"/>
        <v>0.4</v>
      </c>
      <c r="O46" s="59">
        <f t="shared" si="6"/>
        <v>0.42</v>
      </c>
      <c r="P46" s="59">
        <f t="shared" si="6"/>
        <v>0.42</v>
      </c>
    </row>
    <row r="47" spans="1:16" outlineLevel="1" x14ac:dyDescent="0.25">
      <c r="A47" s="57" t="s">
        <v>185</v>
      </c>
      <c r="B47" s="57"/>
      <c r="C47" s="58"/>
      <c r="D47" s="59"/>
      <c r="E47" s="59"/>
      <c r="F47" s="59"/>
      <c r="G47" s="59"/>
      <c r="H47" s="59"/>
      <c r="I47" s="59">
        <f t="shared" si="5"/>
        <v>0.16</v>
      </c>
      <c r="J47" s="59">
        <f t="shared" si="5"/>
        <v>0.16</v>
      </c>
      <c r="K47" s="59">
        <f t="shared" si="5"/>
        <v>0.16</v>
      </c>
      <c r="L47" s="59">
        <f t="shared" si="5"/>
        <v>0.16</v>
      </c>
      <c r="M47" s="59">
        <f t="shared" si="5"/>
        <v>0.16</v>
      </c>
      <c r="N47" s="59">
        <f t="shared" si="5"/>
        <v>0.16</v>
      </c>
      <c r="O47" s="59">
        <f t="shared" si="6"/>
        <v>0.16</v>
      </c>
      <c r="P47" s="59">
        <f t="shared" si="6"/>
        <v>0.16</v>
      </c>
    </row>
    <row r="48" spans="1:16" outlineLevel="1" x14ac:dyDescent="0.25">
      <c r="A48" s="57" t="s">
        <v>184</v>
      </c>
      <c r="B48" s="57"/>
      <c r="C48" s="58"/>
      <c r="D48" s="61"/>
      <c r="E48" s="61"/>
      <c r="F48" s="61"/>
      <c r="G48" s="61"/>
      <c r="H48" s="61"/>
      <c r="I48" s="61">
        <f t="shared" si="5"/>
        <v>7000</v>
      </c>
      <c r="J48" s="61">
        <f t="shared" si="5"/>
        <v>7000</v>
      </c>
      <c r="K48" s="61">
        <f t="shared" si="5"/>
        <v>0</v>
      </c>
      <c r="L48" s="61">
        <f t="shared" si="5"/>
        <v>7000</v>
      </c>
      <c r="M48" s="61">
        <f t="shared" si="5"/>
        <v>7000</v>
      </c>
      <c r="N48" s="61">
        <f t="shared" si="5"/>
        <v>7000</v>
      </c>
      <c r="O48" s="61">
        <f t="shared" si="6"/>
        <v>7000</v>
      </c>
      <c r="P48" s="61">
        <f t="shared" si="6"/>
        <v>7000</v>
      </c>
    </row>
    <row r="49" spans="1:16" outlineLevel="1" x14ac:dyDescent="0.25">
      <c r="A49" s="57" t="s">
        <v>18</v>
      </c>
      <c r="B49" s="57"/>
      <c r="C49" s="58"/>
      <c r="D49" s="59"/>
      <c r="E49" s="59"/>
      <c r="F49" s="59"/>
      <c r="G49" s="59"/>
      <c r="H49" s="59"/>
      <c r="I49" s="59">
        <f t="shared" si="5"/>
        <v>0.2</v>
      </c>
      <c r="J49" s="59">
        <f t="shared" si="5"/>
        <v>0.2</v>
      </c>
      <c r="K49" s="59">
        <f t="shared" si="5"/>
        <v>0.2</v>
      </c>
      <c r="L49" s="59">
        <f t="shared" si="5"/>
        <v>0.2</v>
      </c>
      <c r="M49" s="59">
        <f t="shared" si="5"/>
        <v>0.2</v>
      </c>
      <c r="N49" s="59">
        <f t="shared" si="5"/>
        <v>0.2</v>
      </c>
      <c r="O49" s="59">
        <f t="shared" si="6"/>
        <v>0.2</v>
      </c>
      <c r="P49" s="59">
        <f t="shared" si="6"/>
        <v>0.2</v>
      </c>
    </row>
    <row r="50" spans="1:16" outlineLevel="1" x14ac:dyDescent="0.25">
      <c r="A50" s="57" t="s">
        <v>19</v>
      </c>
      <c r="B50" s="57"/>
      <c r="C50" s="58"/>
      <c r="D50" s="59"/>
      <c r="E50" s="59"/>
      <c r="F50" s="59"/>
      <c r="G50" s="59"/>
      <c r="H50" s="59"/>
      <c r="I50" s="59">
        <f t="shared" si="5"/>
        <v>0.08</v>
      </c>
      <c r="J50" s="59">
        <f t="shared" si="5"/>
        <v>0.08</v>
      </c>
      <c r="K50" s="59">
        <f t="shared" si="5"/>
        <v>0</v>
      </c>
      <c r="L50" s="59">
        <f t="shared" si="5"/>
        <v>0.08</v>
      </c>
      <c r="M50" s="59">
        <f t="shared" si="5"/>
        <v>0.08</v>
      </c>
      <c r="N50" s="59">
        <f t="shared" si="5"/>
        <v>0.08</v>
      </c>
      <c r="O50" s="59">
        <f t="shared" si="6"/>
        <v>0.08</v>
      </c>
      <c r="P50" s="59">
        <f t="shared" si="6"/>
        <v>0.08</v>
      </c>
    </row>
    <row r="51" spans="1:16" outlineLevel="1" x14ac:dyDescent="0.25">
      <c r="A51" s="57" t="s">
        <v>20</v>
      </c>
      <c r="B51" s="63"/>
      <c r="C51" s="64"/>
      <c r="D51" s="59"/>
      <c r="E51" s="59"/>
      <c r="F51" s="59"/>
      <c r="G51" s="59"/>
      <c r="H51" s="59"/>
      <c r="I51" s="59">
        <f t="shared" si="5"/>
        <v>0.32</v>
      </c>
      <c r="J51" s="59">
        <f t="shared" si="5"/>
        <v>0.32</v>
      </c>
      <c r="K51" s="59">
        <f t="shared" si="5"/>
        <v>0.32</v>
      </c>
      <c r="L51" s="59">
        <f t="shared" si="5"/>
        <v>0.32</v>
      </c>
      <c r="M51" s="59">
        <f t="shared" si="5"/>
        <v>0.32</v>
      </c>
      <c r="N51" s="59">
        <f t="shared" si="5"/>
        <v>0.32</v>
      </c>
      <c r="O51" s="59">
        <f t="shared" si="6"/>
        <v>0.32</v>
      </c>
      <c r="P51" s="59">
        <f t="shared" si="6"/>
        <v>0.32</v>
      </c>
    </row>
    <row r="52" spans="1:16" outlineLevel="1" x14ac:dyDescent="0.25">
      <c r="A52" s="12" t="s">
        <v>21</v>
      </c>
      <c r="C52" s="65"/>
      <c r="D52" s="15"/>
      <c r="E52" s="15"/>
      <c r="F52" s="15"/>
      <c r="G52" s="15"/>
      <c r="H52" s="15"/>
      <c r="I52" s="15">
        <f t="shared" si="5"/>
        <v>22</v>
      </c>
      <c r="J52" s="15">
        <f t="shared" si="5"/>
        <v>18</v>
      </c>
      <c r="K52" s="15">
        <f t="shared" si="5"/>
        <v>18</v>
      </c>
      <c r="L52" s="15">
        <f t="shared" si="5"/>
        <v>18</v>
      </c>
      <c r="M52" s="15">
        <f t="shared" si="5"/>
        <v>18</v>
      </c>
      <c r="N52" s="15">
        <f t="shared" si="5"/>
        <v>18</v>
      </c>
      <c r="O52" s="15">
        <f t="shared" si="6"/>
        <v>22</v>
      </c>
      <c r="P52" s="15">
        <f t="shared" si="6"/>
        <v>22</v>
      </c>
    </row>
    <row r="53" spans="1:16" outlineLevel="1" x14ac:dyDescent="0.25">
      <c r="A53" s="12" t="s">
        <v>22</v>
      </c>
      <c r="C53" s="65"/>
      <c r="D53" s="15"/>
      <c r="E53" s="15"/>
      <c r="F53" s="15"/>
      <c r="G53" s="15"/>
      <c r="H53" s="15"/>
      <c r="I53" s="15">
        <f t="shared" si="5"/>
        <v>75</v>
      </c>
      <c r="J53" s="15">
        <f t="shared" si="5"/>
        <v>75</v>
      </c>
      <c r="K53" s="15">
        <f t="shared" si="5"/>
        <v>75</v>
      </c>
      <c r="L53" s="15">
        <f t="shared" si="5"/>
        <v>75</v>
      </c>
      <c r="M53" s="15">
        <f t="shared" si="5"/>
        <v>75</v>
      </c>
      <c r="N53" s="15">
        <f t="shared" si="5"/>
        <v>75</v>
      </c>
      <c r="O53" s="15">
        <f t="shared" si="6"/>
        <v>75</v>
      </c>
      <c r="P53" s="15">
        <f t="shared" si="6"/>
        <v>75</v>
      </c>
    </row>
    <row r="54" spans="1:16" outlineLevel="1" x14ac:dyDescent="0.25">
      <c r="A54" s="12" t="s">
        <v>23</v>
      </c>
      <c r="C54" s="65"/>
      <c r="D54" s="15"/>
      <c r="E54" s="15"/>
      <c r="F54" s="15"/>
      <c r="G54" s="15"/>
      <c r="H54" s="15"/>
      <c r="I54" s="15">
        <f t="shared" si="5"/>
        <v>39</v>
      </c>
      <c r="J54" s="15">
        <f t="shared" si="5"/>
        <v>39</v>
      </c>
      <c r="K54" s="15">
        <f t="shared" si="5"/>
        <v>39</v>
      </c>
      <c r="L54" s="15">
        <f t="shared" si="5"/>
        <v>39</v>
      </c>
      <c r="M54" s="15">
        <f t="shared" si="5"/>
        <v>39</v>
      </c>
      <c r="N54" s="15">
        <f t="shared" si="5"/>
        <v>39</v>
      </c>
      <c r="O54" s="15">
        <f t="shared" si="6"/>
        <v>39</v>
      </c>
      <c r="P54" s="15">
        <f t="shared" si="6"/>
        <v>39</v>
      </c>
    </row>
    <row r="55" spans="1:16" outlineLevel="1" x14ac:dyDescent="0.25">
      <c r="A55" s="12" t="s">
        <v>24</v>
      </c>
      <c r="D55" s="15"/>
      <c r="E55" s="15"/>
      <c r="F55" s="15"/>
      <c r="G55" s="15"/>
      <c r="H55" s="15"/>
      <c r="I55" s="15">
        <f t="shared" si="5"/>
        <v>5750</v>
      </c>
      <c r="J55" s="15">
        <f t="shared" si="5"/>
        <v>5750</v>
      </c>
      <c r="K55" s="15">
        <f t="shared" si="5"/>
        <v>5750</v>
      </c>
      <c r="L55" s="15">
        <f t="shared" si="5"/>
        <v>5750</v>
      </c>
      <c r="M55" s="15">
        <f t="shared" si="5"/>
        <v>5750</v>
      </c>
      <c r="N55" s="15">
        <f t="shared" si="5"/>
        <v>5750</v>
      </c>
      <c r="O55" s="15">
        <f t="shared" si="6"/>
        <v>5750</v>
      </c>
      <c r="P55" s="15">
        <f t="shared" si="6"/>
        <v>5750</v>
      </c>
    </row>
    <row r="56" spans="1:16" outlineLevel="1" x14ac:dyDescent="0.25">
      <c r="A56" s="12" t="s">
        <v>25</v>
      </c>
      <c r="D56" s="15"/>
      <c r="E56" s="15"/>
      <c r="F56" s="15"/>
      <c r="G56" s="15"/>
      <c r="H56" s="15"/>
      <c r="I56" s="15">
        <f t="shared" si="5"/>
        <v>0</v>
      </c>
      <c r="J56" s="15">
        <f t="shared" si="5"/>
        <v>0</v>
      </c>
      <c r="K56" s="15">
        <f t="shared" si="5"/>
        <v>0</v>
      </c>
      <c r="L56" s="15">
        <f t="shared" si="5"/>
        <v>0</v>
      </c>
      <c r="M56" s="15">
        <f t="shared" si="5"/>
        <v>0</v>
      </c>
      <c r="N56" s="15">
        <f t="shared" si="5"/>
        <v>-10000</v>
      </c>
      <c r="O56" s="15">
        <f t="shared" si="6"/>
        <v>0</v>
      </c>
      <c r="P56" s="15">
        <f t="shared" si="6"/>
        <v>0</v>
      </c>
    </row>
    <row r="57" spans="1:16" outlineLevel="1" x14ac:dyDescent="0.25">
      <c r="A57" s="12" t="s">
        <v>26</v>
      </c>
      <c r="D57" s="15"/>
      <c r="E57" s="15"/>
      <c r="F57" s="15"/>
      <c r="G57" s="15"/>
      <c r="H57" s="15"/>
      <c r="I57" s="15">
        <f t="shared" si="5"/>
        <v>0</v>
      </c>
      <c r="J57" s="15">
        <f t="shared" si="5"/>
        <v>0</v>
      </c>
      <c r="K57" s="15">
        <f t="shared" si="5"/>
        <v>0</v>
      </c>
      <c r="L57" s="15">
        <f t="shared" si="5"/>
        <v>0</v>
      </c>
      <c r="M57" s="15">
        <f t="shared" si="5"/>
        <v>0</v>
      </c>
      <c r="N57" s="15">
        <f t="shared" si="5"/>
        <v>0</v>
      </c>
      <c r="O57" s="15">
        <f t="shared" si="6"/>
        <v>0</v>
      </c>
      <c r="P57" s="15">
        <f t="shared" si="6"/>
        <v>0</v>
      </c>
    </row>
    <row r="58" spans="1:16" outlineLevel="1" x14ac:dyDescent="0.25">
      <c r="A58" s="12" t="s">
        <v>231</v>
      </c>
      <c r="D58" s="15"/>
      <c r="E58" s="15"/>
      <c r="F58" s="15"/>
      <c r="G58" s="15"/>
      <c r="H58" s="15"/>
      <c r="I58" s="15">
        <f t="shared" si="5"/>
        <v>0</v>
      </c>
      <c r="J58" s="15">
        <f t="shared" si="5"/>
        <v>0</v>
      </c>
      <c r="K58" s="15">
        <f t="shared" si="5"/>
        <v>0</v>
      </c>
      <c r="L58" s="15">
        <f t="shared" si="5"/>
        <v>0</v>
      </c>
      <c r="M58" s="15">
        <f t="shared" si="5"/>
        <v>200</v>
      </c>
      <c r="N58" s="15">
        <f t="shared" si="5"/>
        <v>200</v>
      </c>
      <c r="O58" s="15">
        <f t="shared" si="6"/>
        <v>0</v>
      </c>
      <c r="P58" s="15">
        <f t="shared" si="6"/>
        <v>0</v>
      </c>
    </row>
    <row r="59" spans="1:16" outlineLevel="1" x14ac:dyDescent="0.25">
      <c r="D59" s="15"/>
      <c r="E59" s="15"/>
      <c r="F59" s="15"/>
      <c r="G59" s="15"/>
      <c r="H59" s="15"/>
      <c r="I59" s="45"/>
      <c r="J59" s="45"/>
      <c r="K59" s="45"/>
      <c r="L59" s="45"/>
      <c r="M59" s="45"/>
      <c r="N59" s="45"/>
    </row>
    <row r="60" spans="1:16" x14ac:dyDescent="0.25">
      <c r="D60" s="15"/>
      <c r="E60" s="15"/>
      <c r="F60" s="15"/>
      <c r="G60" s="15"/>
      <c r="H60" s="15"/>
      <c r="I60" s="45"/>
      <c r="J60" s="45"/>
      <c r="K60" s="45"/>
      <c r="L60" s="45"/>
      <c r="M60" s="45"/>
      <c r="N60" s="45"/>
    </row>
    <row r="61" spans="1:16" x14ac:dyDescent="0.25">
      <c r="A61" s="22" t="s">
        <v>28</v>
      </c>
      <c r="B61" s="22"/>
      <c r="C61" s="23"/>
      <c r="D61" s="24">
        <f>D$2</f>
        <v>2012</v>
      </c>
      <c r="E61" s="24">
        <f t="shared" ref="E61:P61" si="7">E$2</f>
        <v>2013</v>
      </c>
      <c r="F61" s="24">
        <f t="shared" si="7"/>
        <v>2014</v>
      </c>
      <c r="G61" s="24">
        <f t="shared" si="7"/>
        <v>2015</v>
      </c>
      <c r="H61" s="24">
        <f t="shared" si="7"/>
        <v>2016</v>
      </c>
      <c r="I61" s="25">
        <f t="shared" si="7"/>
        <v>2017</v>
      </c>
      <c r="J61" s="25">
        <f t="shared" si="7"/>
        <v>2018</v>
      </c>
      <c r="K61" s="25">
        <f t="shared" si="7"/>
        <v>2019</v>
      </c>
      <c r="L61" s="25">
        <f t="shared" si="7"/>
        <v>2020</v>
      </c>
      <c r="M61" s="25">
        <f t="shared" si="7"/>
        <v>2021</v>
      </c>
      <c r="N61" s="25">
        <f t="shared" si="7"/>
        <v>2022</v>
      </c>
      <c r="O61" s="26">
        <f t="shared" si="7"/>
        <v>43008</v>
      </c>
      <c r="P61" s="26">
        <f t="shared" si="7"/>
        <v>43100</v>
      </c>
    </row>
    <row r="62" spans="1:16" outlineLevel="1" x14ac:dyDescent="0.25">
      <c r="A62" s="66"/>
      <c r="B62" s="66"/>
      <c r="C62" s="67"/>
      <c r="D62" s="68"/>
      <c r="E62" s="68"/>
      <c r="F62" s="68"/>
      <c r="G62" s="68"/>
      <c r="H62" s="68"/>
      <c r="I62" s="69"/>
      <c r="J62" s="69"/>
      <c r="K62" s="69"/>
      <c r="L62" s="69"/>
      <c r="M62" s="69"/>
      <c r="N62" s="69"/>
    </row>
    <row r="63" spans="1:16" outlineLevel="1" x14ac:dyDescent="0.25">
      <c r="A63" s="47" t="s">
        <v>9</v>
      </c>
      <c r="B63" s="47"/>
      <c r="C63" s="70"/>
      <c r="D63" s="71">
        <v>57127.576164874547</v>
      </c>
      <c r="E63" s="71">
        <v>66132.392473118278</v>
      </c>
      <c r="F63" s="71">
        <v>73557.907706093189</v>
      </c>
      <c r="G63" s="71">
        <v>79716.06182795699</v>
      </c>
      <c r="H63" s="71">
        <v>84437.724014336913</v>
      </c>
      <c r="I63" s="72">
        <f t="shared" ref="I63:N63" si="8">H63*((1+I45))</f>
        <v>97103.382616487448</v>
      </c>
      <c r="J63" s="72">
        <f t="shared" si="8"/>
        <v>111668.89000896056</v>
      </c>
      <c r="K63" s="72">
        <f t="shared" si="8"/>
        <v>125069.15681003584</v>
      </c>
      <c r="L63" s="72">
        <f t="shared" si="8"/>
        <v>137576.07249103943</v>
      </c>
      <c r="M63" s="72">
        <f t="shared" si="8"/>
        <v>148582.15829032261</v>
      </c>
      <c r="N63" s="72">
        <f t="shared" si="8"/>
        <v>157497.08778774197</v>
      </c>
      <c r="O63" s="73">
        <f>I63*O$6</f>
        <v>72827.536962365586</v>
      </c>
      <c r="P63" s="73">
        <f>I63*P$6</f>
        <v>24275.845654121862</v>
      </c>
    </row>
    <row r="64" spans="1:16" outlineLevel="1" x14ac:dyDescent="0.25">
      <c r="A64" s="57" t="s">
        <v>29</v>
      </c>
      <c r="B64" s="57"/>
      <c r="C64" s="58"/>
      <c r="D64" s="74">
        <v>21854.278673835124</v>
      </c>
      <c r="E64" s="74">
        <v>26883.960573476703</v>
      </c>
      <c r="F64" s="74">
        <v>27510.640681003584</v>
      </c>
      <c r="G64" s="74">
        <v>29488.127240143367</v>
      </c>
      <c r="H64" s="74">
        <v>31759.632616487455</v>
      </c>
      <c r="I64" s="75">
        <f t="shared" ref="I64:N64" si="9">I63*(I46)</f>
        <v>40783.420698924725</v>
      </c>
      <c r="J64" s="75">
        <f t="shared" si="9"/>
        <v>45784.244903673825</v>
      </c>
      <c r="K64" s="75">
        <f t="shared" si="9"/>
        <v>50027.662724014343</v>
      </c>
      <c r="L64" s="75">
        <f t="shared" si="9"/>
        <v>55030.42899641578</v>
      </c>
      <c r="M64" s="75">
        <f t="shared" si="9"/>
        <v>59432.863316129049</v>
      </c>
      <c r="N64" s="75">
        <f t="shared" si="9"/>
        <v>62998.835115096794</v>
      </c>
      <c r="O64" s="76">
        <f>I64*O$6</f>
        <v>30587.565524193546</v>
      </c>
      <c r="P64" s="12">
        <f>I64*P$6</f>
        <v>10195.855174731181</v>
      </c>
    </row>
    <row r="65" spans="1:16" outlineLevel="1" x14ac:dyDescent="0.25">
      <c r="A65" s="52" t="s">
        <v>30</v>
      </c>
      <c r="B65" s="52"/>
      <c r="C65" s="53"/>
      <c r="D65" s="77">
        <f>D63-D64</f>
        <v>35273.297491039426</v>
      </c>
      <c r="E65" s="77">
        <f t="shared" ref="E65:M65" si="10">E63-E64</f>
        <v>39248.431899641575</v>
      </c>
      <c r="F65" s="77">
        <f t="shared" si="10"/>
        <v>46047.267025089604</v>
      </c>
      <c r="G65" s="77">
        <f t="shared" si="10"/>
        <v>50227.934587813623</v>
      </c>
      <c r="H65" s="77">
        <f t="shared" si="10"/>
        <v>52678.091397849457</v>
      </c>
      <c r="I65" s="77">
        <f t="shared" si="10"/>
        <v>56319.961917562723</v>
      </c>
      <c r="J65" s="77">
        <f t="shared" si="10"/>
        <v>65884.645105286734</v>
      </c>
      <c r="K65" s="77">
        <f t="shared" si="10"/>
        <v>75041.494086021499</v>
      </c>
      <c r="L65" s="77">
        <f t="shared" si="10"/>
        <v>82545.643494623655</v>
      </c>
      <c r="M65" s="77">
        <f t="shared" si="10"/>
        <v>89149.294974193559</v>
      </c>
      <c r="N65" s="77">
        <f>N63-N64</f>
        <v>94498.252672645176</v>
      </c>
      <c r="O65" s="77">
        <f>O63-O64</f>
        <v>42239.971438172041</v>
      </c>
      <c r="P65" s="77">
        <f>P63-P64</f>
        <v>14079.990479390681</v>
      </c>
    </row>
    <row r="66" spans="1:16" outlineLevel="1" x14ac:dyDescent="0.25">
      <c r="A66" s="66" t="s">
        <v>31</v>
      </c>
      <c r="B66" s="66"/>
      <c r="C66" s="67"/>
      <c r="D66" s="78"/>
      <c r="E66" s="78"/>
      <c r="F66" s="78"/>
      <c r="G66" s="78"/>
      <c r="H66" s="78"/>
      <c r="I66" s="78"/>
      <c r="J66" s="78"/>
      <c r="K66" s="78"/>
      <c r="L66" s="69"/>
      <c r="M66" s="69"/>
      <c r="N66" s="69"/>
    </row>
    <row r="67" spans="1:16" outlineLevel="1" x14ac:dyDescent="0.25">
      <c r="A67" s="57" t="s">
        <v>186</v>
      </c>
      <c r="D67" s="79">
        <v>14800.067204301075</v>
      </c>
      <c r="E67" s="79">
        <v>12689.292114695339</v>
      </c>
      <c r="F67" s="79">
        <v>13369.175627240144</v>
      </c>
      <c r="G67" s="79">
        <v>12881.944444444443</v>
      </c>
      <c r="H67" s="79">
        <v>14138.104838709676</v>
      </c>
      <c r="I67" s="17">
        <f t="shared" ref="I67:N67" si="11">I63*I47</f>
        <v>15536.541218637993</v>
      </c>
      <c r="J67" s="17">
        <f t="shared" si="11"/>
        <v>17867.022401433689</v>
      </c>
      <c r="K67" s="17">
        <f t="shared" si="11"/>
        <v>20011.065089605734</v>
      </c>
      <c r="L67" s="17">
        <f t="shared" si="11"/>
        <v>22012.17159856631</v>
      </c>
      <c r="M67" s="17">
        <f t="shared" si="11"/>
        <v>23773.145326451617</v>
      </c>
      <c r="N67" s="17">
        <f t="shared" si="11"/>
        <v>25199.534046038716</v>
      </c>
      <c r="O67" s="12">
        <f>I67*O$6</f>
        <v>11652.405913978495</v>
      </c>
      <c r="P67" s="12">
        <f>I67*P$6</f>
        <v>3884.1353046594982</v>
      </c>
    </row>
    <row r="68" spans="1:16" outlineLevel="1" x14ac:dyDescent="0.25">
      <c r="A68" s="12" t="s">
        <v>183</v>
      </c>
      <c r="D68" s="79">
        <v>6139.6729390681003</v>
      </c>
      <c r="E68" s="79">
        <v>5670.3629032258059</v>
      </c>
      <c r="F68" s="79">
        <v>5649.0815412186375</v>
      </c>
      <c r="G68" s="79">
        <v>6171.5949820788528</v>
      </c>
      <c r="H68" s="79">
        <v>6391.1290322580644</v>
      </c>
      <c r="I68" s="17">
        <f t="shared" ref="I68:N68" si="12">I48</f>
        <v>7000</v>
      </c>
      <c r="J68" s="17">
        <f t="shared" si="12"/>
        <v>7000</v>
      </c>
      <c r="K68" s="17">
        <f t="shared" si="12"/>
        <v>0</v>
      </c>
      <c r="L68" s="17">
        <f t="shared" si="12"/>
        <v>7000</v>
      </c>
      <c r="M68" s="17">
        <f t="shared" si="12"/>
        <v>7000</v>
      </c>
      <c r="N68" s="17">
        <f t="shared" si="12"/>
        <v>7000</v>
      </c>
      <c r="O68" s="12">
        <f>I68*O$6</f>
        <v>5250</v>
      </c>
      <c r="P68" s="12">
        <f>I68*P$6</f>
        <v>1750</v>
      </c>
    </row>
    <row r="69" spans="1:16" outlineLevel="1" x14ac:dyDescent="0.25">
      <c r="A69" s="12" t="s">
        <v>32</v>
      </c>
      <c r="D69" s="79">
        <v>10920.698924731183</v>
      </c>
      <c r="E69" s="79">
        <v>10164.650537634408</v>
      </c>
      <c r="F69" s="79">
        <v>9635.4166666666661</v>
      </c>
      <c r="G69" s="79">
        <v>9264.9529569892475</v>
      </c>
      <c r="H69" s="79">
        <v>9005.6283602150525</v>
      </c>
      <c r="I69" s="17">
        <f t="shared" ref="I69:N69" si="13">+I141</f>
        <v>4202.6265681003588</v>
      </c>
      <c r="J69" s="17">
        <f t="shared" si="13"/>
        <v>4512.101254480287</v>
      </c>
      <c r="K69" s="17">
        <f t="shared" si="13"/>
        <v>4759.68100358423</v>
      </c>
      <c r="L69" s="17">
        <f t="shared" si="13"/>
        <v>4957.7448028673844</v>
      </c>
      <c r="M69" s="17">
        <f t="shared" si="13"/>
        <v>5116.1958422939078</v>
      </c>
      <c r="N69" s="17">
        <f t="shared" si="13"/>
        <v>5242.9566738351268</v>
      </c>
      <c r="O69" s="12">
        <f>I69*O$6</f>
        <v>3151.9699260752691</v>
      </c>
      <c r="P69" s="12">
        <f>I69*P$6</f>
        <v>1050.6566420250897</v>
      </c>
    </row>
    <row r="70" spans="1:16" outlineLevel="1" x14ac:dyDescent="0.25">
      <c r="A70" s="80" t="s">
        <v>33</v>
      </c>
      <c r="B70" s="80"/>
      <c r="C70" s="81"/>
      <c r="D70" s="82">
        <v>1400.089605734767</v>
      </c>
      <c r="E70" s="82">
        <v>1400.089605734767</v>
      </c>
      <c r="F70" s="82">
        <v>840.05376344086017</v>
      </c>
      <c r="G70" s="82">
        <v>840.05376344086017</v>
      </c>
      <c r="H70" s="82">
        <v>840.05376344086017</v>
      </c>
      <c r="I70" s="83">
        <f t="shared" ref="I70:N70" si="14">I148</f>
        <v>1344.0860215053763</v>
      </c>
      <c r="J70" s="83">
        <f t="shared" si="14"/>
        <v>1344.0860215053763</v>
      </c>
      <c r="K70" s="83">
        <f t="shared" si="14"/>
        <v>0</v>
      </c>
      <c r="L70" s="83">
        <f t="shared" si="14"/>
        <v>1344.0860215053763</v>
      </c>
      <c r="M70" s="83">
        <f t="shared" si="14"/>
        <v>1344.0860215053763</v>
      </c>
      <c r="N70" s="83">
        <f t="shared" si="14"/>
        <v>544.08602150537627</v>
      </c>
      <c r="O70" s="12">
        <f>I70*O$6</f>
        <v>1008.0645161290322</v>
      </c>
      <c r="P70" s="12">
        <f>I70*P$6</f>
        <v>336.02150537634407</v>
      </c>
    </row>
    <row r="71" spans="1:16" outlineLevel="1" x14ac:dyDescent="0.25">
      <c r="A71" s="66" t="s">
        <v>34</v>
      </c>
      <c r="B71" s="57"/>
      <c r="C71" s="58"/>
      <c r="D71" s="69">
        <f t="shared" ref="D71:P71" si="15">SUM(D67:D70)</f>
        <v>33260.528673835121</v>
      </c>
      <c r="E71" s="69">
        <f t="shared" si="15"/>
        <v>29924.395161290322</v>
      </c>
      <c r="F71" s="69">
        <f t="shared" si="15"/>
        <v>29493.727598566307</v>
      </c>
      <c r="G71" s="69">
        <f t="shared" si="15"/>
        <v>29158.546146953406</v>
      </c>
      <c r="H71" s="69">
        <f t="shared" si="15"/>
        <v>30374.915994623654</v>
      </c>
      <c r="I71" s="69">
        <f t="shared" si="15"/>
        <v>28083.253808243724</v>
      </c>
      <c r="J71" s="69">
        <f t="shared" si="15"/>
        <v>30723.209677419352</v>
      </c>
      <c r="K71" s="69">
        <f t="shared" si="15"/>
        <v>24770.746093189962</v>
      </c>
      <c r="L71" s="69">
        <f t="shared" si="15"/>
        <v>35314.002422939069</v>
      </c>
      <c r="M71" s="69">
        <f t="shared" si="15"/>
        <v>37233.427190250899</v>
      </c>
      <c r="N71" s="69">
        <f t="shared" si="15"/>
        <v>37986.57674137922</v>
      </c>
      <c r="O71" s="84">
        <f t="shared" si="15"/>
        <v>21062.440356182793</v>
      </c>
      <c r="P71" s="84">
        <f t="shared" si="15"/>
        <v>7020.813452060931</v>
      </c>
    </row>
    <row r="72" spans="1:16" outlineLevel="1" x14ac:dyDescent="0.25">
      <c r="A72" s="52" t="s">
        <v>35</v>
      </c>
      <c r="B72" s="52"/>
      <c r="C72" s="53"/>
      <c r="D72" s="77">
        <f t="shared" ref="D72:P72" si="16">D65-D71</f>
        <v>2012.7688172043054</v>
      </c>
      <c r="E72" s="77">
        <f t="shared" si="16"/>
        <v>9324.036738351253</v>
      </c>
      <c r="F72" s="77">
        <f t="shared" si="16"/>
        <v>16553.539426523297</v>
      </c>
      <c r="G72" s="77">
        <f t="shared" si="16"/>
        <v>21069.388440860217</v>
      </c>
      <c r="H72" s="77">
        <f t="shared" si="16"/>
        <v>22303.175403225803</v>
      </c>
      <c r="I72" s="77">
        <f t="shared" si="16"/>
        <v>28236.708109318999</v>
      </c>
      <c r="J72" s="77">
        <f t="shared" si="16"/>
        <v>35161.435427867385</v>
      </c>
      <c r="K72" s="77">
        <f t="shared" si="16"/>
        <v>50270.747992831537</v>
      </c>
      <c r="L72" s="77">
        <f t="shared" si="16"/>
        <v>47231.641071684586</v>
      </c>
      <c r="M72" s="77">
        <f t="shared" si="16"/>
        <v>51915.86778394266</v>
      </c>
      <c r="N72" s="77">
        <f t="shared" si="16"/>
        <v>56511.675931265956</v>
      </c>
      <c r="O72" s="77">
        <f t="shared" si="16"/>
        <v>21177.531081989247</v>
      </c>
      <c r="P72" s="77">
        <f t="shared" si="16"/>
        <v>7059.1770273297498</v>
      </c>
    </row>
    <row r="73" spans="1:16" outlineLevel="1" x14ac:dyDescent="0.25">
      <c r="A73" s="66"/>
      <c r="B73" s="66"/>
      <c r="C73" s="67"/>
      <c r="D73" s="68"/>
      <c r="E73" s="68"/>
      <c r="F73" s="68"/>
      <c r="G73" s="68"/>
      <c r="H73" s="68"/>
      <c r="I73" s="69"/>
      <c r="J73" s="69"/>
      <c r="K73" s="69"/>
      <c r="L73" s="69"/>
      <c r="M73" s="69"/>
      <c r="N73" s="69"/>
    </row>
    <row r="74" spans="1:16" outlineLevel="1" x14ac:dyDescent="0.25">
      <c r="A74" s="57" t="s">
        <v>36</v>
      </c>
      <c r="B74" s="57"/>
      <c r="C74" s="58"/>
      <c r="D74" s="79">
        <v>1120.1708000000001</v>
      </c>
      <c r="E74" s="79">
        <v>4858.2165021220308</v>
      </c>
      <c r="F74" s="79">
        <v>8482.8061148686775</v>
      </c>
      <c r="G74" s="79">
        <v>10908.02097640469</v>
      </c>
      <c r="H74" s="79">
        <v>11597.665241419718</v>
      </c>
      <c r="I74" s="85">
        <f t="shared" ref="I74:N74" si="17">IF(I72&gt;0,I72*I51,0)</f>
        <v>9035.7465949820798</v>
      </c>
      <c r="J74" s="85">
        <f t="shared" si="17"/>
        <v>11251.659336917564</v>
      </c>
      <c r="K74" s="85">
        <f t="shared" si="17"/>
        <v>16086.639357706092</v>
      </c>
      <c r="L74" s="85">
        <f t="shared" si="17"/>
        <v>15114.125142939069</v>
      </c>
      <c r="M74" s="85">
        <f t="shared" si="17"/>
        <v>16613.07769086165</v>
      </c>
      <c r="N74" s="85">
        <f t="shared" si="17"/>
        <v>18083.736298005108</v>
      </c>
      <c r="O74" s="85">
        <f>I74*O$6</f>
        <v>6776.8099462365599</v>
      </c>
      <c r="P74" s="85">
        <f>I74*P$6</f>
        <v>2258.93664874552</v>
      </c>
    </row>
    <row r="75" spans="1:16" ht="18.75" outlineLevel="1" thickBot="1" x14ac:dyDescent="0.3">
      <c r="A75" s="86" t="s">
        <v>37</v>
      </c>
      <c r="B75" s="86"/>
      <c r="C75" s="87"/>
      <c r="D75" s="88">
        <f>D72-D74</f>
        <v>892.59801720430528</v>
      </c>
      <c r="E75" s="88">
        <f t="shared" ref="E75:M75" si="18">E72-E74</f>
        <v>4465.8202362292222</v>
      </c>
      <c r="F75" s="88">
        <f t="shared" si="18"/>
        <v>8070.7333116546197</v>
      </c>
      <c r="G75" s="88">
        <f t="shared" si="18"/>
        <v>10161.367464455527</v>
      </c>
      <c r="H75" s="88">
        <f t="shared" si="18"/>
        <v>10705.510161806085</v>
      </c>
      <c r="I75" s="88">
        <f t="shared" si="18"/>
        <v>19200.961514336919</v>
      </c>
      <c r="J75" s="88">
        <f t="shared" si="18"/>
        <v>23909.776090949821</v>
      </c>
      <c r="K75" s="88">
        <f t="shared" si="18"/>
        <v>34184.108635125449</v>
      </c>
      <c r="L75" s="88">
        <f t="shared" si="18"/>
        <v>32117.515928745517</v>
      </c>
      <c r="M75" s="88">
        <f t="shared" si="18"/>
        <v>35302.790093081014</v>
      </c>
      <c r="N75" s="88">
        <f>N72-N74</f>
        <v>38427.939633260845</v>
      </c>
      <c r="O75" s="88">
        <f>O72-O74</f>
        <v>14400.721135752687</v>
      </c>
      <c r="P75" s="88">
        <f>P72-P74</f>
        <v>4800.2403785842298</v>
      </c>
    </row>
    <row r="76" spans="1:16" ht="18.75" outlineLevel="1" collapsed="1" thickTop="1" x14ac:dyDescent="0.25">
      <c r="D76" s="79"/>
      <c r="E76" s="79"/>
      <c r="F76" s="79"/>
      <c r="G76" s="79"/>
      <c r="H76" s="79"/>
    </row>
    <row r="77" spans="1:16" x14ac:dyDescent="0.25">
      <c r="D77" s="79"/>
      <c r="E77" s="79"/>
      <c r="F77" s="79"/>
      <c r="G77" s="79"/>
      <c r="H77" s="79"/>
    </row>
    <row r="78" spans="1:16" x14ac:dyDescent="0.25">
      <c r="A78" s="22" t="s">
        <v>38</v>
      </c>
      <c r="B78" s="22"/>
      <c r="C78" s="23"/>
      <c r="D78" s="24">
        <f t="shared" ref="D78:P78" si="19">D$2</f>
        <v>2012</v>
      </c>
      <c r="E78" s="24">
        <f t="shared" si="19"/>
        <v>2013</v>
      </c>
      <c r="F78" s="24">
        <f t="shared" si="19"/>
        <v>2014</v>
      </c>
      <c r="G78" s="24">
        <f t="shared" si="19"/>
        <v>2015</v>
      </c>
      <c r="H78" s="24">
        <f t="shared" si="19"/>
        <v>2016</v>
      </c>
      <c r="I78" s="25">
        <f t="shared" si="19"/>
        <v>2017</v>
      </c>
      <c r="J78" s="25">
        <f t="shared" si="19"/>
        <v>2018</v>
      </c>
      <c r="K78" s="25">
        <f t="shared" si="19"/>
        <v>2019</v>
      </c>
      <c r="L78" s="25">
        <f t="shared" si="19"/>
        <v>2020</v>
      </c>
      <c r="M78" s="25">
        <f t="shared" si="19"/>
        <v>2021</v>
      </c>
      <c r="N78" s="25">
        <f t="shared" si="19"/>
        <v>2022</v>
      </c>
      <c r="O78" s="26">
        <f t="shared" si="19"/>
        <v>43008</v>
      </c>
      <c r="P78" s="26">
        <f t="shared" si="19"/>
        <v>43100</v>
      </c>
    </row>
    <row r="79" spans="1:16" outlineLevel="1" x14ac:dyDescent="0.25">
      <c r="D79" s="79"/>
      <c r="E79" s="79"/>
      <c r="F79" s="79"/>
      <c r="G79" s="79"/>
      <c r="H79" s="79"/>
    </row>
    <row r="80" spans="1:16" outlineLevel="1" x14ac:dyDescent="0.25">
      <c r="A80" s="47" t="s">
        <v>39</v>
      </c>
      <c r="D80" s="79"/>
      <c r="E80" s="79"/>
      <c r="F80" s="79"/>
      <c r="G80" s="79"/>
      <c r="H80" s="79"/>
    </row>
    <row r="81" spans="1:16" outlineLevel="1" x14ac:dyDescent="0.25">
      <c r="A81" s="12" t="s">
        <v>40</v>
      </c>
      <c r="C81" s="89"/>
      <c r="D81" s="79">
        <f t="shared" ref="D81:N81" si="20">D125</f>
        <v>37573.461592473119</v>
      </c>
      <c r="E81" s="79">
        <f t="shared" si="20"/>
        <v>42850.185726551805</v>
      </c>
      <c r="F81" s="79">
        <f t="shared" si="20"/>
        <v>40521.137452184921</v>
      </c>
      <c r="G81" s="79">
        <f t="shared" si="20"/>
        <v>51041.263877213925</v>
      </c>
      <c r="H81" s="79">
        <f t="shared" si="20"/>
        <v>61888.631117873054</v>
      </c>
      <c r="I81" s="12">
        <f t="shared" si="20"/>
        <v>77064.787668911507</v>
      </c>
      <c r="J81" s="12">
        <f t="shared" si="20"/>
        <v>99589.280702096323</v>
      </c>
      <c r="K81" s="12">
        <f t="shared" si="20"/>
        <v>131703.70638477418</v>
      </c>
      <c r="L81" s="12">
        <f t="shared" si="20"/>
        <v>161952.13094479562</v>
      </c>
      <c r="M81" s="12">
        <f t="shared" si="20"/>
        <v>195410.7715504982</v>
      </c>
      <c r="N81" s="12">
        <f t="shared" si="20"/>
        <v>222340.31521179585</v>
      </c>
      <c r="O81" s="90">
        <f>O125</f>
        <v>72624.260755462165</v>
      </c>
      <c r="P81" s="90">
        <f>I81</f>
        <v>77064.787668911507</v>
      </c>
    </row>
    <row r="82" spans="1:16" outlineLevel="1" x14ac:dyDescent="0.25">
      <c r="A82" s="12" t="s">
        <v>41</v>
      </c>
      <c r="C82" s="89"/>
      <c r="D82" s="79">
        <v>2856.3788082437277</v>
      </c>
      <c r="E82" s="79">
        <v>3306.619623655914</v>
      </c>
      <c r="F82" s="79">
        <v>3677.8953853046592</v>
      </c>
      <c r="G82" s="79">
        <v>3985.8030913978496</v>
      </c>
      <c r="H82" s="79">
        <v>4221.8862007168455</v>
      </c>
      <c r="I82" s="91">
        <f t="shared" ref="I82:N82" si="21">I63*I52/I5</f>
        <v>5852.8066234595181</v>
      </c>
      <c r="J82" s="91">
        <f t="shared" si="21"/>
        <v>5506.9589593460005</v>
      </c>
      <c r="K82" s="91">
        <f t="shared" si="21"/>
        <v>6167.7940344675217</v>
      </c>
      <c r="L82" s="91">
        <f t="shared" si="21"/>
        <v>6766.0363520183337</v>
      </c>
      <c r="M82" s="91">
        <f t="shared" si="21"/>
        <v>7327.3393129474161</v>
      </c>
      <c r="N82" s="91">
        <f t="shared" si="21"/>
        <v>7766.9796717242616</v>
      </c>
      <c r="O82" s="92">
        <f>O63*O52/O5</f>
        <v>5868.8857625349556</v>
      </c>
      <c r="P82" s="90">
        <f>I82</f>
        <v>5852.8066234595181</v>
      </c>
    </row>
    <row r="83" spans="1:16" outlineLevel="1" x14ac:dyDescent="0.25">
      <c r="A83" s="12" t="s">
        <v>42</v>
      </c>
      <c r="C83" s="89"/>
      <c r="D83" s="79">
        <v>4370.8557347670248</v>
      </c>
      <c r="E83" s="79">
        <v>5376.7921146953413</v>
      </c>
      <c r="F83" s="79">
        <v>5502.1281362007167</v>
      </c>
      <c r="G83" s="79">
        <v>5897.6254480286743</v>
      </c>
      <c r="H83" s="79">
        <v>6351.9265232974903</v>
      </c>
      <c r="I83" s="14">
        <f t="shared" ref="I83:N83" si="22">I64*I53/I5</f>
        <v>8380.1549381352179</v>
      </c>
      <c r="J83" s="14">
        <f t="shared" si="22"/>
        <v>9407.7215555494167</v>
      </c>
      <c r="K83" s="14">
        <f t="shared" si="22"/>
        <v>10279.656724112536</v>
      </c>
      <c r="L83" s="14">
        <f t="shared" si="22"/>
        <v>11276.72725336389</v>
      </c>
      <c r="M83" s="14">
        <f t="shared" si="22"/>
        <v>12212.232188245694</v>
      </c>
      <c r="N83" s="14">
        <f t="shared" si="22"/>
        <v>12944.966119540437</v>
      </c>
      <c r="O83" s="93">
        <f>O64*O53/O5</f>
        <v>8403.1773418114135</v>
      </c>
      <c r="P83" s="90">
        <f>I83</f>
        <v>8380.1549381352179</v>
      </c>
    </row>
    <row r="84" spans="1:16" outlineLevel="1" x14ac:dyDescent="0.25">
      <c r="A84" s="52" t="s">
        <v>153</v>
      </c>
      <c r="B84" s="16"/>
      <c r="C84" s="94"/>
      <c r="D84" s="77">
        <f t="shared" ref="D84:N84" si="23">SUM(D81:D83)</f>
        <v>44800.696135483871</v>
      </c>
      <c r="E84" s="77">
        <f t="shared" si="23"/>
        <v>51533.597464903054</v>
      </c>
      <c r="F84" s="77">
        <f t="shared" si="23"/>
        <v>49701.160973690297</v>
      </c>
      <c r="G84" s="77">
        <f t="shared" si="23"/>
        <v>60924.69241664045</v>
      </c>
      <c r="H84" s="77">
        <f t="shared" si="23"/>
        <v>72462.443841887391</v>
      </c>
      <c r="I84" s="77">
        <f t="shared" si="23"/>
        <v>91297.749230506248</v>
      </c>
      <c r="J84" s="77">
        <f t="shared" si="23"/>
        <v>114503.96121699174</v>
      </c>
      <c r="K84" s="77">
        <f t="shared" si="23"/>
        <v>148151.15714335424</v>
      </c>
      <c r="L84" s="77">
        <f t="shared" si="23"/>
        <v>179994.89455017785</v>
      </c>
      <c r="M84" s="77">
        <f t="shared" si="23"/>
        <v>214950.34305169131</v>
      </c>
      <c r="N84" s="77">
        <f t="shared" si="23"/>
        <v>243052.26100306056</v>
      </c>
      <c r="O84" s="95">
        <f>SUM(O81:O83)</f>
        <v>86896.32385980853</v>
      </c>
      <c r="P84" s="95">
        <f>SUM(P81:P83)</f>
        <v>91297.749230506248</v>
      </c>
    </row>
    <row r="85" spans="1:16" outlineLevel="1" x14ac:dyDescent="0.25">
      <c r="A85" s="12" t="s">
        <v>43</v>
      </c>
      <c r="D85" s="79">
        <v>25481.630824372758</v>
      </c>
      <c r="E85" s="79">
        <v>23717.517921146951</v>
      </c>
      <c r="F85" s="79">
        <v>22482.638888888887</v>
      </c>
      <c r="G85" s="79">
        <v>21618.223566308243</v>
      </c>
      <c r="H85" s="79">
        <v>21013.132840501792</v>
      </c>
      <c r="I85" s="12">
        <f t="shared" ref="I85:N85" si="24">I142</f>
        <v>22560.506272401435</v>
      </c>
      <c r="J85" s="12">
        <f t="shared" si="24"/>
        <v>23798.405017921148</v>
      </c>
      <c r="K85" s="12">
        <f t="shared" si="24"/>
        <v>24788.72401433692</v>
      </c>
      <c r="L85" s="12">
        <f t="shared" si="24"/>
        <v>25580.979211469537</v>
      </c>
      <c r="M85" s="12">
        <f t="shared" si="24"/>
        <v>26214.783369175631</v>
      </c>
      <c r="N85" s="12">
        <f t="shared" si="24"/>
        <v>26721.826695340504</v>
      </c>
      <c r="O85" s="90">
        <f>O142</f>
        <v>22173.662914426524</v>
      </c>
      <c r="P85" s="90">
        <f>I85</f>
        <v>22560.506272401435</v>
      </c>
    </row>
    <row r="86" spans="1:16" outlineLevel="1" x14ac:dyDescent="0.25">
      <c r="A86" s="12" t="s">
        <v>176</v>
      </c>
      <c r="D86" s="79">
        <v>0</v>
      </c>
      <c r="E86" s="79">
        <v>0</v>
      </c>
      <c r="F86" s="79">
        <v>0</v>
      </c>
      <c r="G86" s="79">
        <v>0</v>
      </c>
      <c r="H86" s="79">
        <v>0</v>
      </c>
      <c r="O86" s="90"/>
      <c r="P86" s="90">
        <f>I86</f>
        <v>0</v>
      </c>
    </row>
    <row r="87" spans="1:16" ht="18.75" outlineLevel="1" thickBot="1" x14ac:dyDescent="0.3">
      <c r="A87" s="86" t="s">
        <v>44</v>
      </c>
      <c r="B87" s="86"/>
      <c r="C87" s="87"/>
      <c r="D87" s="88">
        <f>SUM(D84:D86)</f>
        <v>70282.326959856626</v>
      </c>
      <c r="E87" s="88">
        <f t="shared" ref="E87:M87" si="25">SUM(E84:E86)</f>
        <v>75251.115386050005</v>
      </c>
      <c r="F87" s="88">
        <f t="shared" si="25"/>
        <v>72183.799862579181</v>
      </c>
      <c r="G87" s="88">
        <f t="shared" si="25"/>
        <v>82542.915982948689</v>
      </c>
      <c r="H87" s="88">
        <f t="shared" si="25"/>
        <v>93475.57668238919</v>
      </c>
      <c r="I87" s="88">
        <f t="shared" si="25"/>
        <v>113858.25550290768</v>
      </c>
      <c r="J87" s="88">
        <f t="shared" si="25"/>
        <v>138302.36623491289</v>
      </c>
      <c r="K87" s="88">
        <f t="shared" si="25"/>
        <v>172939.88115769115</v>
      </c>
      <c r="L87" s="88">
        <f t="shared" si="25"/>
        <v>205575.87376164738</v>
      </c>
      <c r="M87" s="88">
        <f t="shared" si="25"/>
        <v>241165.12642086693</v>
      </c>
      <c r="N87" s="88">
        <f>SUM(N84:N86)</f>
        <v>269774.08769840107</v>
      </c>
      <c r="O87" s="95">
        <f>SUM(O84:O86)</f>
        <v>109069.98677423506</v>
      </c>
      <c r="P87" s="96">
        <f>SUM(P84:P86)</f>
        <v>113858.25550290768</v>
      </c>
    </row>
    <row r="88" spans="1:16" ht="18.75" outlineLevel="1" thickTop="1" x14ac:dyDescent="0.25">
      <c r="A88" s="66"/>
      <c r="B88" s="66"/>
      <c r="C88" s="67"/>
      <c r="D88" s="68"/>
      <c r="E88" s="68"/>
      <c r="F88" s="68"/>
      <c r="G88" s="68"/>
      <c r="H88" s="68"/>
      <c r="I88" s="66"/>
      <c r="J88" s="66"/>
      <c r="K88" s="66"/>
      <c r="L88" s="66"/>
      <c r="M88" s="66"/>
      <c r="N88" s="66"/>
      <c r="O88" s="97"/>
      <c r="P88" s="98"/>
    </row>
    <row r="89" spans="1:16" outlineLevel="1" x14ac:dyDescent="0.25">
      <c r="A89" s="47" t="s">
        <v>45</v>
      </c>
      <c r="C89" s="89"/>
      <c r="D89" s="79"/>
      <c r="E89" s="79"/>
      <c r="F89" s="79"/>
      <c r="G89" s="79"/>
      <c r="H89" s="79"/>
      <c r="O89" s="90"/>
      <c r="P89" s="90"/>
    </row>
    <row r="90" spans="1:16" outlineLevel="1" x14ac:dyDescent="0.25">
      <c r="A90" s="12" t="s">
        <v>154</v>
      </c>
      <c r="C90" s="89"/>
      <c r="D90" s="79">
        <v>0</v>
      </c>
      <c r="E90" s="79">
        <v>0</v>
      </c>
      <c r="F90" s="79">
        <v>0</v>
      </c>
      <c r="G90" s="79">
        <v>0</v>
      </c>
      <c r="H90" s="79">
        <v>0</v>
      </c>
      <c r="O90" s="90"/>
      <c r="P90" s="90">
        <f>I90</f>
        <v>0</v>
      </c>
    </row>
    <row r="91" spans="1:16" outlineLevel="1" x14ac:dyDescent="0.25">
      <c r="A91" s="12" t="s">
        <v>46</v>
      </c>
      <c r="C91" s="89"/>
      <c r="D91" s="79">
        <v>2185.4278673835124</v>
      </c>
      <c r="E91" s="79">
        <v>2688.3960573476706</v>
      </c>
      <c r="F91" s="79">
        <v>2751.0640681003583</v>
      </c>
      <c r="G91" s="79">
        <v>2948.8127240143372</v>
      </c>
      <c r="H91" s="79">
        <v>3175.9632616487452</v>
      </c>
      <c r="I91" s="14">
        <f t="shared" ref="I91:N91" si="26">I64*I54/I5</f>
        <v>4357.6805678303126</v>
      </c>
      <c r="J91" s="14">
        <f t="shared" si="26"/>
        <v>4892.0152088856967</v>
      </c>
      <c r="K91" s="14">
        <f t="shared" si="26"/>
        <v>5345.421496538519</v>
      </c>
      <c r="L91" s="14">
        <f t="shared" si="26"/>
        <v>5863.8981717492234</v>
      </c>
      <c r="M91" s="14">
        <f t="shared" si="26"/>
        <v>6350.3607378877614</v>
      </c>
      <c r="N91" s="14">
        <f t="shared" si="26"/>
        <v>6731.3823821610276</v>
      </c>
      <c r="O91" s="93">
        <f>O64*O54/O5</f>
        <v>4369.6522177419356</v>
      </c>
      <c r="P91" s="90">
        <f>I91</f>
        <v>4357.6805678303126</v>
      </c>
    </row>
    <row r="92" spans="1:16" s="47" customFormat="1" outlineLevel="1" x14ac:dyDescent="0.25">
      <c r="A92" s="52" t="s">
        <v>156</v>
      </c>
      <c r="B92" s="52"/>
      <c r="C92" s="99"/>
      <c r="D92" s="77">
        <f t="shared" ref="D92:N92" si="27">SUM(D90:D91)</f>
        <v>2185.4278673835124</v>
      </c>
      <c r="E92" s="77">
        <f t="shared" si="27"/>
        <v>2688.3960573476706</v>
      </c>
      <c r="F92" s="77">
        <f t="shared" si="27"/>
        <v>2751.0640681003583</v>
      </c>
      <c r="G92" s="77">
        <f t="shared" si="27"/>
        <v>2948.8127240143372</v>
      </c>
      <c r="H92" s="77">
        <f t="shared" si="27"/>
        <v>3175.9632616487452</v>
      </c>
      <c r="I92" s="77">
        <f t="shared" si="27"/>
        <v>4357.6805678303126</v>
      </c>
      <c r="J92" s="77">
        <f t="shared" si="27"/>
        <v>4892.0152088856967</v>
      </c>
      <c r="K92" s="77">
        <f t="shared" si="27"/>
        <v>5345.421496538519</v>
      </c>
      <c r="L92" s="77">
        <f t="shared" si="27"/>
        <v>5863.8981717492234</v>
      </c>
      <c r="M92" s="77">
        <f t="shared" si="27"/>
        <v>6350.3607378877614</v>
      </c>
      <c r="N92" s="77">
        <f t="shared" si="27"/>
        <v>6731.3823821610276</v>
      </c>
      <c r="O92" s="95">
        <f>SUM(O90:O91)</f>
        <v>4369.6522177419356</v>
      </c>
      <c r="P92" s="95">
        <f>SUM(P90:P91)</f>
        <v>4357.6805678303126</v>
      </c>
    </row>
    <row r="93" spans="1:16" outlineLevel="1" x14ac:dyDescent="0.25">
      <c r="A93" s="12" t="s">
        <v>155</v>
      </c>
      <c r="D93" s="79">
        <v>28001.792114695338</v>
      </c>
      <c r="E93" s="79">
        <v>28001.792114695338</v>
      </c>
      <c r="F93" s="79">
        <v>16801.075268817203</v>
      </c>
      <c r="G93" s="79">
        <v>16801.075268817203</v>
      </c>
      <c r="H93" s="79">
        <v>16801.075268817203</v>
      </c>
      <c r="I93" s="12">
        <f t="shared" ref="I93:N93" si="28">I147</f>
        <v>16801.075268817203</v>
      </c>
      <c r="J93" s="12">
        <f t="shared" si="28"/>
        <v>16801.075268817203</v>
      </c>
      <c r="K93" s="12">
        <f t="shared" si="28"/>
        <v>16801.075268817203</v>
      </c>
      <c r="L93" s="12">
        <f t="shared" si="28"/>
        <v>16801.075268817203</v>
      </c>
      <c r="M93" s="12">
        <f t="shared" si="28"/>
        <v>16801.075268817203</v>
      </c>
      <c r="N93" s="12">
        <f t="shared" si="28"/>
        <v>6801.0752688172033</v>
      </c>
      <c r="O93" s="90">
        <f>O147</f>
        <v>16801.075268817203</v>
      </c>
      <c r="P93" s="90">
        <f>I93</f>
        <v>16801.075268817203</v>
      </c>
    </row>
    <row r="94" spans="1:16" outlineLevel="1" x14ac:dyDescent="0.25">
      <c r="A94" s="52" t="s">
        <v>47</v>
      </c>
      <c r="B94" s="52"/>
      <c r="C94" s="53"/>
      <c r="D94" s="77">
        <f t="shared" ref="D94:N94" si="29">SUM(D92:D93)</f>
        <v>30187.219982078852</v>
      </c>
      <c r="E94" s="77">
        <f t="shared" si="29"/>
        <v>30690.18817204301</v>
      </c>
      <c r="F94" s="77">
        <f t="shared" si="29"/>
        <v>19552.13933691756</v>
      </c>
      <c r="G94" s="77">
        <f t="shared" si="29"/>
        <v>19749.88799283154</v>
      </c>
      <c r="H94" s="77">
        <f t="shared" si="29"/>
        <v>19977.03853046595</v>
      </c>
      <c r="I94" s="77">
        <f t="shared" si="29"/>
        <v>21158.755836647517</v>
      </c>
      <c r="J94" s="77">
        <f t="shared" si="29"/>
        <v>21693.090477702899</v>
      </c>
      <c r="K94" s="77">
        <f t="shared" si="29"/>
        <v>22146.496765355721</v>
      </c>
      <c r="L94" s="77">
        <f t="shared" si="29"/>
        <v>22664.973440566428</v>
      </c>
      <c r="M94" s="77">
        <f t="shared" si="29"/>
        <v>23151.436006704964</v>
      </c>
      <c r="N94" s="77">
        <f t="shared" si="29"/>
        <v>13532.457650978231</v>
      </c>
      <c r="O94" s="95">
        <f>SUM(O92:O93)</f>
        <v>21170.727486559139</v>
      </c>
      <c r="P94" s="95">
        <f>SUM(P92:P93)</f>
        <v>21158.755836647517</v>
      </c>
    </row>
    <row r="95" spans="1:16" outlineLevel="1" x14ac:dyDescent="0.25">
      <c r="A95" s="47" t="s">
        <v>48</v>
      </c>
      <c r="D95" s="79"/>
      <c r="E95" s="79"/>
      <c r="F95" s="79"/>
      <c r="G95" s="79"/>
      <c r="H95" s="79"/>
    </row>
    <row r="96" spans="1:16" outlineLevel="1" x14ac:dyDescent="0.25">
      <c r="A96" s="12" t="s">
        <v>49</v>
      </c>
      <c r="D96" s="79">
        <v>39202.508960573476</v>
      </c>
      <c r="E96" s="79">
        <v>39202.508960573476</v>
      </c>
      <c r="F96" s="79">
        <v>39202.508960573476</v>
      </c>
      <c r="G96" s="79">
        <v>39202.508960573476</v>
      </c>
      <c r="H96" s="79">
        <v>39202.508960573476</v>
      </c>
      <c r="I96" s="12">
        <f t="shared" ref="I96:N96" si="30">H96+I57</f>
        <v>39202.508960573476</v>
      </c>
      <c r="J96" s="12">
        <f t="shared" si="30"/>
        <v>39202.508960573476</v>
      </c>
      <c r="K96" s="12">
        <f t="shared" si="30"/>
        <v>39202.508960573476</v>
      </c>
      <c r="L96" s="12">
        <f t="shared" si="30"/>
        <v>39202.508960573476</v>
      </c>
      <c r="M96" s="12">
        <f t="shared" si="30"/>
        <v>39202.508960573476</v>
      </c>
      <c r="N96" s="12">
        <f t="shared" si="30"/>
        <v>39202.508960573476</v>
      </c>
      <c r="O96" s="12">
        <f>H96+O57</f>
        <v>39202.508960573476</v>
      </c>
      <c r="P96" s="12">
        <f>I96</f>
        <v>39202.508960573476</v>
      </c>
    </row>
    <row r="97" spans="1:16" outlineLevel="1" x14ac:dyDescent="0.25">
      <c r="A97" s="12" t="s">
        <v>50</v>
      </c>
      <c r="D97" s="79">
        <v>892.59801720429687</v>
      </c>
      <c r="E97" s="100">
        <f>+D97+E107</f>
        <v>5358.4182534335196</v>
      </c>
      <c r="F97" s="100">
        <f>+E97+F107</f>
        <v>13429.151565088139</v>
      </c>
      <c r="G97" s="100">
        <f>+F97+G107</f>
        <v>23590.519029543666</v>
      </c>
      <c r="H97" s="100">
        <f>+G97+H107</f>
        <v>34296.029191349749</v>
      </c>
      <c r="I97" s="12">
        <f t="shared" ref="I97:N97" si="31">+H97+I75-I58</f>
        <v>53496.990705686665</v>
      </c>
      <c r="J97" s="12">
        <f t="shared" si="31"/>
        <v>77406.766796636482</v>
      </c>
      <c r="K97" s="12">
        <f t="shared" si="31"/>
        <v>111590.87543176193</v>
      </c>
      <c r="L97" s="12">
        <f t="shared" si="31"/>
        <v>143708.39136050746</v>
      </c>
      <c r="M97" s="12">
        <f t="shared" si="31"/>
        <v>178811.18145358848</v>
      </c>
      <c r="N97" s="12">
        <f t="shared" si="31"/>
        <v>217039.12108684931</v>
      </c>
      <c r="O97" s="12">
        <f>+H97+O75-O58</f>
        <v>48696.750327102432</v>
      </c>
      <c r="P97" s="12">
        <f>I97</f>
        <v>53496.990705686665</v>
      </c>
    </row>
    <row r="98" spans="1:16" outlineLevel="1" x14ac:dyDescent="0.25">
      <c r="A98" s="101" t="s">
        <v>48</v>
      </c>
      <c r="B98" s="101"/>
      <c r="C98" s="102"/>
      <c r="D98" s="84">
        <f t="shared" ref="D98:P98" si="32">SUM(D96:D97)</f>
        <v>40095.106977777774</v>
      </c>
      <c r="E98" s="84">
        <f t="shared" si="32"/>
        <v>44560.927214006995</v>
      </c>
      <c r="F98" s="84">
        <f t="shared" si="32"/>
        <v>52631.660525661617</v>
      </c>
      <c r="G98" s="84">
        <f t="shared" si="32"/>
        <v>62793.027990117145</v>
      </c>
      <c r="H98" s="84">
        <f t="shared" si="32"/>
        <v>73498.538151923218</v>
      </c>
      <c r="I98" s="101">
        <f t="shared" si="32"/>
        <v>92699.499666260148</v>
      </c>
      <c r="J98" s="101">
        <f t="shared" si="32"/>
        <v>116609.27575720995</v>
      </c>
      <c r="K98" s="101">
        <f t="shared" si="32"/>
        <v>150793.3843923354</v>
      </c>
      <c r="L98" s="101">
        <f t="shared" si="32"/>
        <v>182910.90032108093</v>
      </c>
      <c r="M98" s="101">
        <f t="shared" si="32"/>
        <v>218013.69041416195</v>
      </c>
      <c r="N98" s="101">
        <f t="shared" si="32"/>
        <v>256241.63004742278</v>
      </c>
      <c r="O98" s="101">
        <f t="shared" si="32"/>
        <v>87899.259287675901</v>
      </c>
      <c r="P98" s="101">
        <f t="shared" si="32"/>
        <v>92699.499666260148</v>
      </c>
    </row>
    <row r="99" spans="1:16" ht="18.75" outlineLevel="1" thickBot="1" x14ac:dyDescent="0.3">
      <c r="A99" s="86" t="s">
        <v>51</v>
      </c>
      <c r="B99" s="86"/>
      <c r="C99" s="87"/>
      <c r="D99" s="88">
        <f>D94+D98</f>
        <v>70282.326959856626</v>
      </c>
      <c r="E99" s="88">
        <f>E94+E98</f>
        <v>75251.115386050005</v>
      </c>
      <c r="F99" s="88">
        <f>F94+F98</f>
        <v>72183.799862579181</v>
      </c>
      <c r="G99" s="88">
        <f>G94+G98</f>
        <v>82542.915982948689</v>
      </c>
      <c r="H99" s="88">
        <f>H94+H98</f>
        <v>93475.576682389161</v>
      </c>
      <c r="I99" s="86">
        <f t="shared" ref="I99:P99" si="33">I98+I94</f>
        <v>113858.25550290766</v>
      </c>
      <c r="J99" s="86">
        <f t="shared" si="33"/>
        <v>138302.36623491286</v>
      </c>
      <c r="K99" s="86">
        <f t="shared" si="33"/>
        <v>172939.88115769112</v>
      </c>
      <c r="L99" s="86">
        <f t="shared" si="33"/>
        <v>205575.87376164735</v>
      </c>
      <c r="M99" s="86">
        <f t="shared" si="33"/>
        <v>241165.1264208669</v>
      </c>
      <c r="N99" s="86">
        <f t="shared" si="33"/>
        <v>269774.08769840101</v>
      </c>
      <c r="O99" s="86">
        <f t="shared" si="33"/>
        <v>109069.98677423503</v>
      </c>
      <c r="P99" s="86">
        <f t="shared" si="33"/>
        <v>113858.25550290766</v>
      </c>
    </row>
    <row r="100" spans="1:16" ht="18.75" outlineLevel="1" thickTop="1" x14ac:dyDescent="0.25">
      <c r="D100" s="79"/>
      <c r="E100" s="79"/>
      <c r="F100" s="79"/>
      <c r="G100" s="79"/>
      <c r="H100" s="79"/>
    </row>
    <row r="101" spans="1:16" outlineLevel="1" x14ac:dyDescent="0.25">
      <c r="A101" s="30" t="s">
        <v>52</v>
      </c>
      <c r="B101" s="103"/>
      <c r="C101" s="104"/>
      <c r="D101" s="103">
        <f t="shared" ref="D101:M101" si="34">D99-D87</f>
        <v>0</v>
      </c>
      <c r="E101" s="103">
        <f t="shared" si="34"/>
        <v>0</v>
      </c>
      <c r="F101" s="103">
        <f t="shared" si="34"/>
        <v>0</v>
      </c>
      <c r="G101" s="103">
        <f t="shared" si="34"/>
        <v>0</v>
      </c>
      <c r="H101" s="103">
        <f t="shared" si="34"/>
        <v>0</v>
      </c>
      <c r="I101" s="103">
        <f t="shared" si="34"/>
        <v>0</v>
      </c>
      <c r="J101" s="103">
        <f t="shared" si="34"/>
        <v>0</v>
      </c>
      <c r="K101" s="103">
        <f t="shared" si="34"/>
        <v>0</v>
      </c>
      <c r="L101" s="103">
        <f t="shared" si="34"/>
        <v>0</v>
      </c>
      <c r="M101" s="103">
        <f t="shared" si="34"/>
        <v>0</v>
      </c>
      <c r="N101" s="103">
        <f>N99-N87</f>
        <v>0</v>
      </c>
      <c r="O101" s="103">
        <f>O99-O87</f>
        <v>0</v>
      </c>
      <c r="P101" s="103">
        <f>P99-P87</f>
        <v>0</v>
      </c>
    </row>
    <row r="102" spans="1:16" outlineLevel="1" x14ac:dyDescent="0.25">
      <c r="A102" s="103"/>
      <c r="B102" s="103"/>
      <c r="C102" s="104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</row>
    <row r="103" spans="1:16" x14ac:dyDescent="0.25">
      <c r="D103" s="79"/>
      <c r="E103" s="79"/>
      <c r="F103" s="79"/>
      <c r="G103" s="79"/>
      <c r="H103" s="79"/>
    </row>
    <row r="104" spans="1:16" x14ac:dyDescent="0.25">
      <c r="A104" s="22" t="s">
        <v>53</v>
      </c>
      <c r="B104" s="22"/>
      <c r="C104" s="23"/>
      <c r="D104" s="24">
        <f t="shared" ref="D104:P104" si="35">D$2</f>
        <v>2012</v>
      </c>
      <c r="E104" s="24">
        <f t="shared" si="35"/>
        <v>2013</v>
      </c>
      <c r="F104" s="24">
        <f t="shared" si="35"/>
        <v>2014</v>
      </c>
      <c r="G104" s="24">
        <f t="shared" si="35"/>
        <v>2015</v>
      </c>
      <c r="H104" s="24">
        <f t="shared" si="35"/>
        <v>2016</v>
      </c>
      <c r="I104" s="25">
        <f t="shared" si="35"/>
        <v>2017</v>
      </c>
      <c r="J104" s="25">
        <f t="shared" si="35"/>
        <v>2018</v>
      </c>
      <c r="K104" s="25">
        <f t="shared" si="35"/>
        <v>2019</v>
      </c>
      <c r="L104" s="25">
        <f t="shared" si="35"/>
        <v>2020</v>
      </c>
      <c r="M104" s="25">
        <f t="shared" si="35"/>
        <v>2021</v>
      </c>
      <c r="N104" s="25">
        <f t="shared" si="35"/>
        <v>2022</v>
      </c>
      <c r="O104" s="26">
        <f t="shared" si="35"/>
        <v>43008</v>
      </c>
      <c r="P104" s="26">
        <f t="shared" si="35"/>
        <v>43100</v>
      </c>
    </row>
    <row r="105" spans="1:16" outlineLevel="1" x14ac:dyDescent="0.25">
      <c r="A105" s="47"/>
      <c r="D105" s="68"/>
      <c r="E105" s="79"/>
      <c r="F105" s="79"/>
      <c r="G105" s="79"/>
      <c r="H105" s="79"/>
    </row>
    <row r="106" spans="1:16" outlineLevel="1" x14ac:dyDescent="0.25">
      <c r="A106" s="47" t="s">
        <v>54</v>
      </c>
      <c r="D106" s="79"/>
      <c r="E106" s="79"/>
      <c r="F106" s="79"/>
      <c r="G106" s="79"/>
      <c r="H106" s="79"/>
    </row>
    <row r="107" spans="1:16" outlineLevel="1" x14ac:dyDescent="0.25">
      <c r="A107" s="12" t="s">
        <v>37</v>
      </c>
      <c r="D107" s="12">
        <f t="shared" ref="D107:P107" si="36">D75</f>
        <v>892.59801720430528</v>
      </c>
      <c r="E107" s="12">
        <f t="shared" si="36"/>
        <v>4465.8202362292222</v>
      </c>
      <c r="F107" s="12">
        <f t="shared" si="36"/>
        <v>8070.7333116546197</v>
      </c>
      <c r="G107" s="12">
        <f t="shared" si="36"/>
        <v>10161.367464455527</v>
      </c>
      <c r="H107" s="12">
        <f t="shared" si="36"/>
        <v>10705.510161806085</v>
      </c>
      <c r="I107" s="12">
        <f t="shared" si="36"/>
        <v>19200.961514336919</v>
      </c>
      <c r="J107" s="12">
        <f t="shared" si="36"/>
        <v>23909.776090949821</v>
      </c>
      <c r="K107" s="12">
        <f t="shared" si="36"/>
        <v>34184.108635125449</v>
      </c>
      <c r="L107" s="12">
        <f t="shared" si="36"/>
        <v>32117.515928745517</v>
      </c>
      <c r="M107" s="12">
        <f t="shared" si="36"/>
        <v>35302.790093081014</v>
      </c>
      <c r="N107" s="12">
        <f t="shared" si="36"/>
        <v>38427.939633260845</v>
      </c>
      <c r="O107" s="12">
        <f t="shared" si="36"/>
        <v>14400.721135752687</v>
      </c>
      <c r="P107" s="12">
        <f t="shared" si="36"/>
        <v>4800.2403785842298</v>
      </c>
    </row>
    <row r="108" spans="1:16" outlineLevel="1" x14ac:dyDescent="0.25">
      <c r="A108" s="12" t="s">
        <v>55</v>
      </c>
      <c r="D108" s="12">
        <f t="shared" ref="D108:P108" si="37">D69</f>
        <v>10920.698924731183</v>
      </c>
      <c r="E108" s="12">
        <f t="shared" si="37"/>
        <v>10164.650537634408</v>
      </c>
      <c r="F108" s="12">
        <f t="shared" si="37"/>
        <v>9635.4166666666661</v>
      </c>
      <c r="G108" s="12">
        <f t="shared" si="37"/>
        <v>9264.9529569892475</v>
      </c>
      <c r="H108" s="12">
        <f t="shared" si="37"/>
        <v>9005.6283602150525</v>
      </c>
      <c r="I108" s="12">
        <f t="shared" si="37"/>
        <v>4202.6265681003588</v>
      </c>
      <c r="J108" s="12">
        <f t="shared" si="37"/>
        <v>4512.101254480287</v>
      </c>
      <c r="K108" s="12">
        <f t="shared" si="37"/>
        <v>4759.68100358423</v>
      </c>
      <c r="L108" s="12">
        <f t="shared" si="37"/>
        <v>4957.7448028673844</v>
      </c>
      <c r="M108" s="12">
        <f t="shared" si="37"/>
        <v>5116.1958422939078</v>
      </c>
      <c r="N108" s="12">
        <f t="shared" si="37"/>
        <v>5242.9566738351268</v>
      </c>
      <c r="O108" s="12">
        <f t="shared" si="37"/>
        <v>3151.9699260752691</v>
      </c>
      <c r="P108" s="12">
        <f t="shared" si="37"/>
        <v>1050.6566420250897</v>
      </c>
    </row>
    <row r="109" spans="1:16" outlineLevel="1" x14ac:dyDescent="0.25">
      <c r="A109" s="12" t="s">
        <v>56</v>
      </c>
      <c r="D109" s="79">
        <v>5041.806675627241</v>
      </c>
      <c r="E109" s="12">
        <f t="shared" ref="E109:P109" si="38">E136</f>
        <v>953.20900537634407</v>
      </c>
      <c r="F109" s="12">
        <f t="shared" si="38"/>
        <v>433.94377240143331</v>
      </c>
      <c r="G109" s="12">
        <f t="shared" si="38"/>
        <v>505.65636200717017</v>
      </c>
      <c r="H109" s="12">
        <f t="shared" si="38"/>
        <v>463.23364695340388</v>
      </c>
      <c r="I109" s="12">
        <f t="shared" si="38"/>
        <v>2477.4315313988318</v>
      </c>
      <c r="J109" s="12">
        <f t="shared" si="38"/>
        <v>147.38431224529631</v>
      </c>
      <c r="K109" s="12">
        <f t="shared" si="38"/>
        <v>1079.3639560318188</v>
      </c>
      <c r="L109" s="12">
        <f t="shared" si="38"/>
        <v>1076.8361715914616</v>
      </c>
      <c r="M109" s="12">
        <f t="shared" si="38"/>
        <v>1010.3453296723492</v>
      </c>
      <c r="N109" s="12">
        <f t="shared" si="38"/>
        <v>791.35264579832074</v>
      </c>
      <c r="O109" s="12">
        <f t="shared" si="38"/>
        <v>2504.5614242388419</v>
      </c>
      <c r="P109" s="12">
        <f t="shared" si="38"/>
        <v>-27.129892840010143</v>
      </c>
    </row>
    <row r="110" spans="1:16" outlineLevel="1" x14ac:dyDescent="0.25">
      <c r="A110" s="52" t="s">
        <v>57</v>
      </c>
      <c r="B110" s="16"/>
      <c r="C110" s="105"/>
      <c r="D110" s="77">
        <f t="shared" ref="D110:P110" si="39">D107+D108-D109</f>
        <v>6771.4902663082476</v>
      </c>
      <c r="E110" s="77">
        <f t="shared" si="39"/>
        <v>13677.261768487288</v>
      </c>
      <c r="F110" s="77">
        <f t="shared" si="39"/>
        <v>17272.206205919851</v>
      </c>
      <c r="G110" s="77">
        <f t="shared" si="39"/>
        <v>18920.664059437608</v>
      </c>
      <c r="H110" s="77">
        <f t="shared" si="39"/>
        <v>19247.904875067732</v>
      </c>
      <c r="I110" s="77">
        <f t="shared" si="39"/>
        <v>20926.156551038446</v>
      </c>
      <c r="J110" s="77">
        <f t="shared" si="39"/>
        <v>28274.493033184812</v>
      </c>
      <c r="K110" s="77">
        <f t="shared" si="39"/>
        <v>37864.425682677858</v>
      </c>
      <c r="L110" s="77">
        <f t="shared" si="39"/>
        <v>35998.424560021434</v>
      </c>
      <c r="M110" s="77">
        <f t="shared" si="39"/>
        <v>39408.640605702574</v>
      </c>
      <c r="N110" s="77">
        <f t="shared" si="39"/>
        <v>42879.543661297648</v>
      </c>
      <c r="O110" s="77">
        <f t="shared" si="39"/>
        <v>15048.129637589112</v>
      </c>
      <c r="P110" s="77">
        <f t="shared" si="39"/>
        <v>5878.0269134493301</v>
      </c>
    </row>
    <row r="111" spans="1:16" outlineLevel="1" x14ac:dyDescent="0.25">
      <c r="A111" s="66"/>
      <c r="B111" s="57"/>
      <c r="C111" s="58"/>
      <c r="D111" s="68"/>
      <c r="E111" s="68"/>
      <c r="F111" s="68"/>
      <c r="G111" s="68"/>
      <c r="H111" s="68"/>
      <c r="I111" s="66"/>
      <c r="J111" s="66"/>
      <c r="K111" s="66"/>
      <c r="L111" s="66"/>
      <c r="M111" s="66"/>
      <c r="N111" s="66"/>
      <c r="O111" s="66"/>
      <c r="P111" s="66"/>
    </row>
    <row r="112" spans="1:16" outlineLevel="1" x14ac:dyDescent="0.25">
      <c r="A112" s="47" t="s">
        <v>58</v>
      </c>
      <c r="D112" s="74"/>
      <c r="E112" s="74"/>
      <c r="F112" s="74"/>
      <c r="G112" s="74"/>
      <c r="H112" s="74"/>
      <c r="I112" s="57"/>
      <c r="J112" s="57"/>
      <c r="K112" s="57"/>
      <c r="L112" s="57"/>
      <c r="M112" s="57"/>
      <c r="N112" s="57"/>
      <c r="O112" s="57"/>
      <c r="P112" s="57"/>
    </row>
    <row r="113" spans="1:16" outlineLevel="1" x14ac:dyDescent="0.25">
      <c r="A113" s="12" t="s">
        <v>59</v>
      </c>
      <c r="D113" s="74">
        <v>-8400.5376344086017</v>
      </c>
      <c r="E113" s="74">
        <v>-8400.5376344086017</v>
      </c>
      <c r="F113" s="74">
        <v>-8400.5376344086017</v>
      </c>
      <c r="G113" s="74">
        <v>-8400.5376344086017</v>
      </c>
      <c r="H113" s="74">
        <v>-8400.5376344086017</v>
      </c>
      <c r="I113" s="57">
        <f>-I140</f>
        <v>-5750</v>
      </c>
      <c r="J113" s="57">
        <f t="shared" ref="J113:P113" si="40">-J140</f>
        <v>-5750</v>
      </c>
      <c r="K113" s="57">
        <f t="shared" si="40"/>
        <v>-5750</v>
      </c>
      <c r="L113" s="57">
        <f t="shared" si="40"/>
        <v>-5750</v>
      </c>
      <c r="M113" s="57">
        <f t="shared" si="40"/>
        <v>-5750</v>
      </c>
      <c r="N113" s="57">
        <f t="shared" si="40"/>
        <v>-5750</v>
      </c>
      <c r="O113" s="57">
        <f t="shared" si="40"/>
        <v>-4312.5</v>
      </c>
      <c r="P113" s="57">
        <f t="shared" si="40"/>
        <v>-1437.5</v>
      </c>
    </row>
    <row r="114" spans="1:16" outlineLevel="1" x14ac:dyDescent="0.25">
      <c r="A114" s="12" t="s">
        <v>189</v>
      </c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</row>
    <row r="115" spans="1:16" outlineLevel="1" x14ac:dyDescent="0.25">
      <c r="A115" s="52" t="s">
        <v>60</v>
      </c>
      <c r="B115" s="16"/>
      <c r="C115" s="105"/>
      <c r="D115" s="77">
        <f>SUM(D113:D114)</f>
        <v>-8400.5376344086017</v>
      </c>
      <c r="E115" s="77">
        <f t="shared" ref="E115:P115" si="41">SUM(E113:E114)</f>
        <v>-8400.5376344086017</v>
      </c>
      <c r="F115" s="77">
        <f t="shared" si="41"/>
        <v>-8400.5376344086017</v>
      </c>
      <c r="G115" s="77">
        <f t="shared" si="41"/>
        <v>-8400.5376344086017</v>
      </c>
      <c r="H115" s="77">
        <f t="shared" si="41"/>
        <v>-8400.5376344086017</v>
      </c>
      <c r="I115" s="77">
        <f t="shared" si="41"/>
        <v>-5750</v>
      </c>
      <c r="J115" s="77">
        <f t="shared" si="41"/>
        <v>-5750</v>
      </c>
      <c r="K115" s="77">
        <f t="shared" si="41"/>
        <v>-5750</v>
      </c>
      <c r="L115" s="77">
        <f t="shared" si="41"/>
        <v>-5750</v>
      </c>
      <c r="M115" s="77">
        <f t="shared" si="41"/>
        <v>-5750</v>
      </c>
      <c r="N115" s="77">
        <f t="shared" si="41"/>
        <v>-5750</v>
      </c>
      <c r="O115" s="77">
        <f t="shared" si="41"/>
        <v>-4312.5</v>
      </c>
      <c r="P115" s="77">
        <f t="shared" si="41"/>
        <v>-1437.5</v>
      </c>
    </row>
    <row r="116" spans="1:16" outlineLevel="1" x14ac:dyDescent="0.25">
      <c r="A116" s="66"/>
      <c r="B116" s="57"/>
      <c r="C116" s="58"/>
      <c r="D116" s="68"/>
      <c r="E116" s="68"/>
      <c r="F116" s="68"/>
      <c r="G116" s="68"/>
      <c r="H116" s="68"/>
      <c r="I116" s="66"/>
      <c r="J116" s="66"/>
      <c r="K116" s="66"/>
      <c r="L116" s="66"/>
      <c r="M116" s="66"/>
      <c r="N116" s="66"/>
      <c r="O116" s="66"/>
      <c r="P116" s="66"/>
    </row>
    <row r="117" spans="1:16" outlineLevel="1" x14ac:dyDescent="0.25">
      <c r="A117" s="47" t="s">
        <v>61</v>
      </c>
      <c r="D117" s="74"/>
      <c r="E117" s="74"/>
      <c r="F117" s="74"/>
      <c r="G117" s="74"/>
      <c r="H117" s="74"/>
      <c r="I117" s="57"/>
      <c r="J117" s="57"/>
      <c r="K117" s="57"/>
      <c r="L117" s="57"/>
      <c r="M117" s="57"/>
      <c r="N117" s="57"/>
      <c r="O117" s="57"/>
      <c r="P117" s="57"/>
    </row>
    <row r="118" spans="1:16" outlineLevel="1" x14ac:dyDescent="0.25">
      <c r="A118" s="12" t="s">
        <v>62</v>
      </c>
      <c r="D118" s="74">
        <v>0</v>
      </c>
      <c r="E118" s="74">
        <v>0</v>
      </c>
      <c r="F118" s="74">
        <v>-11200.716845878136</v>
      </c>
      <c r="G118" s="74">
        <v>0</v>
      </c>
      <c r="H118" s="74">
        <v>0</v>
      </c>
      <c r="I118" s="57">
        <f t="shared" ref="I118:P118" si="42">I146</f>
        <v>0</v>
      </c>
      <c r="J118" s="57">
        <f t="shared" si="42"/>
        <v>0</v>
      </c>
      <c r="K118" s="57">
        <f t="shared" si="42"/>
        <v>0</v>
      </c>
      <c r="L118" s="57">
        <f t="shared" si="42"/>
        <v>0</v>
      </c>
      <c r="M118" s="57">
        <f t="shared" si="42"/>
        <v>0</v>
      </c>
      <c r="N118" s="57">
        <f t="shared" si="42"/>
        <v>-10000</v>
      </c>
      <c r="O118" s="57">
        <f t="shared" si="42"/>
        <v>0</v>
      </c>
      <c r="P118" s="57">
        <f t="shared" si="42"/>
        <v>0</v>
      </c>
    </row>
    <row r="119" spans="1:16" outlineLevel="1" x14ac:dyDescent="0.25">
      <c r="A119" s="12" t="s">
        <v>63</v>
      </c>
      <c r="D119" s="74">
        <v>39202.508960573476</v>
      </c>
      <c r="E119" s="74">
        <v>0</v>
      </c>
      <c r="F119" s="74">
        <v>0</v>
      </c>
      <c r="G119" s="74">
        <v>0</v>
      </c>
      <c r="H119" s="74">
        <v>0</v>
      </c>
      <c r="I119" s="57">
        <f t="shared" ref="I119:P119" si="43">I57</f>
        <v>0</v>
      </c>
      <c r="J119" s="57">
        <f t="shared" si="43"/>
        <v>0</v>
      </c>
      <c r="K119" s="57">
        <f t="shared" si="43"/>
        <v>0</v>
      </c>
      <c r="L119" s="57">
        <f t="shared" si="43"/>
        <v>0</v>
      </c>
      <c r="M119" s="57">
        <f t="shared" si="43"/>
        <v>0</v>
      </c>
      <c r="N119" s="57">
        <f t="shared" si="43"/>
        <v>0</v>
      </c>
      <c r="O119" s="57">
        <f t="shared" si="43"/>
        <v>0</v>
      </c>
      <c r="P119" s="57">
        <f t="shared" si="43"/>
        <v>0</v>
      </c>
    </row>
    <row r="120" spans="1:16" outlineLevel="1" x14ac:dyDescent="0.25">
      <c r="A120" s="12" t="s">
        <v>231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57">
        <f>-I58</f>
        <v>0</v>
      </c>
      <c r="J120" s="57">
        <f t="shared" ref="J120:P120" si="44">-J58</f>
        <v>0</v>
      </c>
      <c r="K120" s="57">
        <f t="shared" si="44"/>
        <v>0</v>
      </c>
      <c r="L120" s="57">
        <f t="shared" si="44"/>
        <v>0</v>
      </c>
      <c r="M120" s="57">
        <f t="shared" si="44"/>
        <v>-200</v>
      </c>
      <c r="N120" s="57">
        <f t="shared" si="44"/>
        <v>-200</v>
      </c>
      <c r="O120" s="57">
        <f t="shared" si="44"/>
        <v>0</v>
      </c>
      <c r="P120" s="57">
        <f t="shared" si="44"/>
        <v>0</v>
      </c>
    </row>
    <row r="121" spans="1:16" outlineLevel="1" x14ac:dyDescent="0.25">
      <c r="A121" s="52" t="s">
        <v>64</v>
      </c>
      <c r="B121" s="16"/>
      <c r="C121" s="105"/>
      <c r="D121" s="77">
        <f>SUM(D118:D120)</f>
        <v>39202.508960573476</v>
      </c>
      <c r="E121" s="77">
        <f t="shared" ref="E121:P121" si="45">SUM(E118:E120)</f>
        <v>0</v>
      </c>
      <c r="F121" s="77">
        <f t="shared" si="45"/>
        <v>-11200.716845878136</v>
      </c>
      <c r="G121" s="77">
        <f t="shared" si="45"/>
        <v>0</v>
      </c>
      <c r="H121" s="77">
        <f t="shared" si="45"/>
        <v>0</v>
      </c>
      <c r="I121" s="77">
        <f t="shared" si="45"/>
        <v>0</v>
      </c>
      <c r="J121" s="77">
        <f t="shared" si="45"/>
        <v>0</v>
      </c>
      <c r="K121" s="77">
        <f t="shared" si="45"/>
        <v>0</v>
      </c>
      <c r="L121" s="77">
        <f t="shared" si="45"/>
        <v>0</v>
      </c>
      <c r="M121" s="77">
        <f t="shared" si="45"/>
        <v>-200</v>
      </c>
      <c r="N121" s="77">
        <f t="shared" si="45"/>
        <v>-10200</v>
      </c>
      <c r="O121" s="77">
        <f t="shared" si="45"/>
        <v>0</v>
      </c>
      <c r="P121" s="77">
        <f t="shared" si="45"/>
        <v>0</v>
      </c>
    </row>
    <row r="122" spans="1:16" outlineLevel="1" x14ac:dyDescent="0.25">
      <c r="A122" s="66"/>
      <c r="B122" s="57"/>
      <c r="C122" s="58"/>
      <c r="D122" s="68"/>
      <c r="E122" s="68"/>
      <c r="F122" s="68"/>
      <c r="G122" s="68"/>
      <c r="H122" s="68"/>
      <c r="I122" s="66"/>
      <c r="J122" s="66"/>
      <c r="K122" s="66"/>
      <c r="L122" s="66"/>
      <c r="M122" s="66"/>
      <c r="N122" s="66"/>
      <c r="O122" s="66"/>
      <c r="P122" s="66"/>
    </row>
    <row r="123" spans="1:16" outlineLevel="1" x14ac:dyDescent="0.25">
      <c r="A123" s="12" t="s">
        <v>65</v>
      </c>
      <c r="D123" s="106">
        <f>D110+D115+D121</f>
        <v>37573.461592473119</v>
      </c>
      <c r="E123" s="106">
        <f t="shared" ref="E123:P123" si="46">E110+E115+E121</f>
        <v>5276.7241340786859</v>
      </c>
      <c r="F123" s="106">
        <f t="shared" si="46"/>
        <v>-2329.0482743668872</v>
      </c>
      <c r="G123" s="106">
        <f t="shared" si="46"/>
        <v>10520.126425029006</v>
      </c>
      <c r="H123" s="106">
        <f t="shared" si="46"/>
        <v>10847.36724065913</v>
      </c>
      <c r="I123" s="106">
        <f t="shared" si="46"/>
        <v>15176.156551038446</v>
      </c>
      <c r="J123" s="106">
        <f t="shared" si="46"/>
        <v>22524.493033184812</v>
      </c>
      <c r="K123" s="106">
        <f t="shared" si="46"/>
        <v>32114.425682677858</v>
      </c>
      <c r="L123" s="106">
        <f t="shared" si="46"/>
        <v>30248.424560021434</v>
      </c>
      <c r="M123" s="106">
        <f t="shared" si="46"/>
        <v>33458.640605702574</v>
      </c>
      <c r="N123" s="106">
        <f t="shared" si="46"/>
        <v>26929.543661297648</v>
      </c>
      <c r="O123" s="106">
        <f t="shared" si="46"/>
        <v>10735.629637589112</v>
      </c>
      <c r="P123" s="106">
        <f t="shared" si="46"/>
        <v>4440.5269134493301</v>
      </c>
    </row>
    <row r="124" spans="1:16" outlineLevel="1" x14ac:dyDescent="0.25">
      <c r="A124" s="12" t="s">
        <v>66</v>
      </c>
      <c r="D124" s="74">
        <v>0</v>
      </c>
      <c r="E124" s="57">
        <f>D125</f>
        <v>37573.461592473119</v>
      </c>
      <c r="F124" s="57">
        <f>E125</f>
        <v>42850.185726551805</v>
      </c>
      <c r="G124" s="57">
        <f>F125</f>
        <v>40521.137452184921</v>
      </c>
      <c r="H124" s="57">
        <f>G125</f>
        <v>51041.263877213925</v>
      </c>
      <c r="I124" s="57">
        <f t="shared" ref="I124:N124" si="47">H125</f>
        <v>61888.631117873054</v>
      </c>
      <c r="J124" s="57">
        <f t="shared" si="47"/>
        <v>77064.787668911507</v>
      </c>
      <c r="K124" s="57">
        <f t="shared" si="47"/>
        <v>99589.280702096323</v>
      </c>
      <c r="L124" s="57">
        <f t="shared" si="47"/>
        <v>131703.70638477418</v>
      </c>
      <c r="M124" s="57">
        <f t="shared" si="47"/>
        <v>161952.13094479562</v>
      </c>
      <c r="N124" s="57">
        <f t="shared" si="47"/>
        <v>195410.7715504982</v>
      </c>
      <c r="O124" s="57">
        <f>H125</f>
        <v>61888.631117873054</v>
      </c>
      <c r="P124" s="57">
        <f>O125</f>
        <v>72624.260755462165</v>
      </c>
    </row>
    <row r="125" spans="1:16" outlineLevel="1" x14ac:dyDescent="0.25">
      <c r="A125" s="52" t="s">
        <v>67</v>
      </c>
      <c r="B125" s="16"/>
      <c r="C125" s="105"/>
      <c r="D125" s="77">
        <f>SUM(D123:D124)</f>
        <v>37573.461592473119</v>
      </c>
      <c r="E125" s="77">
        <f t="shared" ref="E125:M125" si="48">SUM(E123:E124)</f>
        <v>42850.185726551805</v>
      </c>
      <c r="F125" s="77">
        <f t="shared" si="48"/>
        <v>40521.137452184921</v>
      </c>
      <c r="G125" s="77">
        <f t="shared" si="48"/>
        <v>51041.263877213925</v>
      </c>
      <c r="H125" s="77">
        <f t="shared" si="48"/>
        <v>61888.631117873054</v>
      </c>
      <c r="I125" s="77">
        <f t="shared" si="48"/>
        <v>77064.787668911507</v>
      </c>
      <c r="J125" s="77">
        <f t="shared" si="48"/>
        <v>99589.280702096323</v>
      </c>
      <c r="K125" s="77">
        <f t="shared" si="48"/>
        <v>131703.70638477418</v>
      </c>
      <c r="L125" s="77">
        <f t="shared" si="48"/>
        <v>161952.13094479562</v>
      </c>
      <c r="M125" s="77">
        <f t="shared" si="48"/>
        <v>195410.7715504982</v>
      </c>
      <c r="N125" s="77">
        <f>SUM(N123:N124)</f>
        <v>222340.31521179585</v>
      </c>
      <c r="O125" s="77">
        <f>SUM(O123:O124)</f>
        <v>72624.260755462165</v>
      </c>
      <c r="P125" s="77">
        <f>SUM(P123:P124)</f>
        <v>77064.787668911493</v>
      </c>
    </row>
    <row r="126" spans="1:16" outlineLevel="1" x14ac:dyDescent="0.25">
      <c r="A126" s="47"/>
      <c r="D126" s="68"/>
      <c r="E126" s="79"/>
      <c r="F126" s="79"/>
      <c r="G126" s="79"/>
      <c r="H126" s="79"/>
    </row>
    <row r="127" spans="1:16" outlineLevel="1" x14ac:dyDescent="0.25">
      <c r="A127" s="47"/>
      <c r="D127" s="68"/>
      <c r="E127" s="79"/>
      <c r="F127" s="79"/>
      <c r="G127" s="79"/>
      <c r="H127" s="79"/>
    </row>
    <row r="128" spans="1:16" x14ac:dyDescent="0.25">
      <c r="D128" s="79"/>
      <c r="E128" s="79"/>
      <c r="F128" s="79"/>
      <c r="G128" s="79"/>
      <c r="H128" s="79"/>
    </row>
    <row r="129" spans="1:16" x14ac:dyDescent="0.25">
      <c r="A129" s="22" t="s">
        <v>68</v>
      </c>
      <c r="B129" s="22"/>
      <c r="C129" s="23"/>
      <c r="D129" s="24">
        <f t="shared" ref="D129:P129" si="49">D$2</f>
        <v>2012</v>
      </c>
      <c r="E129" s="24">
        <f t="shared" si="49"/>
        <v>2013</v>
      </c>
      <c r="F129" s="24">
        <f t="shared" si="49"/>
        <v>2014</v>
      </c>
      <c r="G129" s="24">
        <f t="shared" si="49"/>
        <v>2015</v>
      </c>
      <c r="H129" s="24">
        <f t="shared" si="49"/>
        <v>2016</v>
      </c>
      <c r="I129" s="25">
        <f t="shared" si="49"/>
        <v>2017</v>
      </c>
      <c r="J129" s="25">
        <f t="shared" si="49"/>
        <v>2018</v>
      </c>
      <c r="K129" s="25">
        <f t="shared" si="49"/>
        <v>2019</v>
      </c>
      <c r="L129" s="25">
        <f t="shared" si="49"/>
        <v>2020</v>
      </c>
      <c r="M129" s="25">
        <f t="shared" si="49"/>
        <v>2021</v>
      </c>
      <c r="N129" s="25">
        <f t="shared" si="49"/>
        <v>2022</v>
      </c>
      <c r="O129" s="26">
        <f t="shared" si="49"/>
        <v>43008</v>
      </c>
      <c r="P129" s="26">
        <f t="shared" si="49"/>
        <v>43100</v>
      </c>
    </row>
    <row r="130" spans="1:16" outlineLevel="1" x14ac:dyDescent="0.25">
      <c r="D130" s="79"/>
      <c r="E130" s="79"/>
      <c r="F130" s="79"/>
      <c r="G130" s="79"/>
      <c r="H130" s="79"/>
    </row>
    <row r="131" spans="1:16" outlineLevel="1" x14ac:dyDescent="0.25">
      <c r="A131" s="47" t="s">
        <v>69</v>
      </c>
      <c r="D131" s="79"/>
      <c r="E131" s="79"/>
      <c r="F131" s="79"/>
      <c r="G131" s="79"/>
      <c r="H131" s="79"/>
    </row>
    <row r="132" spans="1:16" outlineLevel="1" x14ac:dyDescent="0.25">
      <c r="A132" s="12" t="s">
        <v>41</v>
      </c>
      <c r="D132" s="79">
        <v>2856.3788082437277</v>
      </c>
      <c r="E132" s="79">
        <v>3306.619623655914</v>
      </c>
      <c r="F132" s="79">
        <v>3677.8953853046592</v>
      </c>
      <c r="G132" s="79">
        <v>3985.8030913978496</v>
      </c>
      <c r="H132" s="79">
        <v>4221.8862007168455</v>
      </c>
      <c r="I132" s="12">
        <f t="shared" ref="I132:P133" si="50">I82</f>
        <v>5852.8066234595181</v>
      </c>
      <c r="J132" s="12">
        <f t="shared" si="50"/>
        <v>5506.9589593460005</v>
      </c>
      <c r="K132" s="12">
        <f t="shared" si="50"/>
        <v>6167.7940344675217</v>
      </c>
      <c r="L132" s="12">
        <f t="shared" si="50"/>
        <v>6766.0363520183337</v>
      </c>
      <c r="M132" s="12">
        <f t="shared" si="50"/>
        <v>7327.3393129474161</v>
      </c>
      <c r="N132" s="12">
        <f t="shared" si="50"/>
        <v>7766.9796717242616</v>
      </c>
      <c r="O132" s="12">
        <f t="shared" si="50"/>
        <v>5868.8857625349556</v>
      </c>
      <c r="P132" s="12">
        <f t="shared" si="50"/>
        <v>5852.8066234595181</v>
      </c>
    </row>
    <row r="133" spans="1:16" outlineLevel="1" x14ac:dyDescent="0.25">
      <c r="A133" s="12" t="s">
        <v>42</v>
      </c>
      <c r="D133" s="79">
        <v>4370.8557347670248</v>
      </c>
      <c r="E133" s="79">
        <v>5376.7921146953413</v>
      </c>
      <c r="F133" s="79">
        <v>5502.1281362007167</v>
      </c>
      <c r="G133" s="79">
        <v>5897.6254480286743</v>
      </c>
      <c r="H133" s="79">
        <v>6351.9265232974903</v>
      </c>
      <c r="I133" s="12">
        <f t="shared" si="50"/>
        <v>8380.1549381352179</v>
      </c>
      <c r="J133" s="12">
        <f t="shared" si="50"/>
        <v>9407.7215555494167</v>
      </c>
      <c r="K133" s="12">
        <f t="shared" si="50"/>
        <v>10279.656724112536</v>
      </c>
      <c r="L133" s="12">
        <f t="shared" si="50"/>
        <v>11276.72725336389</v>
      </c>
      <c r="M133" s="12">
        <f t="shared" si="50"/>
        <v>12212.232188245694</v>
      </c>
      <c r="N133" s="12">
        <f t="shared" si="50"/>
        <v>12944.966119540437</v>
      </c>
      <c r="O133" s="12">
        <f t="shared" si="50"/>
        <v>8403.1773418114135</v>
      </c>
      <c r="P133" s="12">
        <f t="shared" si="50"/>
        <v>8380.1549381352179</v>
      </c>
    </row>
    <row r="134" spans="1:16" outlineLevel="1" x14ac:dyDescent="0.25">
      <c r="A134" s="12" t="s">
        <v>46</v>
      </c>
      <c r="D134" s="79">
        <v>2185.4278673835124</v>
      </c>
      <c r="E134" s="79">
        <v>2688.3960573476706</v>
      </c>
      <c r="F134" s="79">
        <v>2751.0640681003583</v>
      </c>
      <c r="G134" s="79">
        <v>2948.8127240143372</v>
      </c>
      <c r="H134" s="79">
        <v>3175.9632616487452</v>
      </c>
      <c r="I134" s="12">
        <f t="shared" ref="I134:P134" si="51">I91</f>
        <v>4357.6805678303126</v>
      </c>
      <c r="J134" s="12">
        <f t="shared" si="51"/>
        <v>4892.0152088856967</v>
      </c>
      <c r="K134" s="12">
        <f t="shared" si="51"/>
        <v>5345.421496538519</v>
      </c>
      <c r="L134" s="12">
        <f t="shared" si="51"/>
        <v>5863.8981717492234</v>
      </c>
      <c r="M134" s="12">
        <f t="shared" si="51"/>
        <v>6350.3607378877614</v>
      </c>
      <c r="N134" s="12">
        <f t="shared" si="51"/>
        <v>6731.3823821610276</v>
      </c>
      <c r="O134" s="12">
        <f t="shared" si="51"/>
        <v>4369.6522177419356</v>
      </c>
      <c r="P134" s="12">
        <f t="shared" si="51"/>
        <v>4357.6805678303126</v>
      </c>
    </row>
    <row r="135" spans="1:16" outlineLevel="1" x14ac:dyDescent="0.25">
      <c r="A135" s="16" t="s">
        <v>70</v>
      </c>
      <c r="B135" s="16"/>
      <c r="C135" s="105"/>
      <c r="D135" s="13">
        <f>D132+D133-D134</f>
        <v>5041.8066756272401</v>
      </c>
      <c r="E135" s="13">
        <f t="shared" ref="E135:M135" si="52">E132+E133-E134</f>
        <v>5995.0156810035842</v>
      </c>
      <c r="F135" s="13">
        <f t="shared" si="52"/>
        <v>6428.9594534050175</v>
      </c>
      <c r="G135" s="13">
        <f t="shared" si="52"/>
        <v>6934.6158154121877</v>
      </c>
      <c r="H135" s="13">
        <f t="shared" si="52"/>
        <v>7397.8494623655915</v>
      </c>
      <c r="I135" s="13">
        <f t="shared" si="52"/>
        <v>9875.2809937644233</v>
      </c>
      <c r="J135" s="13">
        <f t="shared" si="52"/>
        <v>10022.66530600972</v>
      </c>
      <c r="K135" s="13">
        <f t="shared" si="52"/>
        <v>11102.029262041538</v>
      </c>
      <c r="L135" s="13">
        <f t="shared" si="52"/>
        <v>12178.865433633</v>
      </c>
      <c r="M135" s="13">
        <f t="shared" si="52"/>
        <v>13189.210763305349</v>
      </c>
      <c r="N135" s="13">
        <f>N132+N133-N134</f>
        <v>13980.56340910367</v>
      </c>
      <c r="O135" s="13">
        <f>O132+O133-O134</f>
        <v>9902.4108866044335</v>
      </c>
      <c r="P135" s="13">
        <f>P132+P133-P134</f>
        <v>9875.2809937644233</v>
      </c>
    </row>
    <row r="136" spans="1:16" outlineLevel="1" x14ac:dyDescent="0.25">
      <c r="A136" s="12" t="s">
        <v>71</v>
      </c>
      <c r="D136" s="100">
        <f>D135-C135</f>
        <v>5041.8066756272401</v>
      </c>
      <c r="E136" s="100">
        <f t="shared" ref="E136:N136" si="53">E135-D135</f>
        <v>953.20900537634407</v>
      </c>
      <c r="F136" s="100">
        <f t="shared" si="53"/>
        <v>433.94377240143331</v>
      </c>
      <c r="G136" s="100">
        <f t="shared" si="53"/>
        <v>505.65636200717017</v>
      </c>
      <c r="H136" s="100">
        <f t="shared" si="53"/>
        <v>463.23364695340388</v>
      </c>
      <c r="I136" s="12">
        <f t="shared" si="53"/>
        <v>2477.4315313988318</v>
      </c>
      <c r="J136" s="12">
        <f t="shared" si="53"/>
        <v>147.38431224529631</v>
      </c>
      <c r="K136" s="12">
        <f t="shared" si="53"/>
        <v>1079.3639560318188</v>
      </c>
      <c r="L136" s="12">
        <f t="shared" si="53"/>
        <v>1076.8361715914616</v>
      </c>
      <c r="M136" s="12">
        <f t="shared" si="53"/>
        <v>1010.3453296723492</v>
      </c>
      <c r="N136" s="12">
        <f t="shared" si="53"/>
        <v>791.35264579832074</v>
      </c>
      <c r="O136" s="12">
        <f>O135-H135</f>
        <v>2504.5614242388419</v>
      </c>
      <c r="P136" s="12">
        <f>P135-O135</f>
        <v>-27.129892840010143</v>
      </c>
    </row>
    <row r="137" spans="1:16" outlineLevel="1" x14ac:dyDescent="0.25">
      <c r="D137" s="79"/>
      <c r="E137" s="79"/>
      <c r="F137" s="79"/>
      <c r="G137" s="79"/>
      <c r="H137" s="79"/>
    </row>
    <row r="138" spans="1:16" outlineLevel="1" x14ac:dyDescent="0.25">
      <c r="A138" s="47" t="s">
        <v>72</v>
      </c>
      <c r="D138" s="79"/>
      <c r="E138" s="79"/>
      <c r="F138" s="79"/>
      <c r="G138" s="79"/>
      <c r="H138" s="79"/>
    </row>
    <row r="139" spans="1:16" outlineLevel="1" x14ac:dyDescent="0.25">
      <c r="A139" s="12" t="s">
        <v>73</v>
      </c>
      <c r="D139" s="79">
        <v>28001.792114695338</v>
      </c>
      <c r="E139" s="79">
        <v>25481.630824372758</v>
      </c>
      <c r="F139" s="79">
        <v>23717.517921146951</v>
      </c>
      <c r="G139" s="79">
        <v>22482.638888888887</v>
      </c>
      <c r="H139" s="79">
        <v>21618.223566308243</v>
      </c>
      <c r="I139" s="12">
        <f t="shared" ref="I139:N139" si="54">H142</f>
        <v>21013.132840501792</v>
      </c>
      <c r="J139" s="12">
        <f t="shared" si="54"/>
        <v>22560.506272401435</v>
      </c>
      <c r="K139" s="12">
        <f t="shared" si="54"/>
        <v>23798.405017921148</v>
      </c>
      <c r="L139" s="12">
        <f t="shared" si="54"/>
        <v>24788.72401433692</v>
      </c>
      <c r="M139" s="12">
        <f t="shared" si="54"/>
        <v>25580.979211469537</v>
      </c>
      <c r="N139" s="12">
        <f t="shared" si="54"/>
        <v>26214.783369175631</v>
      </c>
      <c r="O139" s="12">
        <f>H142</f>
        <v>21013.132840501792</v>
      </c>
      <c r="P139" s="12">
        <f>O142</f>
        <v>22173.662914426524</v>
      </c>
    </row>
    <row r="140" spans="1:16" outlineLevel="1" x14ac:dyDescent="0.25">
      <c r="A140" s="12" t="s">
        <v>74</v>
      </c>
      <c r="D140" s="79">
        <v>8400.5376344086017</v>
      </c>
      <c r="E140" s="79">
        <v>8400.5376344086017</v>
      </c>
      <c r="F140" s="79">
        <v>8400.5376344086017</v>
      </c>
      <c r="G140" s="79">
        <v>8400.5376344086017</v>
      </c>
      <c r="H140" s="79">
        <v>8400.5376344086017</v>
      </c>
      <c r="I140" s="12">
        <f t="shared" ref="I140:N140" si="55">I55</f>
        <v>5750</v>
      </c>
      <c r="J140" s="12">
        <f t="shared" si="55"/>
        <v>5750</v>
      </c>
      <c r="K140" s="12">
        <f t="shared" si="55"/>
        <v>5750</v>
      </c>
      <c r="L140" s="12">
        <f t="shared" si="55"/>
        <v>5750</v>
      </c>
      <c r="M140" s="12">
        <f t="shared" si="55"/>
        <v>5750</v>
      </c>
      <c r="N140" s="12">
        <f t="shared" si="55"/>
        <v>5750</v>
      </c>
      <c r="O140" s="12">
        <f>$I140*O$6</f>
        <v>4312.5</v>
      </c>
      <c r="P140" s="12">
        <f>$I140*P$6</f>
        <v>1437.5</v>
      </c>
    </row>
    <row r="141" spans="1:16" outlineLevel="1" x14ac:dyDescent="0.25">
      <c r="A141" s="12" t="s">
        <v>75</v>
      </c>
      <c r="C141" s="89"/>
      <c r="D141" s="79">
        <v>10920.698924731183</v>
      </c>
      <c r="E141" s="79">
        <v>10164.650537634408</v>
      </c>
      <c r="F141" s="79">
        <v>9635.4166666666661</v>
      </c>
      <c r="G141" s="79">
        <v>9264.9529569892475</v>
      </c>
      <c r="H141" s="79">
        <v>9005.6283602150525</v>
      </c>
      <c r="I141" s="14">
        <f t="shared" ref="I141:N141" si="56">I139*I49</f>
        <v>4202.6265681003588</v>
      </c>
      <c r="J141" s="14">
        <f t="shared" si="56"/>
        <v>4512.101254480287</v>
      </c>
      <c r="K141" s="14">
        <f t="shared" si="56"/>
        <v>4759.68100358423</v>
      </c>
      <c r="L141" s="14">
        <f t="shared" si="56"/>
        <v>4957.7448028673844</v>
      </c>
      <c r="M141" s="14">
        <f t="shared" si="56"/>
        <v>5116.1958422939078</v>
      </c>
      <c r="N141" s="14">
        <f t="shared" si="56"/>
        <v>5242.9566738351268</v>
      </c>
      <c r="O141" s="12">
        <f>$I141*O$6</f>
        <v>3151.9699260752691</v>
      </c>
      <c r="P141" s="12">
        <f>$I141*P$6</f>
        <v>1050.6566420250897</v>
      </c>
    </row>
    <row r="142" spans="1:16" outlineLevel="1" x14ac:dyDescent="0.25">
      <c r="A142" s="16" t="s">
        <v>76</v>
      </c>
      <c r="B142" s="16"/>
      <c r="C142" s="105"/>
      <c r="D142" s="13">
        <f>D139+D140-D141</f>
        <v>25481.630824372758</v>
      </c>
      <c r="E142" s="13">
        <f t="shared" ref="E142:M142" si="57">E139+E140-E141</f>
        <v>23717.517921146951</v>
      </c>
      <c r="F142" s="13">
        <f t="shared" si="57"/>
        <v>22482.638888888891</v>
      </c>
      <c r="G142" s="13">
        <f t="shared" si="57"/>
        <v>21618.223566308239</v>
      </c>
      <c r="H142" s="13">
        <f t="shared" si="57"/>
        <v>21013.132840501792</v>
      </c>
      <c r="I142" s="13">
        <f t="shared" si="57"/>
        <v>22560.506272401435</v>
      </c>
      <c r="J142" s="13">
        <f t="shared" si="57"/>
        <v>23798.405017921148</v>
      </c>
      <c r="K142" s="13">
        <f t="shared" si="57"/>
        <v>24788.72401433692</v>
      </c>
      <c r="L142" s="13">
        <f t="shared" si="57"/>
        <v>25580.979211469537</v>
      </c>
      <c r="M142" s="13">
        <f t="shared" si="57"/>
        <v>26214.783369175631</v>
      </c>
      <c r="N142" s="13">
        <f>N139+N140-N141</f>
        <v>26721.826695340504</v>
      </c>
      <c r="O142" s="13">
        <f>O139+O140-O141</f>
        <v>22173.662914426524</v>
      </c>
      <c r="P142" s="13">
        <f>P139+P140-P141</f>
        <v>22560.506272401435</v>
      </c>
    </row>
    <row r="143" spans="1:16" outlineLevel="1" x14ac:dyDescent="0.25">
      <c r="D143" s="79"/>
      <c r="E143" s="79"/>
      <c r="F143" s="79"/>
      <c r="G143" s="79"/>
      <c r="H143" s="79"/>
    </row>
    <row r="144" spans="1:16" outlineLevel="1" x14ac:dyDescent="0.25">
      <c r="A144" s="47" t="s">
        <v>77</v>
      </c>
      <c r="D144" s="79"/>
      <c r="E144" s="79"/>
      <c r="F144" s="79"/>
      <c r="G144" s="79"/>
      <c r="H144" s="79"/>
    </row>
    <row r="145" spans="1:16" outlineLevel="1" x14ac:dyDescent="0.25">
      <c r="A145" s="12" t="s">
        <v>78</v>
      </c>
      <c r="D145" s="79">
        <v>28001.792114695338</v>
      </c>
      <c r="E145" s="79">
        <v>28001.792114695338</v>
      </c>
      <c r="F145" s="79">
        <v>28001.792114695338</v>
      </c>
      <c r="G145" s="79">
        <v>16801.075268817203</v>
      </c>
      <c r="H145" s="79">
        <v>16801.075268817203</v>
      </c>
      <c r="I145" s="12">
        <f t="shared" ref="I145:N145" si="58">H147</f>
        <v>16801.075268817203</v>
      </c>
      <c r="J145" s="12">
        <f t="shared" si="58"/>
        <v>16801.075268817203</v>
      </c>
      <c r="K145" s="12">
        <f t="shared" si="58"/>
        <v>16801.075268817203</v>
      </c>
      <c r="L145" s="12">
        <f t="shared" si="58"/>
        <v>16801.075268817203</v>
      </c>
      <c r="M145" s="12">
        <f t="shared" si="58"/>
        <v>16801.075268817203</v>
      </c>
      <c r="N145" s="12">
        <f t="shared" si="58"/>
        <v>16801.075268817203</v>
      </c>
      <c r="O145" s="12">
        <f>H147</f>
        <v>16801.075268817203</v>
      </c>
      <c r="P145" s="12">
        <f>O147</f>
        <v>16801.075268817203</v>
      </c>
    </row>
    <row r="146" spans="1:16" outlineLevel="1" x14ac:dyDescent="0.25">
      <c r="A146" s="12" t="s">
        <v>79</v>
      </c>
      <c r="D146" s="79">
        <v>0</v>
      </c>
      <c r="E146" s="79">
        <v>0</v>
      </c>
      <c r="F146" s="79">
        <v>-11200.716845878136</v>
      </c>
      <c r="G146" s="79">
        <v>0</v>
      </c>
      <c r="H146" s="79">
        <v>0</v>
      </c>
      <c r="I146" s="15">
        <f t="shared" ref="I146:N146" si="59">I56</f>
        <v>0</v>
      </c>
      <c r="J146" s="15">
        <f t="shared" si="59"/>
        <v>0</v>
      </c>
      <c r="K146" s="15">
        <f t="shared" si="59"/>
        <v>0</v>
      </c>
      <c r="L146" s="15">
        <f t="shared" si="59"/>
        <v>0</v>
      </c>
      <c r="M146" s="15">
        <f t="shared" si="59"/>
        <v>0</v>
      </c>
      <c r="N146" s="15">
        <f t="shared" si="59"/>
        <v>-10000</v>
      </c>
      <c r="O146" s="15">
        <f>$I146*O$6</f>
        <v>0</v>
      </c>
      <c r="P146" s="15">
        <f>$I146*P$6</f>
        <v>0</v>
      </c>
    </row>
    <row r="147" spans="1:16" outlineLevel="1" x14ac:dyDescent="0.25">
      <c r="A147" s="16" t="s">
        <v>80</v>
      </c>
      <c r="B147" s="16"/>
      <c r="C147" s="105"/>
      <c r="D147" s="13">
        <f>SUM(D145:D146)</f>
        <v>28001.792114695338</v>
      </c>
      <c r="E147" s="13">
        <f t="shared" ref="E147:M147" si="60">SUM(E145:E146)</f>
        <v>28001.792114695338</v>
      </c>
      <c r="F147" s="13">
        <f t="shared" si="60"/>
        <v>16801.0752688172</v>
      </c>
      <c r="G147" s="13">
        <f t="shared" si="60"/>
        <v>16801.075268817203</v>
      </c>
      <c r="H147" s="13">
        <f>SUM(H145:H146)</f>
        <v>16801.075268817203</v>
      </c>
      <c r="I147" s="16">
        <f>SUM(I145:I146)</f>
        <v>16801.075268817203</v>
      </c>
      <c r="J147" s="16">
        <f t="shared" si="60"/>
        <v>16801.075268817203</v>
      </c>
      <c r="K147" s="16">
        <f t="shared" si="60"/>
        <v>16801.075268817203</v>
      </c>
      <c r="L147" s="16">
        <f t="shared" si="60"/>
        <v>16801.075268817203</v>
      </c>
      <c r="M147" s="16">
        <f t="shared" si="60"/>
        <v>16801.075268817203</v>
      </c>
      <c r="N147" s="16">
        <f>SUM(N145:N146)</f>
        <v>6801.0752688172033</v>
      </c>
      <c r="O147" s="16">
        <f>SUM(O145:O146)</f>
        <v>16801.075268817203</v>
      </c>
      <c r="P147" s="16">
        <f>SUM(P145:P146)</f>
        <v>16801.075268817203</v>
      </c>
    </row>
    <row r="148" spans="1:16" outlineLevel="1" x14ac:dyDescent="0.25">
      <c r="A148" s="12" t="s">
        <v>81</v>
      </c>
      <c r="C148" s="89"/>
      <c r="D148" s="79">
        <v>1400.089605734767</v>
      </c>
      <c r="E148" s="79">
        <v>1400.089605734767</v>
      </c>
      <c r="F148" s="79">
        <v>840.05376344086017</v>
      </c>
      <c r="G148" s="79">
        <v>840.05376344086017</v>
      </c>
      <c r="H148" s="79">
        <v>840.05376344086017</v>
      </c>
      <c r="I148" s="12">
        <f t="shared" ref="I148:N148" si="61">I147*I50</f>
        <v>1344.0860215053763</v>
      </c>
      <c r="J148" s="12">
        <f t="shared" si="61"/>
        <v>1344.0860215053763</v>
      </c>
      <c r="K148" s="12">
        <f t="shared" si="61"/>
        <v>0</v>
      </c>
      <c r="L148" s="12">
        <f t="shared" si="61"/>
        <v>1344.0860215053763</v>
      </c>
      <c r="M148" s="12">
        <f t="shared" si="61"/>
        <v>1344.0860215053763</v>
      </c>
      <c r="N148" s="12">
        <f t="shared" si="61"/>
        <v>544.08602150537627</v>
      </c>
      <c r="O148" s="15">
        <f>$I148*O$6</f>
        <v>1008.0645161290322</v>
      </c>
      <c r="P148" s="15">
        <f>$I148*P$6</f>
        <v>336.02150537634407</v>
      </c>
    </row>
    <row r="149" spans="1:16" outlineLevel="1" x14ac:dyDescent="0.25">
      <c r="D149" s="79"/>
      <c r="E149" s="79"/>
      <c r="F149" s="79"/>
      <c r="G149" s="79"/>
      <c r="H149" s="79"/>
    </row>
    <row r="150" spans="1:16" outlineLevel="1" x14ac:dyDescent="0.25">
      <c r="D150" s="79"/>
      <c r="E150" s="79"/>
      <c r="F150" s="79"/>
      <c r="G150" s="79"/>
      <c r="H150" s="79"/>
    </row>
    <row r="151" spans="1:16" x14ac:dyDescent="0.25">
      <c r="D151" s="79"/>
      <c r="E151" s="79"/>
      <c r="F151" s="79"/>
      <c r="G151" s="79"/>
      <c r="H151" s="79"/>
    </row>
    <row r="152" spans="1:16" x14ac:dyDescent="0.25">
      <c r="A152" s="42" t="s">
        <v>82</v>
      </c>
      <c r="B152" s="43"/>
      <c r="C152" s="4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</row>
    <row r="153" spans="1:16" outlineLevel="1" x14ac:dyDescent="0.25">
      <c r="A153" s="47"/>
      <c r="D153" s="79"/>
      <c r="E153" s="79"/>
      <c r="F153" s="79"/>
      <c r="G153" s="79"/>
      <c r="H153" s="79"/>
    </row>
    <row r="154" spans="1:16" outlineLevel="1" x14ac:dyDescent="0.25">
      <c r="A154" s="107" t="s">
        <v>12</v>
      </c>
      <c r="B154" s="79"/>
      <c r="C154" s="79"/>
      <c r="D154" s="79"/>
    </row>
    <row r="155" spans="1:16" outlineLevel="1" x14ac:dyDescent="0.25">
      <c r="A155" s="13" t="s">
        <v>83</v>
      </c>
      <c r="B155" s="108"/>
      <c r="C155" s="109">
        <v>0.25</v>
      </c>
      <c r="D155" s="79"/>
    </row>
    <row r="156" spans="1:16" outlineLevel="1" x14ac:dyDescent="0.25">
      <c r="A156" s="100" t="s">
        <v>84</v>
      </c>
      <c r="C156" s="110">
        <v>0.12</v>
      </c>
    </row>
    <row r="157" spans="1:16" outlineLevel="1" x14ac:dyDescent="0.25">
      <c r="A157" s="12" t="s">
        <v>255</v>
      </c>
      <c r="C157" s="110">
        <v>0.04</v>
      </c>
      <c r="J157" s="89"/>
      <c r="K157" s="89"/>
      <c r="L157" s="89"/>
      <c r="M157" s="89"/>
      <c r="N157" s="89"/>
    </row>
    <row r="158" spans="1:16" outlineLevel="1" x14ac:dyDescent="0.25">
      <c r="A158" s="12" t="s">
        <v>256</v>
      </c>
      <c r="C158" s="111">
        <v>8</v>
      </c>
      <c r="J158" s="89"/>
      <c r="K158" s="89"/>
      <c r="L158" s="89"/>
      <c r="M158" s="89"/>
      <c r="N158" s="89"/>
    </row>
    <row r="159" spans="1:16" outlineLevel="1" x14ac:dyDescent="0.25">
      <c r="A159" s="12" t="s">
        <v>7</v>
      </c>
      <c r="C159" s="112">
        <f>'Deal Assumptions &amp; Analysis'!D8</f>
        <v>17.3</v>
      </c>
      <c r="J159" s="89"/>
      <c r="K159" s="89"/>
      <c r="L159" s="89"/>
      <c r="M159" s="89"/>
      <c r="N159" s="89"/>
    </row>
    <row r="160" spans="1:16" outlineLevel="1" x14ac:dyDescent="0.25">
      <c r="A160" s="12" t="s">
        <v>85</v>
      </c>
      <c r="C160" s="113">
        <f>'Deal Assumptions &amp; Analysis'!D22</f>
        <v>25000</v>
      </c>
    </row>
    <row r="161" spans="1:14" outlineLevel="1" x14ac:dyDescent="0.25">
      <c r="C161" s="114"/>
    </row>
    <row r="162" spans="1:14" outlineLevel="1" x14ac:dyDescent="0.25">
      <c r="C162" s="115"/>
    </row>
    <row r="163" spans="1:14" outlineLevel="1" x14ac:dyDescent="0.25">
      <c r="A163" s="72" t="s">
        <v>86</v>
      </c>
      <c r="B163" s="17"/>
      <c r="C163" s="116" t="s">
        <v>87</v>
      </c>
      <c r="D163" s="117">
        <f>I2</f>
        <v>2017</v>
      </c>
      <c r="E163" s="118">
        <f>+D163+1</f>
        <v>2018</v>
      </c>
      <c r="F163" s="118">
        <f>+E163+1</f>
        <v>2019</v>
      </c>
      <c r="G163" s="118">
        <f>+F163+1</f>
        <v>2020</v>
      </c>
      <c r="H163" s="118">
        <f>+G163+1</f>
        <v>2021</v>
      </c>
      <c r="I163" s="118">
        <f>+H163+1</f>
        <v>2022</v>
      </c>
      <c r="J163" s="116" t="s">
        <v>88</v>
      </c>
      <c r="L163" s="47" t="s">
        <v>89</v>
      </c>
    </row>
    <row r="164" spans="1:14" outlineLevel="1" x14ac:dyDescent="0.25">
      <c r="A164" s="119" t="s">
        <v>0</v>
      </c>
      <c r="B164" s="119"/>
      <c r="C164" s="120">
        <f>'Deal Assumptions &amp; Analysis'!$D$9</f>
        <v>43008</v>
      </c>
      <c r="D164" s="121">
        <f t="shared" ref="D164:I164" si="62">DATE(D163,12,31)</f>
        <v>43100</v>
      </c>
      <c r="E164" s="121">
        <f t="shared" si="62"/>
        <v>43465</v>
      </c>
      <c r="F164" s="121">
        <f t="shared" si="62"/>
        <v>43830</v>
      </c>
      <c r="G164" s="121">
        <f t="shared" si="62"/>
        <v>44196</v>
      </c>
      <c r="H164" s="121">
        <f t="shared" si="62"/>
        <v>44561</v>
      </c>
      <c r="I164" s="121">
        <f t="shared" si="62"/>
        <v>44926</v>
      </c>
      <c r="J164" s="121">
        <f>I164</f>
        <v>44926</v>
      </c>
      <c r="L164" s="16" t="s">
        <v>2</v>
      </c>
      <c r="M164" s="16"/>
      <c r="N164" s="122">
        <f>+H171*C158</f>
        <v>467009.19718193554</v>
      </c>
    </row>
    <row r="165" spans="1:14" outlineLevel="1" x14ac:dyDescent="0.25">
      <c r="A165" s="30" t="s">
        <v>90</v>
      </c>
      <c r="B165" s="30"/>
      <c r="C165" s="30"/>
      <c r="D165" s="123">
        <f t="shared" ref="D165:I165" si="63">YEARFRAC(C164,D164)</f>
        <v>0.25</v>
      </c>
      <c r="E165" s="123">
        <f t="shared" si="63"/>
        <v>1</v>
      </c>
      <c r="F165" s="123">
        <f t="shared" si="63"/>
        <v>1</v>
      </c>
      <c r="G165" s="123">
        <f t="shared" si="63"/>
        <v>1</v>
      </c>
      <c r="H165" s="123">
        <f t="shared" si="63"/>
        <v>1</v>
      </c>
      <c r="I165" s="123">
        <f t="shared" si="63"/>
        <v>1</v>
      </c>
      <c r="J165" s="123">
        <f>H165</f>
        <v>1</v>
      </c>
    </row>
    <row r="166" spans="1:14" outlineLevel="1" x14ac:dyDescent="0.25">
      <c r="A166" s="30"/>
      <c r="B166" s="30"/>
      <c r="C166" s="30"/>
      <c r="D166" s="123"/>
      <c r="E166" s="123"/>
      <c r="F166" s="123"/>
      <c r="G166" s="123"/>
      <c r="H166" s="123"/>
      <c r="I166" s="123"/>
      <c r="J166" s="124"/>
    </row>
    <row r="167" spans="1:14" outlineLevel="1" x14ac:dyDescent="0.25">
      <c r="A167" s="12" t="s">
        <v>5</v>
      </c>
      <c r="C167" s="12"/>
      <c r="D167" s="57">
        <f t="shared" ref="D167:I167" si="64">I72+I70</f>
        <v>29580.794130824375</v>
      </c>
      <c r="E167" s="57">
        <f t="shared" si="64"/>
        <v>36505.521449372762</v>
      </c>
      <c r="F167" s="57">
        <f t="shared" si="64"/>
        <v>50270.747992831537</v>
      </c>
      <c r="G167" s="57">
        <f t="shared" si="64"/>
        <v>48575.727093189962</v>
      </c>
      <c r="H167" s="57">
        <f t="shared" si="64"/>
        <v>53259.953805448036</v>
      </c>
      <c r="I167" s="57">
        <f t="shared" si="64"/>
        <v>57055.761952771332</v>
      </c>
    </row>
    <row r="168" spans="1:14" outlineLevel="1" x14ac:dyDescent="0.25">
      <c r="A168" s="12" t="s">
        <v>91</v>
      </c>
      <c r="C168" s="12"/>
      <c r="D168" s="14">
        <f t="shared" ref="D168:I168" si="65">D167*$C$155</f>
        <v>7395.1985327060938</v>
      </c>
      <c r="E168" s="14">
        <f t="shared" si="65"/>
        <v>9126.3803623431904</v>
      </c>
      <c r="F168" s="14">
        <f t="shared" si="65"/>
        <v>12567.686998207884</v>
      </c>
      <c r="G168" s="14">
        <f t="shared" si="65"/>
        <v>12143.931773297491</v>
      </c>
      <c r="H168" s="14">
        <f t="shared" si="65"/>
        <v>13314.988451362009</v>
      </c>
      <c r="I168" s="14">
        <f t="shared" si="65"/>
        <v>14263.940488192833</v>
      </c>
    </row>
    <row r="169" spans="1:14" outlineLevel="1" x14ac:dyDescent="0.25">
      <c r="A169" s="16" t="s">
        <v>92</v>
      </c>
      <c r="B169" s="16"/>
      <c r="C169" s="16"/>
      <c r="D169" s="122">
        <f t="shared" ref="D169:I169" si="66">D167-D168</f>
        <v>22185.595598118281</v>
      </c>
      <c r="E169" s="122">
        <f t="shared" si="66"/>
        <v>27379.141087029573</v>
      </c>
      <c r="F169" s="122">
        <f t="shared" si="66"/>
        <v>37703.060994623651</v>
      </c>
      <c r="G169" s="122">
        <f t="shared" si="66"/>
        <v>36431.795319892473</v>
      </c>
      <c r="H169" s="122">
        <f t="shared" si="66"/>
        <v>39944.965354086031</v>
      </c>
      <c r="I169" s="122">
        <f t="shared" si="66"/>
        <v>42791.821464578497</v>
      </c>
    </row>
    <row r="170" spans="1:14" outlineLevel="1" x14ac:dyDescent="0.25">
      <c r="A170" s="12" t="s">
        <v>93</v>
      </c>
      <c r="C170" s="57"/>
      <c r="D170" s="125">
        <f t="shared" ref="D170:I170" si="67">+I108</f>
        <v>4202.6265681003588</v>
      </c>
      <c r="E170" s="125">
        <f t="shared" si="67"/>
        <v>4512.101254480287</v>
      </c>
      <c r="F170" s="125">
        <f t="shared" si="67"/>
        <v>4759.68100358423</v>
      </c>
      <c r="G170" s="125">
        <f t="shared" si="67"/>
        <v>4957.7448028673844</v>
      </c>
      <c r="H170" s="125">
        <f t="shared" si="67"/>
        <v>5116.1958422939078</v>
      </c>
      <c r="I170" s="125">
        <f t="shared" si="67"/>
        <v>5242.9566738351268</v>
      </c>
      <c r="J170" s="57"/>
    </row>
    <row r="171" spans="1:14" outlineLevel="1" x14ac:dyDescent="0.25">
      <c r="A171" s="12" t="s">
        <v>4</v>
      </c>
      <c r="C171" s="57"/>
      <c r="D171" s="125">
        <f t="shared" ref="D171:I171" si="68">D167+D170</f>
        <v>33783.420698924732</v>
      </c>
      <c r="E171" s="125">
        <f t="shared" si="68"/>
        <v>41017.622703853049</v>
      </c>
      <c r="F171" s="125">
        <f t="shared" si="68"/>
        <v>55030.428996415765</v>
      </c>
      <c r="G171" s="125">
        <f t="shared" si="68"/>
        <v>53533.471896057345</v>
      </c>
      <c r="H171" s="125">
        <f t="shared" si="68"/>
        <v>58376.149647741942</v>
      </c>
      <c r="I171" s="125">
        <f t="shared" si="68"/>
        <v>62298.71862660646</v>
      </c>
      <c r="J171" s="57"/>
    </row>
    <row r="172" spans="1:14" outlineLevel="1" x14ac:dyDescent="0.25">
      <c r="A172" s="12" t="s">
        <v>94</v>
      </c>
      <c r="C172" s="57"/>
      <c r="D172" s="57">
        <f t="shared" ref="D172:I172" si="69">-I113</f>
        <v>5750</v>
      </c>
      <c r="E172" s="57">
        <f t="shared" si="69"/>
        <v>5750</v>
      </c>
      <c r="F172" s="57">
        <f t="shared" si="69"/>
        <v>5750</v>
      </c>
      <c r="G172" s="57">
        <f t="shared" si="69"/>
        <v>5750</v>
      </c>
      <c r="H172" s="57">
        <f t="shared" si="69"/>
        <v>5750</v>
      </c>
      <c r="I172" s="57">
        <f t="shared" si="69"/>
        <v>5750</v>
      </c>
      <c r="J172" s="57"/>
    </row>
    <row r="173" spans="1:14" outlineLevel="1" x14ac:dyDescent="0.25">
      <c r="A173" s="12" t="s">
        <v>95</v>
      </c>
      <c r="C173" s="57"/>
      <c r="D173" s="57">
        <f t="shared" ref="D173:I173" si="70">I136</f>
        <v>2477.4315313988318</v>
      </c>
      <c r="E173" s="57">
        <f t="shared" si="70"/>
        <v>147.38431224529631</v>
      </c>
      <c r="F173" s="57">
        <f t="shared" si="70"/>
        <v>1079.3639560318188</v>
      </c>
      <c r="G173" s="57">
        <f t="shared" si="70"/>
        <v>1076.8361715914616</v>
      </c>
      <c r="H173" s="57">
        <f t="shared" si="70"/>
        <v>1010.3453296723492</v>
      </c>
      <c r="I173" s="57">
        <f t="shared" si="70"/>
        <v>791.35264579832074</v>
      </c>
      <c r="J173" s="57"/>
    </row>
    <row r="174" spans="1:14" outlineLevel="1" x14ac:dyDescent="0.25">
      <c r="A174" s="52" t="s">
        <v>96</v>
      </c>
      <c r="B174" s="52"/>
      <c r="C174" s="52"/>
      <c r="D174" s="52">
        <f t="shared" ref="D174:I174" si="71">D169+D170-D172-D173</f>
        <v>18160.790634819808</v>
      </c>
      <c r="E174" s="52">
        <f t="shared" si="71"/>
        <v>25993.858029264564</v>
      </c>
      <c r="F174" s="52">
        <f t="shared" si="71"/>
        <v>35633.37804217606</v>
      </c>
      <c r="G174" s="52">
        <f t="shared" si="71"/>
        <v>34562.703951168398</v>
      </c>
      <c r="H174" s="52">
        <f t="shared" si="71"/>
        <v>38300.815866707591</v>
      </c>
      <c r="I174" s="52">
        <f t="shared" si="71"/>
        <v>41493.425492615308</v>
      </c>
      <c r="J174" s="126">
        <f>N164</f>
        <v>467009.19718193554</v>
      </c>
    </row>
    <row r="175" spans="1:14" outlineLevel="1" x14ac:dyDescent="0.25">
      <c r="C175" s="12"/>
      <c r="D175" s="57"/>
      <c r="E175" s="57"/>
      <c r="F175" s="57"/>
      <c r="G175" s="57"/>
      <c r="H175" s="57"/>
      <c r="I175" s="57"/>
      <c r="J175" s="17"/>
    </row>
    <row r="176" spans="1:14" outlineLevel="1" x14ac:dyDescent="0.25">
      <c r="A176" s="47" t="s">
        <v>97</v>
      </c>
      <c r="B176" s="47"/>
      <c r="C176" s="47">
        <v>0</v>
      </c>
      <c r="D176" s="66">
        <f t="shared" ref="D176:J176" si="72">D174*D165</f>
        <v>4540.1976587049521</v>
      </c>
      <c r="E176" s="66">
        <f t="shared" si="72"/>
        <v>25993.858029264564</v>
      </c>
      <c r="F176" s="66">
        <f t="shared" si="72"/>
        <v>35633.37804217606</v>
      </c>
      <c r="G176" s="66">
        <f t="shared" si="72"/>
        <v>34562.703951168398</v>
      </c>
      <c r="H176" s="66">
        <f t="shared" si="72"/>
        <v>38300.815866707591</v>
      </c>
      <c r="I176" s="66">
        <f t="shared" si="72"/>
        <v>41493.425492615308</v>
      </c>
      <c r="J176" s="66">
        <f t="shared" si="72"/>
        <v>467009.19718193554</v>
      </c>
    </row>
    <row r="177" spans="1:12" outlineLevel="1" x14ac:dyDescent="0.25">
      <c r="C177" s="57"/>
      <c r="D177" s="57"/>
      <c r="E177" s="57"/>
      <c r="F177" s="57"/>
      <c r="G177" s="57"/>
      <c r="H177" s="57"/>
      <c r="I177" s="57"/>
      <c r="J177" s="57"/>
    </row>
    <row r="178" spans="1:12" outlineLevel="1" x14ac:dyDescent="0.25">
      <c r="A178" s="47" t="s">
        <v>98</v>
      </c>
      <c r="B178" s="47"/>
      <c r="C178" s="66">
        <f>-G184</f>
        <v>-376676.81451335503</v>
      </c>
      <c r="D178" s="66">
        <f t="shared" ref="D178:J178" si="73">D176</f>
        <v>4540.1976587049521</v>
      </c>
      <c r="E178" s="66">
        <f t="shared" si="73"/>
        <v>25993.858029264564</v>
      </c>
      <c r="F178" s="66">
        <f t="shared" si="73"/>
        <v>35633.37804217606</v>
      </c>
      <c r="G178" s="66">
        <f t="shared" si="73"/>
        <v>34562.703951168398</v>
      </c>
      <c r="H178" s="66">
        <f t="shared" si="73"/>
        <v>38300.815866707591</v>
      </c>
      <c r="I178" s="66">
        <f t="shared" si="73"/>
        <v>41493.425492615308</v>
      </c>
      <c r="J178" s="66">
        <f t="shared" si="73"/>
        <v>467009.19718193554</v>
      </c>
    </row>
    <row r="179" spans="1:12" outlineLevel="1" x14ac:dyDescent="0.25">
      <c r="A179" s="57"/>
      <c r="B179" s="127"/>
      <c r="C179" s="57"/>
      <c r="D179" s="57"/>
      <c r="E179" s="57"/>
      <c r="F179" s="57"/>
      <c r="G179" s="57"/>
      <c r="H179" s="57"/>
    </row>
    <row r="180" spans="1:12" outlineLevel="1" x14ac:dyDescent="0.25">
      <c r="A180" s="47" t="s">
        <v>99</v>
      </c>
      <c r="C180" s="57"/>
      <c r="E180" s="47" t="s">
        <v>100</v>
      </c>
      <c r="G180" s="128" t="s">
        <v>100</v>
      </c>
      <c r="H180" s="128" t="s">
        <v>236</v>
      </c>
      <c r="J180" s="47" t="s">
        <v>101</v>
      </c>
    </row>
    <row r="181" spans="1:12" outlineLevel="1" x14ac:dyDescent="0.25">
      <c r="A181" s="16" t="s">
        <v>102</v>
      </c>
      <c r="B181" s="16"/>
      <c r="C181" s="16">
        <f>XNPV(C156,C176:J176,C164:J164)</f>
        <v>382448.70763812598</v>
      </c>
      <c r="E181" s="16" t="s">
        <v>3</v>
      </c>
      <c r="F181" s="16"/>
      <c r="G181" s="16">
        <f>C159*C160</f>
        <v>432500</v>
      </c>
      <c r="H181" s="16">
        <f ca="1">C160*'Deal Assumptions &amp; Analysis'!D33</f>
        <v>562250</v>
      </c>
      <c r="J181" s="16" t="s">
        <v>237</v>
      </c>
      <c r="K181" s="16"/>
      <c r="L181" s="129">
        <f>XIRR(C178:J178,C164:J164)</f>
        <v>0.12374574542045594</v>
      </c>
    </row>
    <row r="182" spans="1:12" outlineLevel="1" x14ac:dyDescent="0.25">
      <c r="A182" s="12" t="s">
        <v>103</v>
      </c>
      <c r="C182" s="12">
        <f>+O81</f>
        <v>72624.260755462165</v>
      </c>
      <c r="E182" s="12" t="s">
        <v>104</v>
      </c>
      <c r="G182" s="12">
        <f>O93+O90</f>
        <v>16801.075268817203</v>
      </c>
      <c r="H182" s="12">
        <f>G182</f>
        <v>16801.075268817203</v>
      </c>
      <c r="L182" s="130"/>
    </row>
    <row r="183" spans="1:12" outlineLevel="1" x14ac:dyDescent="0.25">
      <c r="A183" s="12" t="s">
        <v>105</v>
      </c>
      <c r="C183" s="12">
        <f>O93</f>
        <v>16801.075268817203</v>
      </c>
      <c r="E183" s="12" t="s">
        <v>106</v>
      </c>
      <c r="G183" s="12">
        <f>O81</f>
        <v>72624.260755462165</v>
      </c>
      <c r="H183" s="12">
        <f>G183</f>
        <v>72624.260755462165</v>
      </c>
      <c r="J183" s="57"/>
      <c r="K183" s="57"/>
      <c r="L183" s="127"/>
    </row>
    <row r="184" spans="1:12" outlineLevel="1" x14ac:dyDescent="0.25">
      <c r="A184" s="12" t="s">
        <v>8</v>
      </c>
      <c r="C184" s="16">
        <f>C181+C182-C183</f>
        <v>438271.89312477096</v>
      </c>
      <c r="E184" s="12" t="s">
        <v>102</v>
      </c>
      <c r="G184" s="16">
        <f>G181+G182-G183</f>
        <v>376676.81451335503</v>
      </c>
      <c r="H184" s="16">
        <f ca="1">H181+H182-H183</f>
        <v>506426.81451335509</v>
      </c>
    </row>
    <row r="185" spans="1:12" outlineLevel="1" x14ac:dyDescent="0.25">
      <c r="C185" s="12"/>
      <c r="G185" s="124"/>
    </row>
    <row r="186" spans="1:12" outlineLevel="1" x14ac:dyDescent="0.25">
      <c r="A186" s="47" t="s">
        <v>108</v>
      </c>
      <c r="C186" s="131">
        <f>C184/C160</f>
        <v>17.530875724990839</v>
      </c>
      <c r="E186" s="47" t="s">
        <v>108</v>
      </c>
      <c r="F186" s="47"/>
      <c r="G186" s="132">
        <f>C159</f>
        <v>17.3</v>
      </c>
    </row>
    <row r="187" spans="1:12" outlineLevel="1" x14ac:dyDescent="0.25">
      <c r="C187" s="12"/>
    </row>
    <row r="188" spans="1:12" outlineLevel="1" x14ac:dyDescent="0.25">
      <c r="C188" s="12"/>
    </row>
    <row r="189" spans="1:12" x14ac:dyDescent="0.25">
      <c r="C189" s="12"/>
    </row>
  </sheetData>
  <sheetProtection algorithmName="SHA-512" hashValue="e09nH7KkFGYZz8q0TmFCkF97VT/evodk5iljsDnvZUcP0dO02WK97n/Cxrw91SC9aUcV/WEeXMTMtLb4xIxPYQ==" saltValue="P1noF0bbhvcpplUPZXC6bQ==" spinCount="100000" sheet="1" objects="1" scenarios="1"/>
  <protectedRanges>
    <protectedRange sqref="I10" name="Whole Sheet"/>
  </protectedRanges>
  <conditionalFormatting sqref="D4:P6">
    <cfRule type="containsText" dxfId="5" priority="1" operator="containsText" text="OK">
      <formula>NOT(ISERROR(SEARCH("OK",D4)))</formula>
    </cfRule>
    <cfRule type="containsText" dxfId="4" priority="2" operator="containsText" text="ERROR">
      <formula>NOT(ISERROR(SEARCH("ERROR",D4)))</formula>
    </cfRule>
  </conditionalFormatting>
  <conditionalFormatting sqref="G10:H10">
    <cfRule type="containsText" dxfId="3" priority="27" operator="containsText" text="OK">
      <formula>NOT(ISERROR(SEARCH("OK",G10)))</formula>
    </cfRule>
    <cfRule type="containsText" dxfId="2" priority="28" operator="containsText" text="ERROR">
      <formula>NOT(ISERROR(SEARCH("ERROR",G10)))</formula>
    </cfRule>
  </conditionalFormatting>
  <conditionalFormatting sqref="J10">
    <cfRule type="containsText" dxfId="1" priority="45" operator="containsText" text="OK">
      <formula>NOT(ISERROR(SEARCH("OK",J10)))</formula>
    </cfRule>
    <cfRule type="containsText" dxfId="0" priority="46" operator="containsText" text="ERROR">
      <formula>NOT(ISERROR(SEARCH("ERROR",J10)))</formula>
    </cfRule>
  </conditionalFormatting>
  <dataValidations count="1">
    <dataValidation type="list" allowBlank="1" showInputMessage="1" showErrorMessage="1" sqref="I10" xr:uid="{00000000-0002-0000-0400-000000000000}">
      <formula1>"1,2,"</formula1>
    </dataValidation>
  </dataValidations>
  <pageMargins left="0.7" right="0.7" top="0.35" bottom="0.32" header="0.22" footer="0.24"/>
  <pageSetup scale="52" orientation="landscape" r:id="rId1"/>
  <rowBreaks count="3" manualBreakCount="3">
    <brk id="60" max="15" man="1"/>
    <brk id="103" max="15" man="1"/>
    <brk id="1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Cover Page</vt:lpstr>
      <vt:lpstr>Deal Assumptions &amp; Analysis</vt:lpstr>
      <vt:lpstr>Pro Forma Model</vt:lpstr>
      <vt:lpstr>Acquirer Model</vt:lpstr>
      <vt:lpstr>Target Model</vt:lpstr>
      <vt:lpstr>'Acquirer Model'!Print_Area</vt:lpstr>
      <vt:lpstr>'Cover Page'!Print_Area</vt:lpstr>
      <vt:lpstr>'Target Model'!Print_Area</vt:lpstr>
      <vt:lpstr>'Acquirer Model'!Print_Titles</vt:lpstr>
      <vt:lpstr>'Deal Assumptions &amp; Analysis'!Print_Titles</vt:lpstr>
      <vt:lpstr>'Pro Forma Model'!Print_Titles</vt:lpstr>
      <vt:lpstr>'Target Model'!Print_Titles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Hafeez</dc:creator>
  <cp:lastModifiedBy>Hafeez hafeez</cp:lastModifiedBy>
  <dcterms:created xsi:type="dcterms:W3CDTF">2004-07-20T21:40:42Z</dcterms:created>
  <dcterms:modified xsi:type="dcterms:W3CDTF">2025-07-25T21:55:26Z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