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6.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showInkAnnotation="0" autoCompressPictures="0"/>
  <mc:AlternateContent xmlns:mc="http://schemas.openxmlformats.org/markup-compatibility/2006">
    <mc:Choice Requires="x15">
      <x15ac:absPath xmlns:x15ac="http://schemas.microsoft.com/office/spreadsheetml/2010/11/ac" url="E:\Imtiaz Data\New folder (3)\Download 04.08.2023\"/>
    </mc:Choice>
  </mc:AlternateContent>
  <xr:revisionPtr revIDLastSave="0" documentId="13_ncr:1_{D6218768-3A8A-4C4F-B3D0-9A1382B12131}" xr6:coauthVersionLast="45" xr6:coauthVersionMax="45" xr10:uidLastSave="{00000000-0000-0000-0000-000000000000}"/>
  <bookViews>
    <workbookView xWindow="-120" yWindow="-120" windowWidth="20730" windowHeight="11160" tabRatio="500" firstSheet="1" activeTab="4" xr2:uid="{00000000-000D-0000-FFFF-FFFF00000000}"/>
  </bookViews>
  <sheets>
    <sheet name="Sheet2 (2)" sheetId="7" state="hidden" r:id="rId1"/>
    <sheet name="Cash Flow" sheetId="2" r:id="rId2"/>
    <sheet name="Cash Flow (2)" sheetId="4" r:id="rId3"/>
    <sheet name="Sheet2" sheetId="5" r:id="rId4"/>
    <sheet name="Cash Flow (3)" sheetId="6" r:id="rId5"/>
    <sheet name="Personal Cash Flow Example (2)" sheetId="3" state="hidden" r:id="rId6"/>
  </sheets>
  <definedNames>
    <definedName name="_xlnm.Print_Area" localSheetId="1">'Cash Flow'!$A$1:$U$116</definedName>
    <definedName name="_xlnm.Print_Area" localSheetId="2">'Cash Flow (2)'!$A$1:$U$116</definedName>
    <definedName name="_xlnm.Print_Area" localSheetId="4">'Cash Flow (3)'!$A$1:$U$81</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6" i="5" l="1"/>
  <c r="L5" i="5"/>
  <c r="K3" i="5"/>
  <c r="J3" i="5"/>
  <c r="B11" i="5"/>
  <c r="D11" i="5"/>
  <c r="E11" i="7"/>
  <c r="D11" i="7"/>
  <c r="C11" i="7"/>
  <c r="B11" i="7"/>
  <c r="E11" i="5"/>
  <c r="C11" i="5"/>
  <c r="F111" i="6"/>
  <c r="F110" i="6"/>
  <c r="F188" i="4" l="1"/>
  <c r="O84" i="4"/>
  <c r="N84" i="4"/>
  <c r="M84" i="4"/>
  <c r="L84" i="4"/>
  <c r="K84" i="4"/>
  <c r="J84" i="4"/>
  <c r="I84" i="4"/>
  <c r="H84" i="4"/>
  <c r="G84" i="4"/>
  <c r="F84" i="4"/>
  <c r="E84" i="4"/>
  <c r="D84" i="4"/>
  <c r="C84" i="4"/>
  <c r="O83" i="4"/>
  <c r="T83" i="4" s="1"/>
  <c r="T82" i="4"/>
  <c r="T84" i="4" s="1"/>
  <c r="O82" i="4"/>
  <c r="R82" i="4" s="1"/>
  <c r="T80" i="4"/>
  <c r="R80" i="4"/>
  <c r="N80" i="4"/>
  <c r="M80" i="4"/>
  <c r="M85" i="4" s="1"/>
  <c r="L80" i="4"/>
  <c r="L85" i="4" s="1"/>
  <c r="K80" i="4"/>
  <c r="J80" i="4"/>
  <c r="I80" i="4"/>
  <c r="I85" i="4" s="1"/>
  <c r="H80" i="4"/>
  <c r="H85" i="4" s="1"/>
  <c r="G80" i="4"/>
  <c r="F80" i="4"/>
  <c r="E80" i="4"/>
  <c r="D80" i="4"/>
  <c r="D85" i="4" s="1"/>
  <c r="C80" i="4"/>
  <c r="T79" i="4"/>
  <c r="R79" i="4"/>
  <c r="O79" i="4"/>
  <c r="T78" i="4"/>
  <c r="R78" i="4"/>
  <c r="O78" i="4"/>
  <c r="T77" i="4"/>
  <c r="R77" i="4"/>
  <c r="O77" i="4"/>
  <c r="T76" i="4"/>
  <c r="R76" i="4"/>
  <c r="O76" i="4"/>
  <c r="T75" i="4"/>
  <c r="R75" i="4"/>
  <c r="O75" i="4"/>
  <c r="T74" i="4"/>
  <c r="R74" i="4"/>
  <c r="O74" i="4"/>
  <c r="T73" i="4"/>
  <c r="R73" i="4"/>
  <c r="O73" i="4"/>
  <c r="O80" i="4" s="1"/>
  <c r="N69" i="4"/>
  <c r="M69" i="4"/>
  <c r="L69" i="4"/>
  <c r="K69" i="4"/>
  <c r="J69" i="4"/>
  <c r="I69" i="4"/>
  <c r="H69" i="4"/>
  <c r="G69" i="4"/>
  <c r="F69" i="4"/>
  <c r="E69" i="4"/>
  <c r="D69" i="4"/>
  <c r="C69" i="4"/>
  <c r="O69" i="4" s="1"/>
  <c r="O67" i="4"/>
  <c r="T67" i="4" s="1"/>
  <c r="O66" i="4"/>
  <c r="T66" i="4" s="1"/>
  <c r="O65" i="4"/>
  <c r="T65" i="4" s="1"/>
  <c r="O64" i="4"/>
  <c r="T64" i="4" s="1"/>
  <c r="T69" i="4" s="1"/>
  <c r="I40" i="4" s="1"/>
  <c r="N60" i="4"/>
  <c r="N85" i="4" s="1"/>
  <c r="M60" i="4"/>
  <c r="L60" i="4"/>
  <c r="K60" i="4"/>
  <c r="K85" i="4" s="1"/>
  <c r="J60" i="4"/>
  <c r="J85" i="4" s="1"/>
  <c r="I60" i="4"/>
  <c r="H60" i="4"/>
  <c r="G60" i="4"/>
  <c r="G85" i="4" s="1"/>
  <c r="F60" i="4"/>
  <c r="F85" i="4" s="1"/>
  <c r="D60" i="4"/>
  <c r="C60" i="4"/>
  <c r="C85" i="4" s="1"/>
  <c r="O58" i="4"/>
  <c r="T58" i="4" s="1"/>
  <c r="O57" i="4"/>
  <c r="T57" i="4" s="1"/>
  <c r="O56" i="4"/>
  <c r="T56" i="4" s="1"/>
  <c r="H55" i="4"/>
  <c r="G55" i="4"/>
  <c r="F55" i="4"/>
  <c r="E55" i="4"/>
  <c r="E60" i="4" s="1"/>
  <c r="E85" i="4" s="1"/>
  <c r="D55" i="4"/>
  <c r="C55" i="4"/>
  <c r="T54" i="4"/>
  <c r="R54" i="4"/>
  <c r="O54" i="4"/>
  <c r="T53" i="4"/>
  <c r="R53" i="4"/>
  <c r="O53" i="4"/>
  <c r="T52" i="4"/>
  <c r="R52" i="4"/>
  <c r="O52" i="4"/>
  <c r="O47" i="4"/>
  <c r="R45" i="4"/>
  <c r="T43" i="4"/>
  <c r="T42" i="4"/>
  <c r="T41" i="4"/>
  <c r="I41" i="4"/>
  <c r="T40" i="4"/>
  <c r="D40" i="4"/>
  <c r="F187" i="4" s="1"/>
  <c r="T39" i="4"/>
  <c r="T38" i="4"/>
  <c r="T45" i="4" s="1"/>
  <c r="D38" i="4" l="1"/>
  <c r="P78" i="4"/>
  <c r="P76" i="4"/>
  <c r="P74" i="4"/>
  <c r="D42" i="4"/>
  <c r="P79" i="4"/>
  <c r="P77" i="4"/>
  <c r="P75" i="4"/>
  <c r="P73" i="4"/>
  <c r="P54" i="4"/>
  <c r="I38" i="4"/>
  <c r="P52" i="4"/>
  <c r="O60" i="4"/>
  <c r="P57" i="4" s="1"/>
  <c r="P65" i="4"/>
  <c r="P67" i="4"/>
  <c r="R57" i="4"/>
  <c r="R64" i="4"/>
  <c r="R66" i="4"/>
  <c r="R83" i="4"/>
  <c r="R84" i="4" s="1"/>
  <c r="O55" i="4"/>
  <c r="P56" i="4"/>
  <c r="P58" i="4"/>
  <c r="P64" i="4"/>
  <c r="P66" i="4"/>
  <c r="R56" i="4"/>
  <c r="R58" i="4"/>
  <c r="R65" i="4"/>
  <c r="R67" i="4"/>
  <c r="I42" i="4"/>
  <c r="F188" i="2"/>
  <c r="O47" i="2" s="1"/>
  <c r="O52" i="2"/>
  <c r="O73" i="2"/>
  <c r="O74" i="2"/>
  <c r="O75" i="2"/>
  <c r="O76" i="2"/>
  <c r="O77" i="2"/>
  <c r="O78" i="2"/>
  <c r="O79" i="2"/>
  <c r="C55" i="2"/>
  <c r="C60" i="2" s="1"/>
  <c r="D55" i="2"/>
  <c r="D60" i="2"/>
  <c r="E55" i="2"/>
  <c r="E60" i="2" s="1"/>
  <c r="E85" i="2" s="1"/>
  <c r="F55" i="2"/>
  <c r="F60" i="2"/>
  <c r="F85" i="2" s="1"/>
  <c r="G55" i="2"/>
  <c r="G60" i="2" s="1"/>
  <c r="G85" i="2" s="1"/>
  <c r="H55" i="2"/>
  <c r="H60" i="2"/>
  <c r="H85" i="2" s="1"/>
  <c r="I60" i="2"/>
  <c r="J60" i="2"/>
  <c r="K60" i="2"/>
  <c r="L60" i="2"/>
  <c r="L85" i="2" s="1"/>
  <c r="M60" i="2"/>
  <c r="N60" i="2"/>
  <c r="O82" i="2"/>
  <c r="R82" i="2" s="1"/>
  <c r="R84" i="2" s="1"/>
  <c r="O83" i="2"/>
  <c r="R45" i="2"/>
  <c r="D40" i="2"/>
  <c r="F187" i="2" s="1"/>
  <c r="T38" i="2"/>
  <c r="T45" i="2" s="1"/>
  <c r="T39" i="2"/>
  <c r="T40" i="2"/>
  <c r="T41" i="2"/>
  <c r="T42" i="2"/>
  <c r="T43" i="2"/>
  <c r="I41" i="2"/>
  <c r="T52" i="2"/>
  <c r="O53" i="2"/>
  <c r="T53" i="2"/>
  <c r="O54" i="2"/>
  <c r="T54" i="2" s="1"/>
  <c r="O56" i="2"/>
  <c r="T56" i="2" s="1"/>
  <c r="O57" i="2"/>
  <c r="T57" i="2"/>
  <c r="O58" i="2"/>
  <c r="T58" i="2" s="1"/>
  <c r="T73" i="2"/>
  <c r="T80" i="2" s="1"/>
  <c r="T74" i="2"/>
  <c r="T75" i="2"/>
  <c r="T76" i="2"/>
  <c r="T77" i="2"/>
  <c r="T78" i="2"/>
  <c r="T79" i="2"/>
  <c r="T82" i="2"/>
  <c r="T84" i="2" s="1"/>
  <c r="T83" i="2"/>
  <c r="O64" i="2"/>
  <c r="T64" i="2"/>
  <c r="O65" i="2"/>
  <c r="T65" i="2" s="1"/>
  <c r="O66" i="2"/>
  <c r="R66" i="2" s="1"/>
  <c r="R69" i="2" s="1"/>
  <c r="T66" i="2"/>
  <c r="O67" i="2"/>
  <c r="T67" i="2" s="1"/>
  <c r="R57" i="2"/>
  <c r="R53" i="2"/>
  <c r="R52" i="2"/>
  <c r="C84" i="2"/>
  <c r="C80" i="2"/>
  <c r="C69" i="2"/>
  <c r="D69" i="2"/>
  <c r="O69" i="2" s="1"/>
  <c r="E69" i="2"/>
  <c r="F69" i="2"/>
  <c r="G69" i="2"/>
  <c r="H69" i="2"/>
  <c r="I69" i="2"/>
  <c r="J69" i="2"/>
  <c r="K69" i="2"/>
  <c r="L69" i="2"/>
  <c r="M69" i="2"/>
  <c r="N69" i="2"/>
  <c r="R74" i="2"/>
  <c r="R75" i="2"/>
  <c r="R76" i="2"/>
  <c r="R77" i="2"/>
  <c r="R78" i="2"/>
  <c r="R79" i="2"/>
  <c r="R83" i="2"/>
  <c r="N80" i="2"/>
  <c r="N85" i="2" s="1"/>
  <c r="N84" i="2"/>
  <c r="M80" i="2"/>
  <c r="M84" i="2"/>
  <c r="M85" i="2"/>
  <c r="L80" i="2"/>
  <c r="L84" i="2"/>
  <c r="K80" i="2"/>
  <c r="K85" i="2" s="1"/>
  <c r="K84" i="2"/>
  <c r="J80" i="2"/>
  <c r="J85" i="2" s="1"/>
  <c r="J84" i="2"/>
  <c r="I80" i="2"/>
  <c r="I84" i="2"/>
  <c r="I85" i="2"/>
  <c r="H80" i="2"/>
  <c r="H84" i="2"/>
  <c r="G80" i="2"/>
  <c r="G84" i="2"/>
  <c r="F80" i="2"/>
  <c r="F84" i="2"/>
  <c r="E80" i="2"/>
  <c r="E84" i="2"/>
  <c r="D80" i="2"/>
  <c r="D84" i="2"/>
  <c r="D85" i="2"/>
  <c r="R64" i="2"/>
  <c r="R65" i="2"/>
  <c r="R67" i="2"/>
  <c r="O86" i="3"/>
  <c r="S86" i="3" s="1"/>
  <c r="S92" i="3" s="1"/>
  <c r="O87" i="3"/>
  <c r="Q87" i="3" s="1"/>
  <c r="S87" i="3"/>
  <c r="O88" i="3"/>
  <c r="S88" i="3" s="1"/>
  <c r="O89" i="3"/>
  <c r="S89" i="3"/>
  <c r="O90" i="3"/>
  <c r="S90" i="3" s="1"/>
  <c r="O91" i="3"/>
  <c r="Q91" i="3" s="1"/>
  <c r="S91" i="3"/>
  <c r="O78" i="3"/>
  <c r="S78" i="3"/>
  <c r="O79" i="3"/>
  <c r="S79" i="3" s="1"/>
  <c r="O80" i="3"/>
  <c r="S80" i="3"/>
  <c r="O81" i="3"/>
  <c r="S81" i="3" s="1"/>
  <c r="O82" i="3"/>
  <c r="S82" i="3"/>
  <c r="O83" i="3"/>
  <c r="S83" i="3" s="1"/>
  <c r="O72" i="3"/>
  <c r="O76" i="3" s="1"/>
  <c r="S72" i="3"/>
  <c r="O73" i="3"/>
  <c r="S73" i="3" s="1"/>
  <c r="O74" i="3"/>
  <c r="S74" i="3"/>
  <c r="O75" i="3"/>
  <c r="S75" i="3" s="1"/>
  <c r="O63" i="3"/>
  <c r="S63" i="3" s="1"/>
  <c r="O64" i="3"/>
  <c r="S64" i="3"/>
  <c r="O65" i="3"/>
  <c r="S65" i="3" s="1"/>
  <c r="O66" i="3"/>
  <c r="S66" i="3"/>
  <c r="O67" i="3"/>
  <c r="S67" i="3" s="1"/>
  <c r="O68" i="3"/>
  <c r="S68" i="3"/>
  <c r="O69" i="3"/>
  <c r="S69" i="3" s="1"/>
  <c r="O55" i="3"/>
  <c r="S55" i="3"/>
  <c r="O56" i="3"/>
  <c r="S56" i="3" s="1"/>
  <c r="O57" i="3"/>
  <c r="Q57" i="3" s="1"/>
  <c r="S57" i="3"/>
  <c r="O58" i="3"/>
  <c r="S58" i="3" s="1"/>
  <c r="O59" i="3"/>
  <c r="S59" i="3"/>
  <c r="O60" i="3"/>
  <c r="S60" i="3" s="1"/>
  <c r="O46" i="3"/>
  <c r="S46" i="3" s="1"/>
  <c r="O47" i="3"/>
  <c r="S47" i="3"/>
  <c r="O48" i="3"/>
  <c r="S48" i="3" s="1"/>
  <c r="O49" i="3"/>
  <c r="S49" i="3"/>
  <c r="O50" i="3"/>
  <c r="S50" i="3" s="1"/>
  <c r="O51" i="3"/>
  <c r="S51" i="3"/>
  <c r="O52" i="3"/>
  <c r="S52" i="3" s="1"/>
  <c r="Q86" i="3"/>
  <c r="Q89" i="3"/>
  <c r="Q90" i="3"/>
  <c r="Q78" i="3"/>
  <c r="Q79" i="3"/>
  <c r="Q80" i="3"/>
  <c r="Q82" i="3"/>
  <c r="Q83" i="3"/>
  <c r="Q73" i="3"/>
  <c r="Q74" i="3"/>
  <c r="Q75" i="3"/>
  <c r="Q64" i="3"/>
  <c r="Q66" i="3"/>
  <c r="Q68" i="3"/>
  <c r="Q55" i="3"/>
  <c r="Q56" i="3"/>
  <c r="Q59" i="3"/>
  <c r="Q60" i="3"/>
  <c r="Q47" i="3"/>
  <c r="Q48" i="3"/>
  <c r="Q49" i="3"/>
  <c r="Q51" i="3"/>
  <c r="Q52" i="3"/>
  <c r="O92" i="3"/>
  <c r="O84" i="3"/>
  <c r="O61" i="3"/>
  <c r="O53" i="3"/>
  <c r="N92" i="3"/>
  <c r="N84" i="3"/>
  <c r="N76" i="3"/>
  <c r="N70" i="3"/>
  <c r="N61" i="3"/>
  <c r="N53" i="3"/>
  <c r="N93" i="3"/>
  <c r="M92" i="3"/>
  <c r="M84" i="3"/>
  <c r="M76" i="3"/>
  <c r="M70" i="3"/>
  <c r="M93" i="3" s="1"/>
  <c r="M61" i="3"/>
  <c r="M53" i="3"/>
  <c r="L92" i="3"/>
  <c r="L93" i="3" s="1"/>
  <c r="L84" i="3"/>
  <c r="L76" i="3"/>
  <c r="L70" i="3"/>
  <c r="L61" i="3"/>
  <c r="L53" i="3"/>
  <c r="K92" i="3"/>
  <c r="K93" i="3" s="1"/>
  <c r="K84" i="3"/>
  <c r="K76" i="3"/>
  <c r="K70" i="3"/>
  <c r="K61" i="3"/>
  <c r="K53" i="3"/>
  <c r="J92" i="3"/>
  <c r="J84" i="3"/>
  <c r="J76" i="3"/>
  <c r="J70" i="3"/>
  <c r="J61" i="3"/>
  <c r="J53" i="3"/>
  <c r="J93" i="3"/>
  <c r="I92" i="3"/>
  <c r="I84" i="3"/>
  <c r="I76" i="3"/>
  <c r="I70" i="3"/>
  <c r="I93" i="3" s="1"/>
  <c r="I61" i="3"/>
  <c r="I53" i="3"/>
  <c r="H92" i="3"/>
  <c r="H93" i="3" s="1"/>
  <c r="H84" i="3"/>
  <c r="H76" i="3"/>
  <c r="H70" i="3"/>
  <c r="H61" i="3"/>
  <c r="H53" i="3"/>
  <c r="G92" i="3"/>
  <c r="G93" i="3" s="1"/>
  <c r="G84" i="3"/>
  <c r="G76" i="3"/>
  <c r="G70" i="3"/>
  <c r="G61" i="3"/>
  <c r="G53" i="3"/>
  <c r="F92" i="3"/>
  <c r="F84" i="3"/>
  <c r="F76" i="3"/>
  <c r="F70" i="3"/>
  <c r="F61" i="3"/>
  <c r="F53" i="3"/>
  <c r="F93" i="3"/>
  <c r="E92" i="3"/>
  <c r="E84" i="3"/>
  <c r="E76" i="3"/>
  <c r="E70" i="3"/>
  <c r="E93" i="3" s="1"/>
  <c r="E61" i="3"/>
  <c r="E53" i="3"/>
  <c r="D92" i="3"/>
  <c r="D93" i="3" s="1"/>
  <c r="D84" i="3"/>
  <c r="D76" i="3"/>
  <c r="D70" i="3"/>
  <c r="D61" i="3"/>
  <c r="D53" i="3"/>
  <c r="C84" i="3"/>
  <c r="C76" i="3"/>
  <c r="C70" i="3"/>
  <c r="C61" i="3"/>
  <c r="C53" i="3"/>
  <c r="C93" i="3"/>
  <c r="O35" i="3"/>
  <c r="S35" i="3" s="1"/>
  <c r="O36" i="3"/>
  <c r="S36" i="3"/>
  <c r="O37" i="3"/>
  <c r="S37" i="3" s="1"/>
  <c r="O38" i="3"/>
  <c r="Q38" i="3" s="1"/>
  <c r="S38" i="3"/>
  <c r="O39" i="3"/>
  <c r="S39" i="3" s="1"/>
  <c r="O40" i="3"/>
  <c r="S40" i="3"/>
  <c r="Q36" i="3"/>
  <c r="Q37" i="3"/>
  <c r="Q40" i="3"/>
  <c r="C42" i="3"/>
  <c r="D42" i="3"/>
  <c r="E42" i="3"/>
  <c r="O42" i="3" s="1"/>
  <c r="H6" i="3" s="1"/>
  <c r="F42" i="3"/>
  <c r="G42" i="3"/>
  <c r="H42" i="3"/>
  <c r="I42" i="3"/>
  <c r="J42" i="3"/>
  <c r="K42" i="3"/>
  <c r="L42" i="3"/>
  <c r="M42" i="3"/>
  <c r="N42" i="3"/>
  <c r="O23" i="3"/>
  <c r="S23" i="3"/>
  <c r="O24" i="3"/>
  <c r="S24" i="3" s="1"/>
  <c r="S31" i="3" s="1"/>
  <c r="O25" i="3"/>
  <c r="S25" i="3"/>
  <c r="O26" i="3"/>
  <c r="S26" i="3" s="1"/>
  <c r="O27" i="3"/>
  <c r="S27" i="3"/>
  <c r="O28" i="3"/>
  <c r="S28" i="3" s="1"/>
  <c r="O29" i="3"/>
  <c r="S29" i="3"/>
  <c r="Q23" i="3"/>
  <c r="Q25" i="3"/>
  <c r="Q26" i="3"/>
  <c r="Q27" i="3"/>
  <c r="Q29" i="3"/>
  <c r="C31" i="3"/>
  <c r="D31" i="3"/>
  <c r="E31" i="3"/>
  <c r="O31" i="3" s="1"/>
  <c r="H5" i="3" s="1"/>
  <c r="F31" i="3"/>
  <c r="G31" i="3"/>
  <c r="H31" i="3"/>
  <c r="I31" i="3"/>
  <c r="J31" i="3"/>
  <c r="K31" i="3"/>
  <c r="L31" i="3"/>
  <c r="M31" i="3"/>
  <c r="N31" i="3"/>
  <c r="R69" i="4" l="1"/>
  <c r="T55" i="4"/>
  <c r="T60" i="4" s="1"/>
  <c r="R55" i="4"/>
  <c r="R60" i="4" s="1"/>
  <c r="R85" i="4" s="1"/>
  <c r="P55" i="4"/>
  <c r="O85" i="4"/>
  <c r="P59" i="4"/>
  <c r="D37" i="4"/>
  <c r="D39" i="4" s="1"/>
  <c r="D41" i="4" s="1"/>
  <c r="P53" i="4"/>
  <c r="I38" i="2"/>
  <c r="S70" i="3"/>
  <c r="S42" i="3"/>
  <c r="S53" i="3"/>
  <c r="S61" i="3"/>
  <c r="S76" i="3"/>
  <c r="T69" i="2"/>
  <c r="I40" i="2" s="1"/>
  <c r="C85" i="2"/>
  <c r="O60" i="2"/>
  <c r="S84" i="3"/>
  <c r="S93" i="3" s="1"/>
  <c r="P65" i="2"/>
  <c r="P67" i="2"/>
  <c r="P66" i="2"/>
  <c r="P64" i="2"/>
  <c r="O84" i="2"/>
  <c r="O80" i="2"/>
  <c r="Q28" i="3"/>
  <c r="Q24" i="3"/>
  <c r="Q39" i="3"/>
  <c r="Q35" i="3"/>
  <c r="Q42" i="3" s="1"/>
  <c r="O70" i="3"/>
  <c r="O93" i="3" s="1"/>
  <c r="H7" i="3" s="1"/>
  <c r="H9" i="3" s="1"/>
  <c r="Q50" i="3"/>
  <c r="Q46" i="3"/>
  <c r="Q58" i="3"/>
  <c r="Q61" i="3" s="1"/>
  <c r="Q72" i="3"/>
  <c r="Q76" i="3" s="1"/>
  <c r="Q81" i="3"/>
  <c r="Q84" i="3" s="1"/>
  <c r="Q88" i="3"/>
  <c r="Q92" i="3" s="1"/>
  <c r="I42" i="2"/>
  <c r="O55" i="2"/>
  <c r="Q67" i="3"/>
  <c r="Q63" i="3"/>
  <c r="Q70" i="3" s="1"/>
  <c r="R73" i="2"/>
  <c r="R80" i="2" s="1"/>
  <c r="R56" i="2"/>
  <c r="Q69" i="3"/>
  <c r="Q65" i="3"/>
  <c r="R54" i="2"/>
  <c r="R58" i="2"/>
  <c r="I37" i="4" l="1"/>
  <c r="I39" i="4" s="1"/>
  <c r="I43" i="4" s="1"/>
  <c r="T85" i="4"/>
  <c r="R60" i="2"/>
  <c r="R85" i="2" s="1"/>
  <c r="P57" i="2"/>
  <c r="P53" i="2"/>
  <c r="P59" i="2"/>
  <c r="P52" i="2"/>
  <c r="O85" i="2"/>
  <c r="D37" i="2"/>
  <c r="D39" i="2" s="1"/>
  <c r="D41" i="2" s="1"/>
  <c r="P58" i="2"/>
  <c r="P54" i="2"/>
  <c r="P79" i="2"/>
  <c r="P75" i="2"/>
  <c r="P76" i="2"/>
  <c r="D42" i="2"/>
  <c r="D38" i="2"/>
  <c r="P78" i="2"/>
  <c r="P74" i="2"/>
  <c r="P73" i="2"/>
  <c r="Q53" i="3"/>
  <c r="Q93" i="3" s="1"/>
  <c r="P77" i="2"/>
  <c r="P56" i="2"/>
  <c r="P55" i="2"/>
  <c r="T55" i="2"/>
  <c r="T60" i="2" s="1"/>
  <c r="R55" i="2"/>
  <c r="Q31" i="3"/>
  <c r="I37" i="2" l="1"/>
  <c r="I39" i="2" s="1"/>
  <c r="I43" i="2" s="1"/>
  <c r="T85" i="2"/>
</calcChain>
</file>

<file path=xl/sharedStrings.xml><?xml version="1.0" encoding="utf-8"?>
<sst xmlns="http://schemas.openxmlformats.org/spreadsheetml/2006/main" count="311" uniqueCount="145">
  <si>
    <t>TOTAL</t>
  </si>
  <si>
    <t>JAN</t>
  </si>
  <si>
    <t>FEB</t>
  </si>
  <si>
    <t>MAY</t>
  </si>
  <si>
    <t>SEPT</t>
  </si>
  <si>
    <t>OCT</t>
  </si>
  <si>
    <t>NOV</t>
  </si>
  <si>
    <t>DEC</t>
  </si>
  <si>
    <t>AUG</t>
  </si>
  <si>
    <t>JUL</t>
  </si>
  <si>
    <t>JUN</t>
  </si>
  <si>
    <t>APR</t>
  </si>
  <si>
    <t>MAR</t>
  </si>
  <si>
    <t>INCOME</t>
  </si>
  <si>
    <t>Emergency Fund</t>
  </si>
  <si>
    <t>Transfer to Savings</t>
  </si>
  <si>
    <t>Retirement(401K, IRA)</t>
  </si>
  <si>
    <t>Investments</t>
  </si>
  <si>
    <t>Education</t>
  </si>
  <si>
    <t>Other</t>
  </si>
  <si>
    <t>EXPENSES</t>
  </si>
  <si>
    <t>Auto Insurance</t>
  </si>
  <si>
    <t>Fuel</t>
  </si>
  <si>
    <t>Repairs/Maintenance</t>
  </si>
  <si>
    <t>Registration/License</t>
  </si>
  <si>
    <t>DAILY LIVING</t>
  </si>
  <si>
    <t>Groceries</t>
  </si>
  <si>
    <t>Child care</t>
  </si>
  <si>
    <t>Dining out</t>
  </si>
  <si>
    <t>Clothing</t>
  </si>
  <si>
    <t>Cleaning</t>
  </si>
  <si>
    <t>Salon/Barber</t>
  </si>
  <si>
    <t>Pet Supplies</t>
  </si>
  <si>
    <t>ENTERTAINMENT</t>
  </si>
  <si>
    <t>Video/DVD/Movies</t>
  </si>
  <si>
    <t>Concerts/Plays</t>
  </si>
  <si>
    <t>Sports</t>
  </si>
  <si>
    <t>Outdoor Recreation</t>
  </si>
  <si>
    <t>HEALTH</t>
  </si>
  <si>
    <t>Health Insurance</t>
  </si>
  <si>
    <t>Gym membership</t>
  </si>
  <si>
    <t>Doctors/Dentist visits</t>
  </si>
  <si>
    <t>Medicine/Prescriptions</t>
  </si>
  <si>
    <t>Veterinarian</t>
  </si>
  <si>
    <t>Life Insurance</t>
  </si>
  <si>
    <t>VACATION/HOLIDAY</t>
  </si>
  <si>
    <t>Airfare</t>
  </si>
  <si>
    <t>Food</t>
  </si>
  <si>
    <t>Souvenirs</t>
  </si>
  <si>
    <t>Pet Boarding</t>
  </si>
  <si>
    <t>Rental car</t>
  </si>
  <si>
    <t>SUMMARY</t>
  </si>
  <si>
    <t>Public Transportation</t>
  </si>
  <si>
    <t>Accommodations</t>
  </si>
  <si>
    <t>Misc.</t>
  </si>
  <si>
    <t>YEARLY TOTALS</t>
  </si>
  <si>
    <t>MONTHLY AVG</t>
  </si>
  <si>
    <t>DAILY AVG</t>
  </si>
  <si>
    <t>I N C O M E</t>
  </si>
  <si>
    <t>S A V I N G S</t>
  </si>
  <si>
    <t>E X P E N S E S</t>
  </si>
  <si>
    <t xml:space="preserve">C A S H    F L O W </t>
  </si>
  <si>
    <t>INVESTMENT</t>
  </si>
  <si>
    <t>3% Contribution from AG-Punjab</t>
  </si>
  <si>
    <t>20% Contribution from Welfare Projects</t>
  </si>
  <si>
    <t>Lease Income from POLWEL</t>
  </si>
  <si>
    <t>3% PPWF Contribution from Ring Road</t>
  </si>
  <si>
    <t>3% PPWF Contribution from PSP officers</t>
  </si>
  <si>
    <t>Profit from Saving Accounts</t>
  </si>
  <si>
    <t xml:space="preserve"> CASH FLOW STATEMENT</t>
  </si>
  <si>
    <t>Dowry</t>
  </si>
  <si>
    <t>Scholarship</t>
  </si>
  <si>
    <t>Financial Assistance</t>
  </si>
  <si>
    <t>Funeral</t>
  </si>
  <si>
    <t>Last B.P</t>
  </si>
  <si>
    <t>Shuhada Children Scholarship Loan A/C</t>
  </si>
  <si>
    <t>M.A</t>
  </si>
  <si>
    <t xml:space="preserve">PPWF Heads </t>
  </si>
  <si>
    <t xml:space="preserve">Other </t>
  </si>
  <si>
    <t>POLWEL</t>
  </si>
  <si>
    <t>BOP</t>
  </si>
  <si>
    <t>Askari Bank</t>
  </si>
  <si>
    <t>HBL</t>
  </si>
  <si>
    <t>Alfalah</t>
  </si>
  <si>
    <t xml:space="preserve">Opening Balance </t>
  </si>
  <si>
    <t xml:space="preserve">Closing Balance </t>
  </si>
  <si>
    <t xml:space="preserve">Running Account </t>
  </si>
  <si>
    <t>Punjab Police Welfare Organization</t>
  </si>
  <si>
    <t>Statement of Cash Flow</t>
  </si>
  <si>
    <t>For the Half-Year Ended June 30, 2023</t>
  </si>
  <si>
    <t>TOTALS</t>
  </si>
  <si>
    <t>TOTALS (%)</t>
  </si>
  <si>
    <t>Bank Alfalah</t>
  </si>
  <si>
    <t>The Bank of Punjab</t>
  </si>
  <si>
    <t>Marquee</t>
  </si>
  <si>
    <t xml:space="preserve">Other Expenditures </t>
  </si>
  <si>
    <t xml:space="preserve">Other  </t>
  </si>
  <si>
    <t>Investment</t>
  </si>
  <si>
    <t>Endowment Funds</t>
  </si>
  <si>
    <t>Income</t>
  </si>
  <si>
    <t>Expenses</t>
  </si>
  <si>
    <t>Savings</t>
  </si>
  <si>
    <t xml:space="preserve">Investment </t>
  </si>
  <si>
    <t>Savings %</t>
  </si>
  <si>
    <t>Savings on 3%</t>
  </si>
  <si>
    <t xml:space="preserve">Name of Bank </t>
  </si>
  <si>
    <t>D O P</t>
  </si>
  <si>
    <t>D O M</t>
  </si>
  <si>
    <t>Rate (%)</t>
  </si>
  <si>
    <t>Pricnciple</t>
  </si>
  <si>
    <t xml:space="preserve">Profit </t>
  </si>
  <si>
    <t>Police Welfare Project -Officers Mess (Marquee)</t>
  </si>
  <si>
    <t>Financial Highlights</t>
  </si>
  <si>
    <t>Al- Falah (Endowment)</t>
  </si>
  <si>
    <t>Askari Bank Endowment (Shuhada House)</t>
  </si>
  <si>
    <t>Askari Bank Endowment (Legal Financial Assistance)</t>
  </si>
  <si>
    <t>Askari Bank Main</t>
  </si>
  <si>
    <t>Askari Bank Wedding Gift</t>
  </si>
  <si>
    <t>Askari Bank Funeral Charges</t>
  </si>
  <si>
    <t>Askari Bank Last Basic Pay</t>
  </si>
  <si>
    <t>Askari Bank -Loan/Compensation</t>
  </si>
  <si>
    <t>Askari Bank -MA</t>
  </si>
  <si>
    <t>Askari Bank -Medical/ financial/Legal Assistance</t>
  </si>
  <si>
    <t>Askari Bank-Education Scholarship</t>
  </si>
  <si>
    <t>Askari Bank  -DIG Welfare</t>
  </si>
  <si>
    <t>Al- Falah Current</t>
  </si>
  <si>
    <t>Al- Falah Saving</t>
  </si>
  <si>
    <t>BOP (CPO Canteen)</t>
  </si>
  <si>
    <t>NBP 20% Project Income</t>
  </si>
  <si>
    <t>NBP Police Club ( Officer Mess Q Lines &amp; Chung)</t>
  </si>
  <si>
    <t xml:space="preserve">HBL POLWEL Petrol Pump </t>
  </si>
  <si>
    <t>Wedding Gift</t>
  </si>
  <si>
    <t>Funeral Charges</t>
  </si>
  <si>
    <t>Farewell Grant (Last B.P)</t>
  </si>
  <si>
    <t>Maintenance Allowance</t>
  </si>
  <si>
    <t>Grand Total</t>
  </si>
  <si>
    <t xml:space="preserve">Heads </t>
  </si>
  <si>
    <t>Benef. 2023</t>
  </si>
  <si>
    <t>Benef. 2022</t>
  </si>
  <si>
    <t>Amount 2023</t>
  </si>
  <si>
    <t>Amount 2022</t>
  </si>
  <si>
    <t>Expenditure Analysis: January to July 2023 vs. Full Year 2022</t>
  </si>
  <si>
    <t>2023 (Actual)</t>
  </si>
  <si>
    <t>2023 (Projected)</t>
  </si>
  <si>
    <t>Scholarship (Projected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</si>
</sst>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164" formatCode="_-&quot;Rs&quot;* #,##0_-;\-&quot;Rs&quot;* #,##0_-;_-&quot;Rs&quot;* &quot;-&quot;_-;_-@_-"/>
    <numFmt numFmtId="165" formatCode="_-&quot;Rs&quot;* #,##0.00_-;\-&quot;Rs&quot;* #,##0.00_-;_-&quot;Rs&quot;* &quot;-&quot;??_-;_-@_-"/>
    <numFmt numFmtId="166" formatCode="_-* #,##0.00_-;\-* #,##0.00_-;_-* &quot;-&quot;??_-;_-@_-"/>
    <numFmt numFmtId="167" formatCode="_(&quot;Rs&quot;* #,##0.00_);_(&quot;Rs&quot;* \(#,##0.00\);_(&quot;Rs&quot;* &quot;-&quot;??_);_(@_)"/>
    <numFmt numFmtId="168" formatCode="_(&quot;Rs&quot;* #,##0_);_(&quot;Rs&quot;* \(#,##0\);_(&quot;Rs&quot;* &quot;-&quot;??_);_(@_)"/>
    <numFmt numFmtId="169" formatCode="_-&quot;Rs&quot;* #,##0_-;\-&quot;Rs&quot;* #,##0_-;_-&quot;Rs&quot;* &quot;-&quot;??_-;_-@_-"/>
    <numFmt numFmtId="170" formatCode="_-* #,##0_-;\-* #,##0_-;_-* &quot;-&quot;??_-;_-@_-"/>
  </numFmts>
  <fonts count="36" x14ac:knownFonts="1">
    <font>
      <sz val="12"/>
      <color theme="1"/>
      <name val="Calibri"/>
      <family val="2"/>
      <scheme val="minor"/>
    </font>
    <font>
      <sz val="11"/>
      <color theme="1"/>
      <name val="Calibri"/>
      <family val="2"/>
      <scheme val="minor"/>
    </font>
    <font>
      <sz val="12"/>
      <color theme="1"/>
      <name val="Calibri"/>
      <family val="2"/>
      <scheme val="minor"/>
    </font>
    <font>
      <b/>
      <sz val="28"/>
      <color theme="3"/>
      <name val="Calibri"/>
      <family val="2"/>
      <scheme val="minor"/>
    </font>
    <font>
      <u/>
      <sz val="12"/>
      <color theme="10"/>
      <name val="Calibri"/>
      <family val="2"/>
      <scheme val="minor"/>
    </font>
    <font>
      <u/>
      <sz val="12"/>
      <color theme="11"/>
      <name val="Calibri"/>
      <family val="2"/>
      <scheme val="minor"/>
    </font>
    <font>
      <sz val="12"/>
      <color theme="1"/>
      <name val="Century Gothic"/>
      <family val="2"/>
    </font>
    <font>
      <sz val="11"/>
      <color theme="1"/>
      <name val="Century Gothic"/>
      <family val="2"/>
    </font>
    <font>
      <sz val="11"/>
      <color theme="0"/>
      <name val="Century Gothic"/>
      <family val="2"/>
    </font>
    <font>
      <b/>
      <sz val="11"/>
      <color theme="1"/>
      <name val="Century Gothic"/>
      <family val="2"/>
    </font>
    <font>
      <sz val="11"/>
      <color rgb="FF000000"/>
      <name val="Century Gothic"/>
      <family val="2"/>
    </font>
    <font>
      <b/>
      <sz val="28"/>
      <color theme="3"/>
      <name val="Century Gothic"/>
      <family val="2"/>
    </font>
    <font>
      <sz val="20"/>
      <color theme="1"/>
      <name val="Century Gothic"/>
      <family val="2"/>
    </font>
    <font>
      <sz val="12"/>
      <color theme="0"/>
      <name val="Century Gothic"/>
      <family val="2"/>
    </font>
    <font>
      <b/>
      <sz val="12"/>
      <color theme="0"/>
      <name val="Century Gothic"/>
      <family val="2"/>
    </font>
    <font>
      <sz val="12"/>
      <color theme="0" tint="-0.499984740745262"/>
      <name val="Century Gothic"/>
      <family val="2"/>
    </font>
    <font>
      <b/>
      <sz val="22"/>
      <color theme="1"/>
      <name val="Century Gothic"/>
      <family val="2"/>
    </font>
    <font>
      <sz val="12"/>
      <color theme="1"/>
      <name val="Tahoma"/>
      <family val="2"/>
    </font>
    <font>
      <b/>
      <sz val="24"/>
      <color theme="1"/>
      <name val="Tahoma"/>
      <family val="2"/>
    </font>
    <font>
      <b/>
      <sz val="28"/>
      <color theme="1"/>
      <name val="Tahoma"/>
      <family val="2"/>
    </font>
    <font>
      <b/>
      <sz val="20"/>
      <color theme="1"/>
      <name val="Tahoma"/>
      <family val="2"/>
    </font>
    <font>
      <b/>
      <sz val="12"/>
      <color theme="1"/>
      <name val="Tahoma"/>
      <family val="2"/>
    </font>
    <font>
      <sz val="11"/>
      <color theme="1"/>
      <name val="Tahoma"/>
      <family val="2"/>
    </font>
    <font>
      <b/>
      <i/>
      <sz val="14"/>
      <color theme="1"/>
      <name val="Tahoma"/>
      <family val="2"/>
    </font>
    <font>
      <sz val="14"/>
      <color theme="1"/>
      <name val="Tahoma"/>
      <family val="2"/>
    </font>
    <font>
      <sz val="16"/>
      <color rgb="FF000000"/>
      <name val="Tahoma"/>
      <family val="2"/>
    </font>
    <font>
      <sz val="16"/>
      <color theme="1"/>
      <name val="Tahoma"/>
      <family val="2"/>
    </font>
    <font>
      <b/>
      <sz val="16"/>
      <color theme="1"/>
      <name val="Tahoma"/>
      <family val="2"/>
    </font>
    <font>
      <b/>
      <sz val="14"/>
      <color theme="1"/>
      <name val="Tahoma"/>
      <family val="2"/>
    </font>
    <font>
      <b/>
      <sz val="18"/>
      <color theme="1"/>
      <name val="Tahoma"/>
      <family val="2"/>
    </font>
    <font>
      <b/>
      <sz val="18"/>
      <color theme="0"/>
      <name val="Tahoma"/>
      <family val="2"/>
    </font>
    <font>
      <b/>
      <sz val="14"/>
      <color theme="0"/>
      <name val="Tahoma"/>
      <family val="2"/>
    </font>
    <font>
      <b/>
      <sz val="16"/>
      <color rgb="FF000000"/>
      <name val="Tahoma"/>
      <family val="2"/>
    </font>
    <font>
      <b/>
      <sz val="12"/>
      <color theme="1"/>
      <name val="Calibri"/>
      <family val="2"/>
      <scheme val="minor"/>
    </font>
    <font>
      <sz val="22"/>
      <color theme="1"/>
      <name val="Tahoma"/>
      <family val="2"/>
    </font>
    <font>
      <sz val="24"/>
      <color theme="1"/>
      <name val="Tahoma"/>
      <family val="2"/>
    </font>
  </fonts>
  <fills count="23">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5"/>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499984740745262"/>
        <bgColor indexed="6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5" tint="0.79998168889431442"/>
        <bgColor rgb="FF000000"/>
      </patternFill>
    </fill>
    <fill>
      <patternFill patternType="solid">
        <fgColor theme="5" tint="0.59999389629810485"/>
        <bgColor rgb="FF000000"/>
      </patternFill>
    </fill>
    <fill>
      <patternFill patternType="solid">
        <fgColor theme="4" tint="-0.249977111117893"/>
        <bgColor indexed="64"/>
      </patternFill>
    </fill>
    <fill>
      <patternFill patternType="solid">
        <fgColor theme="4" tint="-0.499984740745262"/>
        <bgColor indexed="64"/>
      </patternFill>
    </fill>
    <fill>
      <patternFill patternType="solid">
        <fgColor theme="6" tint="-0.49998474074526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s>
  <borders count="5">
    <border>
      <left/>
      <right/>
      <top/>
      <bottom/>
      <diagonal/>
    </border>
    <border>
      <left style="hair">
        <color indexed="55"/>
      </left>
      <right style="hair">
        <color indexed="55"/>
      </right>
      <top style="hair">
        <color indexed="55"/>
      </top>
      <bottom style="hair">
        <color indexed="55"/>
      </bottom>
      <diagonal/>
    </border>
    <border>
      <left/>
      <right/>
      <top/>
      <bottom style="thin">
        <color theme="0" tint="-0.34998626667073579"/>
      </bottom>
      <diagonal/>
    </border>
    <border>
      <left/>
      <right/>
      <top style="thin">
        <color theme="0" tint="-0.34998626667073579"/>
      </top>
      <bottom/>
      <diagonal/>
    </border>
    <border>
      <left style="thin">
        <color indexed="64"/>
      </left>
      <right style="thin">
        <color indexed="64"/>
      </right>
      <top style="thin">
        <color indexed="64"/>
      </top>
      <bottom style="thin">
        <color indexed="64"/>
      </bottom>
      <diagonal/>
    </border>
  </borders>
  <cellStyleXfs count="46">
    <xf numFmtId="0" fontId="0" fillId="0" borderId="0"/>
    <xf numFmtId="44" fontId="2"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 fillId="0" borderId="0"/>
    <xf numFmtId="9" fontId="2"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2" fillId="0" borderId="0" applyFont="0" applyFill="0" applyBorder="0" applyAlignment="0" applyProtection="0"/>
  </cellStyleXfs>
  <cellXfs count="193">
    <xf numFmtId="0" fontId="0" fillId="0" borderId="0" xfId="0"/>
    <xf numFmtId="0" fontId="0" fillId="2" borderId="0" xfId="0" applyFill="1"/>
    <xf numFmtId="0" fontId="3" fillId="2" borderId="0" xfId="0" applyFont="1" applyFill="1" applyAlignment="1">
      <alignment horizontal="left"/>
    </xf>
    <xf numFmtId="0" fontId="6" fillId="0" borderId="0" xfId="0" applyFont="1"/>
    <xf numFmtId="0" fontId="6" fillId="2" borderId="0" xfId="0" applyFont="1" applyFill="1"/>
    <xf numFmtId="0" fontId="6" fillId="0" borderId="0" xfId="0" applyFont="1" applyBorder="1"/>
    <xf numFmtId="0" fontId="0" fillId="0" borderId="0" xfId="0" applyBorder="1"/>
    <xf numFmtId="0" fontId="6" fillId="2" borderId="0" xfId="0" applyFont="1" applyFill="1" applyBorder="1"/>
    <xf numFmtId="0" fontId="6" fillId="2" borderId="0" xfId="0" applyFont="1" applyFill="1" applyAlignment="1">
      <alignment vertical="center"/>
    </xf>
    <xf numFmtId="0" fontId="6" fillId="0" borderId="0" xfId="0" applyFont="1" applyBorder="1" applyAlignment="1">
      <alignment horizontal="left" indent="1"/>
    </xf>
    <xf numFmtId="0" fontId="0" fillId="0" borderId="0" xfId="0" applyAlignment="1">
      <alignment horizontal="left" indent="1"/>
    </xf>
    <xf numFmtId="0" fontId="6" fillId="0" borderId="0" xfId="0" applyFont="1" applyAlignment="1">
      <alignment vertical="center"/>
    </xf>
    <xf numFmtId="0" fontId="7" fillId="0" borderId="0" xfId="0" applyFont="1" applyAlignment="1">
      <alignment horizontal="left" vertical="center" indent="1"/>
    </xf>
    <xf numFmtId="0" fontId="8" fillId="8" borderId="0" xfId="0" applyFont="1" applyFill="1" applyAlignment="1">
      <alignment horizontal="center" vertical="center"/>
    </xf>
    <xf numFmtId="0" fontId="7" fillId="2" borderId="0" xfId="0" applyFont="1" applyFill="1" applyAlignment="1">
      <alignment vertical="center"/>
    </xf>
    <xf numFmtId="0" fontId="0" fillId="0" borderId="0" xfId="0" applyAlignment="1">
      <alignment vertical="center"/>
    </xf>
    <xf numFmtId="0" fontId="11" fillId="2" borderId="0" xfId="0" applyFont="1" applyFill="1" applyAlignment="1"/>
    <xf numFmtId="0" fontId="8" fillId="9" borderId="0" xfId="0" applyFont="1" applyFill="1" applyAlignment="1">
      <alignment horizontal="center" vertical="center"/>
    </xf>
    <xf numFmtId="0" fontId="8" fillId="14" borderId="0" xfId="0" applyFont="1" applyFill="1" applyBorder="1" applyAlignment="1">
      <alignment horizontal="left" vertical="center" indent="1"/>
    </xf>
    <xf numFmtId="0" fontId="8" fillId="14" borderId="0" xfId="0" applyFont="1" applyFill="1" applyAlignment="1">
      <alignment horizontal="left" vertical="center"/>
    </xf>
    <xf numFmtId="0" fontId="8" fillId="14" borderId="0" xfId="0" applyFont="1" applyFill="1" applyBorder="1" applyAlignment="1">
      <alignment horizontal="left" vertical="center"/>
    </xf>
    <xf numFmtId="0" fontId="6" fillId="0" borderId="0" xfId="0" applyFont="1" applyBorder="1" applyAlignment="1">
      <alignment vertical="center"/>
    </xf>
    <xf numFmtId="0" fontId="7" fillId="3" borderId="0" xfId="0" applyFont="1" applyFill="1" applyAlignment="1">
      <alignment horizontal="left" vertical="center" indent="1"/>
    </xf>
    <xf numFmtId="0" fontId="7" fillId="3" borderId="0" xfId="0" applyFont="1" applyFill="1" applyAlignment="1">
      <alignment vertical="center"/>
    </xf>
    <xf numFmtId="0" fontId="7" fillId="3" borderId="0" xfId="0" applyFont="1" applyFill="1" applyBorder="1" applyAlignment="1">
      <alignment vertical="center"/>
    </xf>
    <xf numFmtId="0" fontId="9" fillId="10" borderId="0" xfId="0" applyFont="1" applyFill="1" applyAlignment="1">
      <alignment horizontal="left" vertical="center" indent="1"/>
    </xf>
    <xf numFmtId="0" fontId="7" fillId="0" borderId="0" xfId="0" applyFont="1" applyAlignment="1">
      <alignment vertical="center"/>
    </xf>
    <xf numFmtId="0" fontId="8" fillId="15" borderId="0" xfId="0" applyFont="1" applyFill="1" applyAlignment="1">
      <alignment horizontal="left" vertical="center" indent="1"/>
    </xf>
    <xf numFmtId="0" fontId="8" fillId="15" borderId="0" xfId="0" applyFont="1" applyFill="1" applyAlignment="1">
      <alignment horizontal="left" vertical="center"/>
    </xf>
    <xf numFmtId="0" fontId="7" fillId="16" borderId="0" xfId="0" applyFont="1" applyFill="1" applyAlignment="1">
      <alignment horizontal="left" vertical="center" indent="1"/>
    </xf>
    <xf numFmtId="0" fontId="7" fillId="16" borderId="0" xfId="0" applyFont="1" applyFill="1" applyAlignment="1">
      <alignment vertical="center"/>
    </xf>
    <xf numFmtId="0" fontId="7" fillId="2" borderId="0" xfId="0" applyFont="1" applyFill="1" applyAlignment="1">
      <alignment horizontal="left" vertical="center" indent="1"/>
    </xf>
    <xf numFmtId="0" fontId="8" fillId="4" borderId="0" xfId="0" applyFont="1" applyFill="1" applyAlignment="1">
      <alignment horizontal="left" vertical="center" indent="1"/>
    </xf>
    <xf numFmtId="0" fontId="8" fillId="4" borderId="0" xfId="0" applyFont="1" applyFill="1" applyAlignment="1">
      <alignment horizontal="left" vertical="center"/>
    </xf>
    <xf numFmtId="0" fontId="9" fillId="6" borderId="0" xfId="0" applyFont="1" applyFill="1" applyAlignment="1">
      <alignment horizontal="left" vertical="center" indent="1"/>
    </xf>
    <xf numFmtId="0" fontId="7" fillId="6" borderId="0" xfId="0" applyFont="1" applyFill="1" applyAlignment="1">
      <alignment vertical="center"/>
    </xf>
    <xf numFmtId="0" fontId="7" fillId="6" borderId="0" xfId="0" applyFont="1" applyFill="1" applyAlignment="1">
      <alignment horizontal="left" vertical="center" indent="1"/>
    </xf>
    <xf numFmtId="0" fontId="10" fillId="11" borderId="0" xfId="0" applyFont="1" applyFill="1" applyAlignment="1">
      <alignment vertical="center"/>
    </xf>
    <xf numFmtId="0" fontId="9" fillId="7" borderId="0" xfId="0" applyFont="1" applyFill="1" applyBorder="1" applyAlignment="1">
      <alignment horizontal="left" vertical="center" indent="1"/>
    </xf>
    <xf numFmtId="0" fontId="9" fillId="17" borderId="0" xfId="0" applyFont="1" applyFill="1" applyAlignment="1">
      <alignment horizontal="left" vertical="center" indent="1"/>
    </xf>
    <xf numFmtId="0" fontId="0" fillId="2" borderId="0" xfId="0" applyFill="1" applyAlignment="1">
      <alignment horizontal="right" indent="2"/>
    </xf>
    <xf numFmtId="0" fontId="6" fillId="2" borderId="0" xfId="0" applyFont="1" applyFill="1" applyAlignment="1">
      <alignment horizontal="right" vertical="center" indent="2"/>
    </xf>
    <xf numFmtId="167" fontId="7" fillId="2" borderId="1" xfId="1" applyNumberFormat="1" applyFont="1" applyFill="1" applyBorder="1" applyAlignment="1">
      <alignment vertical="center"/>
    </xf>
    <xf numFmtId="165" fontId="7" fillId="3" borderId="0" xfId="0" applyNumberFormat="1" applyFont="1" applyFill="1" applyAlignment="1">
      <alignment vertical="center"/>
    </xf>
    <xf numFmtId="164" fontId="7" fillId="3" borderId="0" xfId="0" applyNumberFormat="1" applyFont="1" applyFill="1" applyAlignment="1">
      <alignment vertical="center"/>
    </xf>
    <xf numFmtId="164" fontId="9" fillId="10" borderId="0" xfId="1" applyNumberFormat="1" applyFont="1" applyFill="1" applyAlignment="1">
      <alignment vertical="center"/>
    </xf>
    <xf numFmtId="164" fontId="9" fillId="10" borderId="0" xfId="0" applyNumberFormat="1" applyFont="1" applyFill="1" applyAlignment="1">
      <alignment vertical="center"/>
    </xf>
    <xf numFmtId="164" fontId="7" fillId="16" borderId="0" xfId="0" applyNumberFormat="1" applyFont="1" applyFill="1" applyAlignment="1">
      <alignment vertical="center"/>
    </xf>
    <xf numFmtId="164" fontId="9" fillId="17" borderId="0" xfId="0" applyNumberFormat="1" applyFont="1" applyFill="1" applyAlignment="1">
      <alignment vertical="center"/>
    </xf>
    <xf numFmtId="164" fontId="9" fillId="17" borderId="0" xfId="1" applyNumberFormat="1" applyFont="1" applyFill="1" applyAlignment="1">
      <alignment vertical="center"/>
    </xf>
    <xf numFmtId="164" fontId="7" fillId="2" borderId="1" xfId="1" applyNumberFormat="1" applyFont="1" applyFill="1" applyBorder="1" applyAlignment="1">
      <alignment vertical="center"/>
    </xf>
    <xf numFmtId="164" fontId="7" fillId="2" borderId="1" xfId="0" applyNumberFormat="1" applyFont="1" applyFill="1" applyBorder="1" applyAlignment="1">
      <alignment vertical="center"/>
    </xf>
    <xf numFmtId="164" fontId="7" fillId="6" borderId="0" xfId="0" applyNumberFormat="1" applyFont="1" applyFill="1" applyAlignment="1">
      <alignment vertical="center"/>
    </xf>
    <xf numFmtId="164" fontId="10" fillId="12" borderId="0" xfId="0" applyNumberFormat="1" applyFont="1" applyFill="1" applyAlignment="1">
      <alignment vertical="center"/>
    </xf>
    <xf numFmtId="164" fontId="7" fillId="5" borderId="0" xfId="0" applyNumberFormat="1" applyFont="1" applyFill="1" applyAlignment="1">
      <alignment vertical="center"/>
    </xf>
    <xf numFmtId="164" fontId="7" fillId="5" borderId="0" xfId="1" applyNumberFormat="1" applyFont="1" applyFill="1" applyBorder="1" applyAlignment="1">
      <alignment vertical="center"/>
    </xf>
    <xf numFmtId="164" fontId="9" fillId="7" borderId="0" xfId="1" applyNumberFormat="1" applyFont="1" applyFill="1" applyBorder="1" applyAlignment="1">
      <alignment vertical="center"/>
    </xf>
    <xf numFmtId="0" fontId="7" fillId="3" borderId="0" xfId="0" applyFont="1" applyFill="1" applyAlignment="1">
      <alignment horizontal="left" vertical="center" wrapText="1" indent="1"/>
    </xf>
    <xf numFmtId="168" fontId="7" fillId="2" borderId="1" xfId="1" applyNumberFormat="1" applyFont="1" applyFill="1" applyBorder="1" applyAlignment="1">
      <alignment vertical="center"/>
    </xf>
    <xf numFmtId="169" fontId="7" fillId="3" borderId="0" xfId="0" applyNumberFormat="1" applyFont="1" applyFill="1" applyAlignment="1">
      <alignment vertical="center"/>
    </xf>
    <xf numFmtId="0" fontId="7" fillId="6" borderId="0" xfId="0" applyFont="1" applyFill="1" applyAlignment="1">
      <alignment horizontal="left" vertical="center" wrapText="1" indent="1"/>
    </xf>
    <xf numFmtId="0" fontId="17" fillId="0" borderId="0" xfId="0" applyFont="1"/>
    <xf numFmtId="0" fontId="18" fillId="2" borderId="0" xfId="0" applyFont="1" applyFill="1" applyAlignment="1"/>
    <xf numFmtId="0" fontId="18" fillId="2" borderId="0" xfId="0" applyFont="1" applyFill="1" applyAlignment="1">
      <alignment horizontal="left"/>
    </xf>
    <xf numFmtId="0" fontId="19" fillId="2" borderId="0" xfId="0" applyFont="1" applyFill="1" applyAlignment="1"/>
    <xf numFmtId="0" fontId="17" fillId="2" borderId="0" xfId="0" applyFont="1" applyFill="1"/>
    <xf numFmtId="0" fontId="19" fillId="2" borderId="0" xfId="0" applyFont="1" applyFill="1" applyAlignment="1">
      <alignment horizontal="left"/>
    </xf>
    <xf numFmtId="0" fontId="17" fillId="2" borderId="0" xfId="0" applyFont="1" applyFill="1" applyAlignment="1">
      <alignment vertical="center"/>
    </xf>
    <xf numFmtId="9" fontId="17" fillId="0" borderId="0" xfId="42" applyFont="1"/>
    <xf numFmtId="168" fontId="22" fillId="0" borderId="0" xfId="0" applyNumberFormat="1" applyFont="1"/>
    <xf numFmtId="0" fontId="17" fillId="0" borderId="0" xfId="0" applyFont="1" applyAlignment="1">
      <alignment vertical="center"/>
    </xf>
    <xf numFmtId="0" fontId="17" fillId="0" borderId="0" xfId="0" applyFont="1" applyAlignment="1">
      <alignment horizontal="left" indent="1"/>
    </xf>
    <xf numFmtId="0" fontId="17" fillId="0" borderId="0" xfId="0" applyFont="1" applyAlignment="1">
      <alignment horizontal="center" vertical="center"/>
    </xf>
    <xf numFmtId="0" fontId="22" fillId="0" borderId="0" xfId="0" applyFont="1" applyAlignment="1">
      <alignment horizontal="left" vertical="center" indent="1"/>
    </xf>
    <xf numFmtId="0" fontId="22" fillId="14" borderId="0" xfId="0" applyFont="1" applyFill="1" applyAlignment="1">
      <alignment horizontal="left" vertical="center"/>
    </xf>
    <xf numFmtId="0" fontId="22" fillId="14" borderId="0" xfId="0" applyFont="1" applyFill="1" applyBorder="1" applyAlignment="1">
      <alignment horizontal="left" vertical="center"/>
    </xf>
    <xf numFmtId="0" fontId="17" fillId="0" borderId="0" xfId="0" applyFont="1" applyBorder="1" applyAlignment="1">
      <alignment vertical="center"/>
    </xf>
    <xf numFmtId="0" fontId="22" fillId="3" borderId="0" xfId="0" applyFont="1" applyFill="1" applyAlignment="1">
      <alignment horizontal="left" vertical="center" indent="1"/>
    </xf>
    <xf numFmtId="0" fontId="22" fillId="3" borderId="0" xfId="0" applyFont="1" applyFill="1" applyAlignment="1">
      <alignment vertical="center"/>
    </xf>
    <xf numFmtId="0" fontId="22" fillId="3" borderId="0" xfId="0" applyFont="1" applyFill="1" applyBorder="1" applyAlignment="1">
      <alignment vertical="center"/>
    </xf>
    <xf numFmtId="0" fontId="22" fillId="0" borderId="0" xfId="0" applyFont="1" applyAlignment="1">
      <alignment vertical="center"/>
    </xf>
    <xf numFmtId="0" fontId="22" fillId="15" borderId="0" xfId="0" applyFont="1" applyFill="1" applyAlignment="1">
      <alignment horizontal="left" vertical="center"/>
    </xf>
    <xf numFmtId="0" fontId="22" fillId="16" borderId="0" xfId="0" applyFont="1" applyFill="1" applyAlignment="1">
      <alignment horizontal="left" vertical="center" indent="1"/>
    </xf>
    <xf numFmtId="0" fontId="22" fillId="16" borderId="0" xfId="0" applyFont="1" applyFill="1" applyAlignment="1">
      <alignment vertical="center"/>
    </xf>
    <xf numFmtId="164" fontId="22" fillId="16" borderId="0" xfId="0" applyNumberFormat="1" applyFont="1" applyFill="1" applyAlignment="1">
      <alignment vertical="center"/>
    </xf>
    <xf numFmtId="0" fontId="22" fillId="2" borderId="0" xfId="0" applyFont="1" applyFill="1" applyAlignment="1">
      <alignment horizontal="left" vertical="center" indent="1"/>
    </xf>
    <xf numFmtId="0" fontId="22" fillId="2" borderId="0" xfId="0" applyFont="1" applyFill="1" applyAlignment="1">
      <alignment vertical="center"/>
    </xf>
    <xf numFmtId="0" fontId="22" fillId="4" borderId="0" xfId="0" applyFont="1" applyFill="1" applyAlignment="1">
      <alignment horizontal="left" vertical="center"/>
    </xf>
    <xf numFmtId="0" fontId="22" fillId="6" borderId="0" xfId="0" applyFont="1" applyFill="1" applyAlignment="1">
      <alignment vertical="center"/>
    </xf>
    <xf numFmtId="0" fontId="17" fillId="0" borderId="0" xfId="0" applyFont="1" applyBorder="1" applyAlignment="1">
      <alignment horizontal="left" indent="1"/>
    </xf>
    <xf numFmtId="0" fontId="17" fillId="2" borderId="0" xfId="0" applyFont="1" applyFill="1" applyBorder="1"/>
    <xf numFmtId="0" fontId="23" fillId="2" borderId="0" xfId="0" applyFont="1" applyFill="1" applyAlignment="1"/>
    <xf numFmtId="170" fontId="17" fillId="0" borderId="0" xfId="45" applyNumberFormat="1" applyFont="1"/>
    <xf numFmtId="0" fontId="21" fillId="2" borderId="0" xfId="0" applyFont="1" applyFill="1" applyAlignment="1">
      <alignment vertical="center" wrapText="1"/>
    </xf>
    <xf numFmtId="0" fontId="17" fillId="2" borderId="0" xfId="0" applyFont="1" applyFill="1" applyAlignment="1">
      <alignment horizontal="center"/>
    </xf>
    <xf numFmtId="9" fontId="24" fillId="2" borderId="0" xfId="42" applyFont="1" applyFill="1" applyAlignment="1">
      <alignment horizontal="right" vertical="center"/>
    </xf>
    <xf numFmtId="0" fontId="25" fillId="0" borderId="4" xfId="0" applyFont="1" applyBorder="1" applyAlignment="1">
      <alignment horizontal="left" vertical="center" wrapText="1"/>
    </xf>
    <xf numFmtId="3" fontId="25" fillId="0" borderId="4" xfId="0" applyNumberFormat="1" applyFont="1" applyBorder="1" applyAlignment="1">
      <alignment horizontal="center" vertical="center" wrapText="1" readingOrder="1"/>
    </xf>
    <xf numFmtId="0" fontId="25" fillId="0" borderId="4" xfId="0" applyFont="1" applyBorder="1" applyAlignment="1">
      <alignment horizontal="left" vertical="center" wrapText="1" readingOrder="1"/>
    </xf>
    <xf numFmtId="0" fontId="27" fillId="2" borderId="0" xfId="0" applyFont="1" applyFill="1" applyAlignment="1">
      <alignment horizontal="left" vertical="center" indent="2"/>
    </xf>
    <xf numFmtId="0" fontId="27" fillId="2" borderId="0" xfId="0" applyFont="1" applyFill="1" applyAlignment="1">
      <alignment horizontal="center"/>
    </xf>
    <xf numFmtId="0" fontId="27" fillId="2" borderId="3" xfId="0" applyFont="1" applyFill="1" applyBorder="1" applyAlignment="1">
      <alignment horizontal="center" vertical="center"/>
    </xf>
    <xf numFmtId="168" fontId="27" fillId="2" borderId="3" xfId="0" applyNumberFormat="1" applyFont="1" applyFill="1" applyBorder="1" applyAlignment="1">
      <alignment horizontal="center" vertical="center"/>
    </xf>
    <xf numFmtId="0" fontId="28" fillId="2" borderId="0" xfId="0" applyFont="1" applyFill="1" applyAlignment="1">
      <alignment horizontal="left"/>
    </xf>
    <xf numFmtId="168" fontId="24" fillId="0" borderId="0" xfId="0" applyNumberFormat="1" applyFont="1"/>
    <xf numFmtId="0" fontId="24" fillId="2" borderId="0" xfId="0" applyFont="1" applyFill="1"/>
    <xf numFmtId="168" fontId="28" fillId="21" borderId="0" xfId="0" applyNumberFormat="1" applyFont="1" applyFill="1"/>
    <xf numFmtId="0" fontId="28" fillId="0" borderId="0" xfId="0" applyFont="1" applyAlignment="1">
      <alignment horizontal="left"/>
    </xf>
    <xf numFmtId="0" fontId="24" fillId="0" borderId="0" xfId="0" applyFont="1" applyAlignment="1">
      <alignment vertical="center"/>
    </xf>
    <xf numFmtId="0" fontId="30" fillId="14" borderId="0" xfId="0" applyFont="1" applyFill="1" applyBorder="1" applyAlignment="1">
      <alignment horizontal="left" vertical="center" indent="1"/>
    </xf>
    <xf numFmtId="0" fontId="30" fillId="15" borderId="0" xfId="0" applyFont="1" applyFill="1" applyAlignment="1">
      <alignment horizontal="left" vertical="center" indent="1"/>
    </xf>
    <xf numFmtId="0" fontId="30" fillId="4" borderId="0" xfId="0" applyFont="1" applyFill="1" applyAlignment="1">
      <alignment horizontal="left" vertical="center" indent="1"/>
    </xf>
    <xf numFmtId="0" fontId="29" fillId="6" borderId="0" xfId="0" applyFont="1" applyFill="1" applyAlignment="1">
      <alignment horizontal="left" vertical="center" indent="1"/>
    </xf>
    <xf numFmtId="17" fontId="31" fillId="8" borderId="0" xfId="0" applyNumberFormat="1" applyFont="1" applyFill="1" applyAlignment="1">
      <alignment horizontal="center" vertical="center"/>
    </xf>
    <xf numFmtId="0" fontId="31" fillId="8" borderId="0" xfId="0" applyFont="1" applyFill="1" applyAlignment="1">
      <alignment horizontal="center" vertical="center"/>
    </xf>
    <xf numFmtId="0" fontId="31" fillId="9" borderId="0" xfId="0" applyFont="1" applyFill="1" applyAlignment="1">
      <alignment horizontal="center" vertical="center"/>
    </xf>
    <xf numFmtId="0" fontId="31" fillId="0" borderId="0" xfId="0" applyFont="1" applyAlignment="1">
      <alignment vertical="center"/>
    </xf>
    <xf numFmtId="0" fontId="31" fillId="9" borderId="0" xfId="0" applyFont="1" applyFill="1" applyAlignment="1">
      <alignment horizontal="center" vertical="center" wrapText="1"/>
    </xf>
    <xf numFmtId="0" fontId="24" fillId="0" borderId="0" xfId="0" applyFont="1"/>
    <xf numFmtId="0" fontId="24" fillId="3" borderId="0" xfId="0" applyFont="1" applyFill="1" applyAlignment="1">
      <alignment horizontal="left" vertical="center" wrapText="1" indent="1"/>
    </xf>
    <xf numFmtId="168" fontId="24" fillId="2" borderId="1" xfId="1" applyNumberFormat="1" applyFont="1" applyFill="1" applyBorder="1" applyAlignment="1">
      <alignment vertical="center"/>
    </xf>
    <xf numFmtId="167" fontId="24" fillId="2" borderId="1" xfId="1" applyNumberFormat="1" applyFont="1" applyFill="1" applyBorder="1" applyAlignment="1">
      <alignment vertical="center"/>
    </xf>
    <xf numFmtId="169" fontId="24" fillId="3" borderId="0" xfId="0" applyNumberFormat="1" applyFont="1" applyFill="1" applyAlignment="1">
      <alignment vertical="center"/>
    </xf>
    <xf numFmtId="10" fontId="24" fillId="3" borderId="0" xfId="42" applyNumberFormat="1" applyFont="1" applyFill="1" applyAlignment="1">
      <alignment horizontal="center" vertical="center"/>
    </xf>
    <xf numFmtId="164" fontId="24" fillId="3" borderId="0" xfId="0" applyNumberFormat="1" applyFont="1" applyFill="1" applyAlignment="1">
      <alignment vertical="center"/>
    </xf>
    <xf numFmtId="165" fontId="24" fillId="3" borderId="0" xfId="0" applyNumberFormat="1" applyFont="1" applyFill="1" applyAlignment="1">
      <alignment vertical="center"/>
    </xf>
    <xf numFmtId="0" fontId="24" fillId="3" borderId="0" xfId="0" applyFont="1" applyFill="1" applyAlignment="1">
      <alignment horizontal="left" vertical="center" indent="1"/>
    </xf>
    <xf numFmtId="0" fontId="24" fillId="3" borderId="0" xfId="0" applyFont="1" applyFill="1" applyAlignment="1">
      <alignment vertical="center"/>
    </xf>
    <xf numFmtId="0" fontId="28" fillId="10" borderId="0" xfId="0" applyFont="1" applyFill="1" applyAlignment="1">
      <alignment horizontal="left" vertical="center" indent="1"/>
    </xf>
    <xf numFmtId="164" fontId="28" fillId="10" borderId="0" xfId="1" applyNumberFormat="1" applyFont="1" applyFill="1" applyAlignment="1">
      <alignment vertical="center"/>
    </xf>
    <xf numFmtId="164" fontId="28" fillId="10" borderId="0" xfId="0" applyNumberFormat="1" applyFont="1" applyFill="1" applyAlignment="1">
      <alignment vertical="center"/>
    </xf>
    <xf numFmtId="0" fontId="24" fillId="16" borderId="0" xfId="0" applyFont="1" applyFill="1" applyAlignment="1">
      <alignment horizontal="left" vertical="center" indent="1"/>
    </xf>
    <xf numFmtId="164" fontId="24" fillId="2" borderId="1" xfId="0" applyNumberFormat="1" applyFont="1" applyFill="1" applyBorder="1" applyAlignment="1">
      <alignment vertical="center"/>
    </xf>
    <xf numFmtId="164" fontId="24" fillId="16" borderId="0" xfId="0" applyNumberFormat="1" applyFont="1" applyFill="1" applyAlignment="1">
      <alignment vertical="center"/>
    </xf>
    <xf numFmtId="165" fontId="24" fillId="16" borderId="0" xfId="0" applyNumberFormat="1" applyFont="1" applyFill="1" applyAlignment="1">
      <alignment vertical="center"/>
    </xf>
    <xf numFmtId="0" fontId="24" fillId="16" borderId="0" xfId="0" applyFont="1" applyFill="1" applyAlignment="1">
      <alignment vertical="center"/>
    </xf>
    <xf numFmtId="0" fontId="28" fillId="17" borderId="0" xfId="0" applyFont="1" applyFill="1" applyAlignment="1">
      <alignment horizontal="left" vertical="center" indent="1"/>
    </xf>
    <xf numFmtId="164" fontId="28" fillId="17" borderId="0" xfId="1" applyNumberFormat="1" applyFont="1" applyFill="1" applyAlignment="1">
      <alignment vertical="center"/>
    </xf>
    <xf numFmtId="164" fontId="28" fillId="17" borderId="0" xfId="0" applyNumberFormat="1" applyFont="1" applyFill="1" applyAlignment="1">
      <alignment vertical="center"/>
    </xf>
    <xf numFmtId="0" fontId="28" fillId="6" borderId="0" xfId="0" applyFont="1" applyFill="1" applyAlignment="1">
      <alignment horizontal="left" vertical="center" indent="1"/>
    </xf>
    <xf numFmtId="0" fontId="24" fillId="6" borderId="0" xfId="0" applyFont="1" applyFill="1" applyAlignment="1">
      <alignment vertical="center"/>
    </xf>
    <xf numFmtId="0" fontId="24" fillId="6" borderId="0" xfId="0" applyFont="1" applyFill="1" applyAlignment="1">
      <alignment horizontal="left" vertical="center" wrapText="1" indent="1"/>
    </xf>
    <xf numFmtId="164" fontId="24" fillId="6" borderId="0" xfId="0" applyNumberFormat="1" applyFont="1" applyFill="1" applyAlignment="1">
      <alignment vertical="center"/>
    </xf>
    <xf numFmtId="10" fontId="24" fillId="6" borderId="0" xfId="42" applyNumberFormat="1" applyFont="1" applyFill="1" applyAlignment="1">
      <alignment horizontal="center" vertical="center"/>
    </xf>
    <xf numFmtId="164" fontId="24" fillId="2" borderId="1" xfId="1" applyNumberFormat="1" applyFont="1" applyFill="1" applyBorder="1" applyAlignment="1">
      <alignment vertical="center"/>
    </xf>
    <xf numFmtId="0" fontId="24" fillId="6" borderId="0" xfId="0" applyFont="1" applyFill="1" applyAlignment="1">
      <alignment horizontal="left" vertical="center" indent="1"/>
    </xf>
    <xf numFmtId="164" fontId="24" fillId="12" borderId="0" xfId="0" applyNumberFormat="1" applyFont="1" applyFill="1" applyAlignment="1">
      <alignment vertical="center"/>
    </xf>
    <xf numFmtId="164" fontId="24" fillId="5" borderId="0" xfId="0" applyNumberFormat="1" applyFont="1" applyFill="1" applyAlignment="1">
      <alignment vertical="center"/>
    </xf>
    <xf numFmtId="0" fontId="24" fillId="0" borderId="0" xfId="0" applyFont="1" applyBorder="1"/>
    <xf numFmtId="0" fontId="28" fillId="7" borderId="0" xfId="0" applyFont="1" applyFill="1" applyBorder="1" applyAlignment="1">
      <alignment horizontal="left" vertical="center" indent="1"/>
    </xf>
    <xf numFmtId="168" fontId="28" fillId="7" borderId="0" xfId="1" applyNumberFormat="1" applyFont="1" applyFill="1" applyBorder="1" applyAlignment="1">
      <alignment vertical="center"/>
    </xf>
    <xf numFmtId="168" fontId="24" fillId="0" borderId="0" xfId="0" applyNumberFormat="1" applyFont="1" applyBorder="1" applyAlignment="1">
      <alignment vertical="center"/>
    </xf>
    <xf numFmtId="14" fontId="26" fillId="2" borderId="0" xfId="0" applyNumberFormat="1" applyFont="1" applyFill="1" applyBorder="1" applyAlignment="1">
      <alignment horizontal="center" vertical="center"/>
    </xf>
    <xf numFmtId="0" fontId="26" fillId="2" borderId="0" xfId="0" applyFont="1" applyFill="1" applyBorder="1" applyAlignment="1">
      <alignment horizontal="center"/>
    </xf>
    <xf numFmtId="0" fontId="26" fillId="2" borderId="0" xfId="0" applyFont="1" applyFill="1" applyBorder="1" applyAlignment="1">
      <alignment horizontal="left" vertical="center"/>
    </xf>
    <xf numFmtId="10" fontId="26" fillId="2" borderId="0" xfId="0" applyNumberFormat="1" applyFont="1" applyFill="1" applyBorder="1" applyAlignment="1">
      <alignment horizontal="center"/>
    </xf>
    <xf numFmtId="168" fontId="26" fillId="2" borderId="0" xfId="1" applyNumberFormat="1" applyFont="1" applyFill="1" applyBorder="1" applyAlignment="1">
      <alignment horizontal="center" vertical="center"/>
    </xf>
    <xf numFmtId="0" fontId="27" fillId="2" borderId="0" xfId="0" applyFont="1" applyFill="1" applyAlignment="1">
      <alignment horizontal="left" vertical="center" indent="2"/>
    </xf>
    <xf numFmtId="0" fontId="32" fillId="22" borderId="4" xfId="0" applyFont="1" applyFill="1" applyBorder="1" applyAlignment="1">
      <alignment horizontal="left" vertical="center" wrapText="1"/>
    </xf>
    <xf numFmtId="3" fontId="32" fillId="22" borderId="4" xfId="0" applyNumberFormat="1" applyFont="1" applyFill="1" applyBorder="1" applyAlignment="1">
      <alignment horizontal="center" vertical="center" wrapText="1" readingOrder="1"/>
    </xf>
    <xf numFmtId="164" fontId="27" fillId="2" borderId="0" xfId="0" applyNumberFormat="1" applyFont="1" applyFill="1" applyAlignment="1">
      <alignment horizontal="center" vertical="center"/>
    </xf>
    <xf numFmtId="9" fontId="27" fillId="2" borderId="0" xfId="42" applyNumberFormat="1" applyFont="1" applyFill="1" applyAlignment="1">
      <alignment horizontal="right" vertical="center"/>
    </xf>
    <xf numFmtId="9" fontId="27" fillId="2" borderId="0" xfId="42" applyFont="1" applyFill="1" applyAlignment="1">
      <alignment horizontal="right" vertical="center"/>
    </xf>
    <xf numFmtId="168" fontId="27" fillId="2" borderId="0" xfId="0" applyNumberFormat="1" applyFont="1" applyFill="1" applyAlignment="1">
      <alignment horizontal="center" vertical="center"/>
    </xf>
    <xf numFmtId="0" fontId="20" fillId="2" borderId="2" xfId="0" applyFont="1" applyFill="1" applyBorder="1" applyAlignment="1">
      <alignment horizontal="center" vertical="center"/>
    </xf>
    <xf numFmtId="0" fontId="27" fillId="2" borderId="3" xfId="0" applyFont="1" applyFill="1" applyBorder="1" applyAlignment="1">
      <alignment horizontal="left" vertical="center" indent="2"/>
    </xf>
    <xf numFmtId="164" fontId="27" fillId="2" borderId="3" xfId="0" applyNumberFormat="1" applyFont="1" applyFill="1" applyBorder="1" applyAlignment="1">
      <alignment horizontal="center" vertical="center"/>
    </xf>
    <xf numFmtId="0" fontId="27" fillId="2" borderId="0" xfId="0" applyFont="1" applyFill="1" applyAlignment="1">
      <alignment horizontal="left" vertical="center" indent="2"/>
    </xf>
    <xf numFmtId="9" fontId="26" fillId="2" borderId="0" xfId="42" applyNumberFormat="1" applyFont="1" applyFill="1" applyBorder="1" applyAlignment="1">
      <alignment horizontal="center" vertical="center"/>
    </xf>
    <xf numFmtId="0" fontId="20" fillId="2" borderId="0" xfId="0" applyFont="1" applyFill="1" applyBorder="1" applyAlignment="1">
      <alignment horizontal="center" vertical="center"/>
    </xf>
    <xf numFmtId="168" fontId="26" fillId="2" borderId="0" xfId="0" applyNumberFormat="1" applyFont="1" applyFill="1" applyBorder="1" applyAlignment="1">
      <alignment horizontal="center" vertical="center"/>
    </xf>
    <xf numFmtId="164" fontId="26" fillId="2" borderId="0" xfId="0" applyNumberFormat="1" applyFont="1" applyFill="1" applyBorder="1" applyAlignment="1">
      <alignment horizontal="center" vertical="center"/>
    </xf>
    <xf numFmtId="9" fontId="26" fillId="2" borderId="0" xfId="42" applyFont="1" applyFill="1" applyBorder="1" applyAlignment="1">
      <alignment horizontal="center" vertical="center"/>
    </xf>
    <xf numFmtId="0" fontId="14" fillId="8" borderId="0" xfId="0" applyFont="1" applyFill="1" applyAlignment="1">
      <alignment horizontal="right" vertical="center" wrapText="1" indent="2"/>
    </xf>
    <xf numFmtId="164" fontId="16" fillId="20" borderId="0" xfId="0" applyNumberFormat="1" applyFont="1" applyFill="1" applyAlignment="1">
      <alignment horizontal="center" vertical="center"/>
    </xf>
    <xf numFmtId="0" fontId="15" fillId="0" borderId="0" xfId="0" applyFont="1" applyAlignment="1">
      <alignment horizontal="center" vertical="center"/>
    </xf>
    <xf numFmtId="0" fontId="12" fillId="2" borderId="2" xfId="0" applyFont="1" applyFill="1" applyBorder="1" applyAlignment="1">
      <alignment horizontal="center" vertical="center"/>
    </xf>
    <xf numFmtId="0" fontId="13" fillId="13" borderId="0" xfId="0" applyFont="1" applyFill="1" applyAlignment="1">
      <alignment horizontal="right" vertical="center" indent="2"/>
    </xf>
    <xf numFmtId="164" fontId="6" fillId="2" borderId="0" xfId="0" applyNumberFormat="1" applyFont="1" applyFill="1" applyBorder="1" applyAlignment="1">
      <alignment horizontal="center" vertical="center"/>
    </xf>
    <xf numFmtId="0" fontId="13" fillId="18" borderId="0" xfId="0" applyFont="1" applyFill="1" applyAlignment="1">
      <alignment horizontal="right" vertical="center" indent="2"/>
    </xf>
    <xf numFmtId="164" fontId="6" fillId="2" borderId="0" xfId="0" applyNumberFormat="1" applyFont="1" applyFill="1" applyAlignment="1">
      <alignment horizontal="center" vertical="center"/>
    </xf>
    <xf numFmtId="0" fontId="13" fillId="19" borderId="0" xfId="0" applyFont="1" applyFill="1" applyAlignment="1">
      <alignment horizontal="right" vertical="center" indent="2"/>
    </xf>
    <xf numFmtId="0" fontId="0" fillId="0" borderId="0" xfId="0" applyAlignment="1">
      <alignment horizontal="center"/>
    </xf>
    <xf numFmtId="170" fontId="0" fillId="0" borderId="0" xfId="45" applyNumberFormat="1" applyFont="1" applyAlignment="1">
      <alignment horizontal="center"/>
    </xf>
    <xf numFmtId="0" fontId="0" fillId="0" borderId="0" xfId="0" applyAlignment="1">
      <alignment horizontal="left"/>
    </xf>
    <xf numFmtId="0" fontId="33" fillId="0" borderId="0" xfId="0" applyFont="1" applyAlignment="1">
      <alignment horizontal="center"/>
    </xf>
    <xf numFmtId="170" fontId="33" fillId="0" borderId="0" xfId="45" applyNumberFormat="1" applyFont="1" applyAlignment="1">
      <alignment horizontal="center"/>
    </xf>
    <xf numFmtId="170" fontId="0" fillId="0" borderId="0" xfId="0" applyNumberFormat="1" applyAlignment="1">
      <alignment horizontal="center"/>
    </xf>
    <xf numFmtId="9" fontId="0" fillId="0" borderId="0" xfId="42" applyFont="1" applyAlignment="1">
      <alignment horizontal="center"/>
    </xf>
    <xf numFmtId="1" fontId="0" fillId="0" borderId="0" xfId="0" applyNumberFormat="1" applyAlignment="1">
      <alignment horizontal="center"/>
    </xf>
    <xf numFmtId="0" fontId="34" fillId="0" borderId="0" xfId="0" applyFont="1"/>
    <xf numFmtId="0" fontId="35" fillId="0" borderId="0" xfId="0" applyFont="1"/>
    <xf numFmtId="170" fontId="0" fillId="0" borderId="0" xfId="42" applyNumberFormat="1" applyFont="1" applyAlignment="1">
      <alignment horizontal="center"/>
    </xf>
  </cellXfs>
  <cellStyles count="46">
    <cellStyle name="Comma" xfId="45" builtinId="3"/>
    <cellStyle name="Comma 2" xfId="43" xr:uid="{00000000-0005-0000-0000-000001000000}"/>
    <cellStyle name="Currency" xfId="1" builtinId="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40"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9" builtinId="8" hidden="1"/>
    <cellStyle name="Normal" xfId="0" builtinId="0"/>
    <cellStyle name="Normal 2" xfId="41" xr:uid="{00000000-0005-0000-0000-00002B000000}"/>
    <cellStyle name="Percent" xfId="42" builtinId="5"/>
    <cellStyle name="Percent 2" xfId="44" xr:uid="{00000000-0005-0000-0000-00002D000000}"/>
  </cellStyles>
  <dxfs count="0"/>
  <tableStyles count="0" defaultTableStyle="TableStyleMedium9" defaultPivotStyle="PivotStyleMedium4"/>
  <colors>
    <mruColors>
      <color rgb="FF00BD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Beneficiary Distribution by Category: 2022 vs. 2023</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'Sheet2 (2)'!$B$2</c:f>
              <c:strCache>
                <c:ptCount val="1"/>
                <c:pt idx="0">
                  <c:v>Benef. 2023</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 (2)'!$A$3:$A$9</c:f>
              <c:strCache>
                <c:ptCount val="7"/>
                <c:pt idx="0">
                  <c:v>Wedding Gift</c:v>
                </c:pt>
                <c:pt idx="1">
                  <c:v>Scholarship</c:v>
                </c:pt>
                <c:pt idx="2">
                  <c:v>Financial Assistance</c:v>
                </c:pt>
                <c:pt idx="3">
                  <c:v>Funeral Charges</c:v>
                </c:pt>
                <c:pt idx="4">
                  <c:v>Farewell Grant (Last B.P)</c:v>
                </c:pt>
                <c:pt idx="5">
                  <c:v>Shuhada Children Scholarship Loan A/C</c:v>
                </c:pt>
                <c:pt idx="6">
                  <c:v>Maintenance Allowance</c:v>
                </c:pt>
              </c:strCache>
            </c:strRef>
          </c:cat>
          <c:val>
            <c:numRef>
              <c:f>'Sheet2 (2)'!$B$3:$B$9</c:f>
              <c:numCache>
                <c:formatCode>General</c:formatCode>
                <c:ptCount val="7"/>
                <c:pt idx="0">
                  <c:v>2862</c:v>
                </c:pt>
                <c:pt idx="1">
                  <c:v>10559</c:v>
                </c:pt>
                <c:pt idx="2">
                  <c:v>514</c:v>
                </c:pt>
                <c:pt idx="3">
                  <c:v>318</c:v>
                </c:pt>
                <c:pt idx="4">
                  <c:v>1611</c:v>
                </c:pt>
                <c:pt idx="5">
                  <c:v>259</c:v>
                </c:pt>
                <c:pt idx="6">
                  <c:v>5730</c:v>
                </c:pt>
              </c:numCache>
            </c:numRef>
          </c:val>
          <c:extLst>
            <c:ext xmlns:c16="http://schemas.microsoft.com/office/drawing/2014/chart" uri="{C3380CC4-5D6E-409C-BE32-E72D297353CC}">
              <c16:uniqueId val="{00000000-939A-4F55-BEF2-5655544E29C2}"/>
            </c:ext>
          </c:extLst>
        </c:ser>
        <c:ser>
          <c:idx val="1"/>
          <c:order val="1"/>
          <c:tx>
            <c:strRef>
              <c:f>'Sheet2 (2)'!$C$2</c:f>
              <c:strCache>
                <c:ptCount val="1"/>
                <c:pt idx="0">
                  <c:v>Benef. 2022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 (2)'!$A$3:$A$9</c:f>
              <c:strCache>
                <c:ptCount val="7"/>
                <c:pt idx="0">
                  <c:v>Wedding Gift</c:v>
                </c:pt>
                <c:pt idx="1">
                  <c:v>Scholarship</c:v>
                </c:pt>
                <c:pt idx="2">
                  <c:v>Financial Assistance</c:v>
                </c:pt>
                <c:pt idx="3">
                  <c:v>Funeral Charges</c:v>
                </c:pt>
                <c:pt idx="4">
                  <c:v>Farewell Grant (Last B.P)</c:v>
                </c:pt>
                <c:pt idx="5">
                  <c:v>Shuhada Children Scholarship Loan A/C</c:v>
                </c:pt>
                <c:pt idx="6">
                  <c:v>Maintenance Allowance</c:v>
                </c:pt>
              </c:strCache>
            </c:strRef>
          </c:cat>
          <c:val>
            <c:numRef>
              <c:f>'Sheet2 (2)'!$C$3:$C$9</c:f>
              <c:numCache>
                <c:formatCode>General</c:formatCode>
                <c:ptCount val="7"/>
                <c:pt idx="0">
                  <c:v>4129</c:v>
                </c:pt>
                <c:pt idx="1">
                  <c:v>6136</c:v>
                </c:pt>
                <c:pt idx="2">
                  <c:v>240</c:v>
                </c:pt>
                <c:pt idx="3">
                  <c:v>603</c:v>
                </c:pt>
                <c:pt idx="4">
                  <c:v>2118</c:v>
                </c:pt>
                <c:pt idx="5">
                  <c:v>496</c:v>
                </c:pt>
                <c:pt idx="6">
                  <c:v>5021</c:v>
                </c:pt>
              </c:numCache>
            </c:numRef>
          </c:val>
          <c:extLst>
            <c:ext xmlns:c16="http://schemas.microsoft.com/office/drawing/2014/chart" uri="{C3380CC4-5D6E-409C-BE32-E72D297353CC}">
              <c16:uniqueId val="{00000001-939A-4F55-BEF2-5655544E29C2}"/>
            </c:ext>
          </c:extLst>
        </c:ser>
        <c:dLbls>
          <c:showLegendKey val="0"/>
          <c:showVal val="1"/>
          <c:showCatName val="0"/>
          <c:showSerName val="0"/>
          <c:showPercent val="0"/>
          <c:showBubbleSize val="0"/>
        </c:dLbls>
        <c:gapWidth val="150"/>
        <c:overlap val="-25"/>
        <c:axId val="513995760"/>
        <c:axId val="513995432"/>
      </c:barChart>
      <c:catAx>
        <c:axId val="513995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995432"/>
        <c:crosses val="autoZero"/>
        <c:auto val="1"/>
        <c:lblAlgn val="ctr"/>
        <c:lblOffset val="100"/>
        <c:noMultiLvlLbl val="0"/>
      </c:catAx>
      <c:valAx>
        <c:axId val="513995432"/>
        <c:scaling>
          <c:orientation val="minMax"/>
        </c:scaling>
        <c:delete val="1"/>
        <c:axPos val="b"/>
        <c:numFmt formatCode="General" sourceLinked="1"/>
        <c:majorTickMark val="none"/>
        <c:minorTickMark val="none"/>
        <c:tickLblPos val="nextTo"/>
        <c:crossAx val="5139957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1"/>
                </a:solidFill>
                <a:latin typeface="Tahoma" panose="020B0604030504040204" pitchFamily="34" charset="0"/>
                <a:ea typeface="Tahoma" panose="020B0604030504040204" pitchFamily="34" charset="0"/>
                <a:cs typeface="Tahoma" panose="020B0604030504040204" pitchFamily="34" charset="0"/>
              </a:rPr>
              <a:t>Closing Balance ended June 30,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'Cash Flow (2)'!$V$181:$V$199</c:f>
              <c:strCache>
                <c:ptCount val="19"/>
                <c:pt idx="0">
                  <c:v>Askari Bank Main</c:v>
                </c:pt>
                <c:pt idx="1">
                  <c:v>Askari Bank Wedding Gift</c:v>
                </c:pt>
                <c:pt idx="2">
                  <c:v>Askari Bank Funeral Charges</c:v>
                </c:pt>
                <c:pt idx="3">
                  <c:v>Askari Bank Last Basic Pay</c:v>
                </c:pt>
                <c:pt idx="4">
                  <c:v>Askari Bank -Loan/Compensation</c:v>
                </c:pt>
                <c:pt idx="5">
                  <c:v>Askari Bank -MA</c:v>
                </c:pt>
                <c:pt idx="6">
                  <c:v>Askari Bank -Medical/ financial/Legal Assistance</c:v>
                </c:pt>
                <c:pt idx="7">
                  <c:v>Askari Bank-Education Scholarship</c:v>
                </c:pt>
                <c:pt idx="8">
                  <c:v>Askari Bank  -DIG Welfare</c:v>
                </c:pt>
                <c:pt idx="9">
                  <c:v>Police Welfare Project -Officers Mess (Marquee)</c:v>
                </c:pt>
                <c:pt idx="10">
                  <c:v>Al- Falah Current</c:v>
                </c:pt>
                <c:pt idx="11">
                  <c:v>Al- Falah Saving</c:v>
                </c:pt>
                <c:pt idx="12">
                  <c:v>BOP (CPO Canteen)</c:v>
                </c:pt>
                <c:pt idx="13">
                  <c:v>NBP 20% Project Income</c:v>
                </c:pt>
                <c:pt idx="14">
                  <c:v>NBP Police Club ( Officer Mess Q Lines &amp; Chung)</c:v>
                </c:pt>
                <c:pt idx="15">
                  <c:v>HBL POLWEL Petrol Pump </c:v>
                </c:pt>
                <c:pt idx="16">
                  <c:v>Askari Bank Endowment (Legal Financial Assistance)</c:v>
                </c:pt>
                <c:pt idx="17">
                  <c:v>Askari Bank Endowment (Shuhada House)</c:v>
                </c:pt>
                <c:pt idx="18">
                  <c:v>Al- Falah (Endowment)</c:v>
                </c:pt>
              </c:strCache>
            </c:strRef>
          </c:cat>
          <c:val>
            <c:numRef>
              <c:f>'Cash Flow (2)'!$W$181:$W$199</c:f>
              <c:numCache>
                <c:formatCode>#,##0</c:formatCode>
                <c:ptCount val="19"/>
                <c:pt idx="0">
                  <c:v>242578326.91999999</c:v>
                </c:pt>
                <c:pt idx="1">
                  <c:v>59866615.890000001</c:v>
                </c:pt>
                <c:pt idx="2">
                  <c:v>5940735.4400000004</c:v>
                </c:pt>
                <c:pt idx="3">
                  <c:v>46560252.100000001</c:v>
                </c:pt>
                <c:pt idx="4">
                  <c:v>416007.41</c:v>
                </c:pt>
                <c:pt idx="5">
                  <c:v>45755283.740000002</c:v>
                </c:pt>
                <c:pt idx="6">
                  <c:v>22472154.600000001</c:v>
                </c:pt>
                <c:pt idx="7">
                  <c:v>224008987.41999999</c:v>
                </c:pt>
                <c:pt idx="8">
                  <c:v>175786188.00999999</c:v>
                </c:pt>
                <c:pt idx="9">
                  <c:v>1616963.61</c:v>
                </c:pt>
                <c:pt idx="10">
                  <c:v>58032</c:v>
                </c:pt>
                <c:pt idx="11">
                  <c:v>53528</c:v>
                </c:pt>
                <c:pt idx="12">
                  <c:v>269534.48</c:v>
                </c:pt>
                <c:pt idx="13">
                  <c:v>90882954.159999996</c:v>
                </c:pt>
                <c:pt idx="14">
                  <c:v>5548706</c:v>
                </c:pt>
                <c:pt idx="15">
                  <c:v>56394312</c:v>
                </c:pt>
                <c:pt idx="16">
                  <c:v>45837100</c:v>
                </c:pt>
                <c:pt idx="17">
                  <c:v>220000100</c:v>
                </c:pt>
                <c:pt idx="18">
                  <c:v>807694664</c:v>
                </c:pt>
              </c:numCache>
            </c:numRef>
          </c:val>
          <c:extLst>
            <c:ext xmlns:c16="http://schemas.microsoft.com/office/drawing/2014/chart" uri="{C3380CC4-5D6E-409C-BE32-E72D297353CC}">
              <c16:uniqueId val="{00000000-4AB3-4580-BCE5-2F2589BFFC42}"/>
            </c:ext>
          </c:extLst>
        </c:ser>
        <c:dLbls>
          <c:showLegendKey val="0"/>
          <c:showVal val="1"/>
          <c:showCatName val="0"/>
          <c:showSerName val="0"/>
          <c:showPercent val="0"/>
          <c:showBubbleSize val="0"/>
        </c:dLbls>
        <c:gapWidth val="150"/>
        <c:overlap val="-25"/>
        <c:axId val="1117409744"/>
        <c:axId val="1117410288"/>
      </c:barChart>
      <c:catAx>
        <c:axId val="1117409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Tahoma" panose="020B0604030504040204" pitchFamily="34" charset="0"/>
                <a:ea typeface="Tahoma" panose="020B0604030504040204" pitchFamily="34" charset="0"/>
                <a:cs typeface="Tahoma" panose="020B0604030504040204" pitchFamily="34" charset="0"/>
              </a:defRPr>
            </a:pPr>
            <a:endParaRPr lang="en-US"/>
          </a:p>
        </c:txPr>
        <c:crossAx val="1117410288"/>
        <c:crosses val="autoZero"/>
        <c:auto val="1"/>
        <c:lblAlgn val="ctr"/>
        <c:lblOffset val="100"/>
        <c:noMultiLvlLbl val="0"/>
      </c:catAx>
      <c:valAx>
        <c:axId val="1117410288"/>
        <c:scaling>
          <c:orientation val="minMax"/>
        </c:scaling>
        <c:delete val="1"/>
        <c:axPos val="b"/>
        <c:numFmt formatCode="#,##0" sourceLinked="1"/>
        <c:majorTickMark val="none"/>
        <c:minorTickMark val="none"/>
        <c:tickLblPos val="nextTo"/>
        <c:crossAx val="1117409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Beneficiary Distribution by Category: 2022 vs. 2023</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Sheet2!$B$2</c:f>
              <c:strCache>
                <c:ptCount val="1"/>
                <c:pt idx="0">
                  <c:v>Benef. 2023</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Sheet2!$A$3:$A$4</c:f>
              <c:strCache>
                <c:ptCount val="1"/>
                <c:pt idx="0">
                  <c:v>Scholarship (Projected 2023)</c:v>
                </c:pt>
              </c:strCache>
            </c:strRef>
          </c:cat>
          <c:val>
            <c:numRef>
              <c:f>Sheet2!$B$3:$B$4</c:f>
              <c:numCache>
                <c:formatCode>0</c:formatCode>
                <c:ptCount val="2"/>
                <c:pt idx="0">
                  <c:v>18101.142857142855</c:v>
                </c:pt>
              </c:numCache>
            </c:numRef>
          </c:val>
          <c:extLst>
            <c:ext xmlns:c16="http://schemas.microsoft.com/office/drawing/2014/chart" uri="{C3380CC4-5D6E-409C-BE32-E72D297353CC}">
              <c16:uniqueId val="{00000000-151A-4972-B109-13DFF1598275}"/>
            </c:ext>
          </c:extLst>
        </c:ser>
        <c:ser>
          <c:idx val="1"/>
          <c:order val="1"/>
          <c:tx>
            <c:strRef>
              <c:f>Sheet2!$C$2</c:f>
              <c:strCache>
                <c:ptCount val="1"/>
                <c:pt idx="0">
                  <c:v>Benef. 2022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Sheet2!$A$3:$A$4</c:f>
              <c:strCache>
                <c:ptCount val="1"/>
                <c:pt idx="0">
                  <c:v>Scholarship (Projected 2023)</c:v>
                </c:pt>
              </c:strCache>
            </c:strRef>
          </c:cat>
          <c:val>
            <c:numRef>
              <c:f>Sheet2!$C$3:$C$4</c:f>
              <c:numCache>
                <c:formatCode>General</c:formatCode>
                <c:ptCount val="2"/>
                <c:pt idx="0">
                  <c:v>6136</c:v>
                </c:pt>
              </c:numCache>
            </c:numRef>
          </c:val>
          <c:extLst>
            <c:ext xmlns:c16="http://schemas.microsoft.com/office/drawing/2014/chart" uri="{C3380CC4-5D6E-409C-BE32-E72D297353CC}">
              <c16:uniqueId val="{00000001-151A-4972-B109-13DFF1598275}"/>
            </c:ext>
          </c:extLst>
        </c:ser>
        <c:dLbls>
          <c:showLegendKey val="0"/>
          <c:showVal val="1"/>
          <c:showCatName val="0"/>
          <c:showSerName val="0"/>
          <c:showPercent val="0"/>
          <c:showBubbleSize val="0"/>
        </c:dLbls>
        <c:gapWidth val="150"/>
        <c:overlap val="-25"/>
        <c:axId val="513995760"/>
        <c:axId val="513995432"/>
      </c:barChart>
      <c:catAx>
        <c:axId val="513995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995432"/>
        <c:crosses val="autoZero"/>
        <c:auto val="1"/>
        <c:lblAlgn val="ctr"/>
        <c:lblOffset val="100"/>
        <c:noMultiLvlLbl val="0"/>
      </c:catAx>
      <c:valAx>
        <c:axId val="513995432"/>
        <c:scaling>
          <c:orientation val="minMax"/>
        </c:scaling>
        <c:delete val="1"/>
        <c:axPos val="b"/>
        <c:numFmt formatCode="0" sourceLinked="1"/>
        <c:majorTickMark val="none"/>
        <c:minorTickMark val="none"/>
        <c:tickLblPos val="nextTo"/>
        <c:crossAx val="5139957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Comparative Expenditures by Category: 2022 vs. 2023</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Sheet2!$D$2</c:f>
              <c:strCache>
                <c:ptCount val="1"/>
                <c:pt idx="0">
                  <c:v>Amount 2023</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Sheet2!$A$3:$A$4</c:f>
              <c:strCache>
                <c:ptCount val="1"/>
                <c:pt idx="0">
                  <c:v>Scholarship (Projected 2023)</c:v>
                </c:pt>
              </c:strCache>
            </c:strRef>
          </c:cat>
          <c:val>
            <c:numRef>
              <c:f>Sheet2!$D$3:$D$4</c:f>
              <c:numCache>
                <c:formatCode>_-* #,##0_-;\-* #,##0_-;_-* "-"??_-;_-@_-</c:formatCode>
                <c:ptCount val="2"/>
                <c:pt idx="0">
                  <c:v>969678598.28571427</c:v>
                </c:pt>
              </c:numCache>
            </c:numRef>
          </c:val>
          <c:extLst>
            <c:ext xmlns:c16="http://schemas.microsoft.com/office/drawing/2014/chart" uri="{C3380CC4-5D6E-409C-BE32-E72D297353CC}">
              <c16:uniqueId val="{00000000-151A-4972-B109-13DFF1598275}"/>
            </c:ext>
          </c:extLst>
        </c:ser>
        <c:ser>
          <c:idx val="1"/>
          <c:order val="1"/>
          <c:tx>
            <c:strRef>
              <c:f>Sheet2!$E$2</c:f>
              <c:strCache>
                <c:ptCount val="1"/>
                <c:pt idx="0">
                  <c:v>Amount 2022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Sheet2!$A$3:$A$4</c:f>
              <c:strCache>
                <c:ptCount val="1"/>
                <c:pt idx="0">
                  <c:v>Scholarship (Projected 2023)</c:v>
                </c:pt>
              </c:strCache>
            </c:strRef>
          </c:cat>
          <c:val>
            <c:numRef>
              <c:f>Sheet2!$E$3:$E$4</c:f>
              <c:numCache>
                <c:formatCode>_-* #,##0_-;\-* #,##0_-;_-* "-"??_-;_-@_-</c:formatCode>
                <c:ptCount val="2"/>
                <c:pt idx="0">
                  <c:v>176607468</c:v>
                </c:pt>
              </c:numCache>
            </c:numRef>
          </c:val>
          <c:extLst>
            <c:ext xmlns:c16="http://schemas.microsoft.com/office/drawing/2014/chart" uri="{C3380CC4-5D6E-409C-BE32-E72D297353CC}">
              <c16:uniqueId val="{00000001-151A-4972-B109-13DFF1598275}"/>
            </c:ext>
          </c:extLst>
        </c:ser>
        <c:dLbls>
          <c:showLegendKey val="0"/>
          <c:showVal val="1"/>
          <c:showCatName val="0"/>
          <c:showSerName val="0"/>
          <c:showPercent val="0"/>
          <c:showBubbleSize val="0"/>
        </c:dLbls>
        <c:gapWidth val="150"/>
        <c:overlap val="-25"/>
        <c:axId val="513995760"/>
        <c:axId val="513995432"/>
      </c:barChart>
      <c:catAx>
        <c:axId val="513995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995432"/>
        <c:crosses val="autoZero"/>
        <c:auto val="1"/>
        <c:lblAlgn val="ctr"/>
        <c:lblOffset val="100"/>
        <c:noMultiLvlLbl val="0"/>
      </c:catAx>
      <c:valAx>
        <c:axId val="513995432"/>
        <c:scaling>
          <c:orientation val="minMax"/>
        </c:scaling>
        <c:delete val="1"/>
        <c:axPos val="b"/>
        <c:numFmt formatCode="_-* #,##0_-;\-* #,##0_-;_-* &quot;-&quot;??_-;_-@_-" sourceLinked="1"/>
        <c:majorTickMark val="none"/>
        <c:minorTickMark val="none"/>
        <c:tickLblPos val="nextTo"/>
        <c:crossAx val="5139957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Sheet2!$I$3:$I$4</c:f>
              <c:strCache>
                <c:ptCount val="2"/>
                <c:pt idx="0">
                  <c:v>2023 (Projected)</c:v>
                </c:pt>
                <c:pt idx="1">
                  <c:v>2022</c:v>
                </c:pt>
              </c:strCache>
            </c:strRef>
          </c:cat>
          <c:val>
            <c:numRef>
              <c:f>Sheet2!$J$3:$J$4</c:f>
              <c:numCache>
                <c:formatCode>General</c:formatCode>
                <c:ptCount val="2"/>
                <c:pt idx="0" formatCode="0">
                  <c:v>37462</c:v>
                </c:pt>
                <c:pt idx="1">
                  <c:v>18743</c:v>
                </c:pt>
              </c:numCache>
            </c:numRef>
          </c:val>
          <c:extLst>
            <c:ext xmlns:c16="http://schemas.microsoft.com/office/drawing/2014/chart" uri="{C3380CC4-5D6E-409C-BE32-E72D297353CC}">
              <c16:uniqueId val="{00000000-B7E2-47DF-ABEB-853BF020CAA5}"/>
            </c:ext>
          </c:extLst>
        </c:ser>
        <c:dLbls>
          <c:dLblPos val="ctr"/>
          <c:showLegendKey val="0"/>
          <c:showVal val="1"/>
          <c:showCatName val="1"/>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119-4712-BB9F-6D3FFBE2FC4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119-4712-BB9F-6D3FFBE2FC41}"/>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Sheet2!$I$3:$I$4</c:f>
              <c:strCache>
                <c:ptCount val="2"/>
                <c:pt idx="0">
                  <c:v>2023 (Projected)</c:v>
                </c:pt>
                <c:pt idx="1">
                  <c:v>2022</c:v>
                </c:pt>
              </c:strCache>
            </c:strRef>
          </c:cat>
          <c:val>
            <c:numRef>
              <c:f>Sheet2!$K$3:$K$4</c:f>
              <c:numCache>
                <c:formatCode>_-* #,##0_-;\-* #,##0_-;_-* "-"??_-;_-@_-</c:formatCode>
                <c:ptCount val="2"/>
                <c:pt idx="0">
                  <c:v>2129459280</c:v>
                </c:pt>
                <c:pt idx="1">
                  <c:v>730546966</c:v>
                </c:pt>
              </c:numCache>
            </c:numRef>
          </c:val>
          <c:extLst>
            <c:ext xmlns:c16="http://schemas.microsoft.com/office/drawing/2014/chart" uri="{C3380CC4-5D6E-409C-BE32-E72D297353CC}">
              <c16:uniqueId val="{00000000-B7E2-47DF-ABEB-853BF020CAA5}"/>
            </c:ext>
          </c:extLst>
        </c:ser>
        <c:dLbls>
          <c:dLblPos val="ctr"/>
          <c:showLegendKey val="0"/>
          <c:showVal val="1"/>
          <c:showCatName val="1"/>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2200" b="1" i="0" baseline="0">
                <a:solidFill>
                  <a:schemeClr val="tx1"/>
                </a:solidFill>
                <a:effectLst/>
                <a:latin typeface="Tahoma" panose="020B0604030504040204" pitchFamily="34" charset="0"/>
                <a:ea typeface="Tahoma" panose="020B0604030504040204" pitchFamily="34" charset="0"/>
                <a:cs typeface="Tahoma" panose="020B0604030504040204" pitchFamily="34" charset="0"/>
              </a:rPr>
              <a:t>Beneficiary: 2022 vs. 2023</a:t>
            </a:r>
            <a:endParaRPr lang="en-US" sz="2200">
              <a:solidFill>
                <a:schemeClr val="tx1"/>
              </a:solidFill>
              <a:effectLst/>
              <a:latin typeface="Tahoma" panose="020B0604030504040204" pitchFamily="34" charset="0"/>
              <a:ea typeface="Tahoma" panose="020B0604030504040204" pitchFamily="34" charset="0"/>
              <a:cs typeface="Tahoma" panose="020B0604030504040204" pitchFamily="34" charset="0"/>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explosion val="9"/>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EBB-4647-AFA6-B5C2521FBA4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EBB-4647-AFA6-B5C2521FBA48}"/>
              </c:ext>
            </c:extLst>
          </c:dPt>
          <c:dLbls>
            <c:dLbl>
              <c:idx val="0"/>
              <c:layout>
                <c:manualLayout>
                  <c:x val="8.106134772308056E-2"/>
                  <c:y val="-1.0159534199528676E-2"/>
                </c:manualLayout>
              </c:layout>
              <c:tx>
                <c:rich>
                  <a:bodyPr rot="0" spcFirstLastPara="1" vertOverflow="ellipsis" vert="horz" wrap="square" lIns="38100" tIns="19050" rIns="38100" bIns="19050" anchor="ctr" anchorCtr="1">
                    <a:noAutofit/>
                  </a:bodyPr>
                  <a:lstStyle/>
                  <a:p>
                    <a:pPr>
                      <a:defRPr sz="1800" b="1" i="0" u="none" strike="noStrike" kern="1200" baseline="0">
                        <a:solidFill>
                          <a:schemeClr val="tx1"/>
                        </a:solidFill>
                        <a:latin typeface="Tahoma" panose="020B0604030504040204" pitchFamily="34" charset="0"/>
                        <a:ea typeface="Tahoma" panose="020B0604030504040204" pitchFamily="34" charset="0"/>
                        <a:cs typeface="Tahoma" panose="020B0604030504040204" pitchFamily="34" charset="0"/>
                      </a:defRPr>
                    </a:pPr>
                    <a:fld id="{FA948AA9-E2ED-4255-B632-94E07B660F27}" type="CATEGORYNAME">
                      <a:rPr lang="en-US" sz="2000"/>
                      <a:pPr>
                        <a:defRPr sz="1800">
                          <a:solidFill>
                            <a:schemeClr val="tx1"/>
                          </a:solidFill>
                          <a:latin typeface="Tahoma" panose="020B0604030504040204" pitchFamily="34" charset="0"/>
                          <a:ea typeface="Tahoma" panose="020B0604030504040204" pitchFamily="34" charset="0"/>
                          <a:cs typeface="Tahoma" panose="020B0604030504040204" pitchFamily="34" charset="0"/>
                        </a:defRPr>
                      </a:pPr>
                      <a:t>[CATEGORY NAME]</a:t>
                    </a:fld>
                    <a:r>
                      <a:rPr lang="en-US" baseline="0"/>
                      <a:t>,     </a:t>
                    </a:r>
                    <a:fld id="{BEF7B334-25FC-4181-AE7C-BFF54E4FECD9}" type="VALUE">
                      <a:rPr lang="en-US" baseline="0"/>
                      <a:pPr>
                        <a:defRPr sz="1800">
                          <a:solidFill>
                            <a:schemeClr val="tx1"/>
                          </a:solidFill>
                          <a:latin typeface="Tahoma" panose="020B0604030504040204" pitchFamily="34" charset="0"/>
                          <a:ea typeface="Tahoma" panose="020B0604030504040204" pitchFamily="34" charset="0"/>
                          <a:cs typeface="Tahoma" panose="020B0604030504040204" pitchFamily="34" charset="0"/>
                        </a:defRPr>
                      </a:pPr>
                      <a:t>[VALUE]</a:t>
                    </a:fld>
                    <a:r>
                      <a:rPr lang="en-US" baseline="0"/>
                      <a:t>,          </a:t>
                    </a:r>
                    <a:fld id="{1E0096FC-3FB6-4700-8A46-35396B9DF3B7}" type="PERCENTAGE">
                      <a:rPr lang="en-US" baseline="0"/>
                      <a:pPr>
                        <a:defRPr sz="1800">
                          <a:solidFill>
                            <a:schemeClr val="tx1"/>
                          </a:solidFill>
                          <a:latin typeface="Tahoma" panose="020B0604030504040204" pitchFamily="34" charset="0"/>
                          <a:ea typeface="Tahoma" panose="020B0604030504040204" pitchFamily="34" charset="0"/>
                          <a:cs typeface="Tahoma" panose="020B0604030504040204" pitchFamily="34" charset="0"/>
                        </a:defRPr>
                      </a:pPr>
                      <a:t>[PERCENTAGE]</a:t>
                    </a:fld>
                    <a:endParaRPr lang="en-US" baseline="0"/>
                  </a:p>
                </c:rich>
              </c:tx>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tx1"/>
                      </a:solidFill>
                      <a:latin typeface="Tahoma" panose="020B0604030504040204" pitchFamily="34" charset="0"/>
                      <a:ea typeface="Tahoma" panose="020B0604030504040204" pitchFamily="34" charset="0"/>
                      <a:cs typeface="Tahoma" panose="020B0604030504040204" pitchFamily="34" charset="0"/>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17769648824807499"/>
                      <c:h val="0.24396853631064855"/>
                    </c:manualLayout>
                  </c15:layout>
                  <c15:dlblFieldTable/>
                  <c15:showDataLabelsRange val="0"/>
                </c:ext>
                <c:ext xmlns:c16="http://schemas.microsoft.com/office/drawing/2014/chart" uri="{C3380CC4-5D6E-409C-BE32-E72D297353CC}">
                  <c16:uniqueId val="{00000001-DEBB-4647-AFA6-B5C2521FBA48}"/>
                </c:ext>
              </c:extLst>
            </c:dLbl>
            <c:dLbl>
              <c:idx val="1"/>
              <c:layout>
                <c:manualLayout>
                  <c:x val="-1.3659660974956932E-2"/>
                  <c:y val="-0.14735155995149968"/>
                </c:manualLayout>
              </c:layout>
              <c:tx>
                <c:rich>
                  <a:bodyPr rot="0" spcFirstLastPara="1" vertOverflow="ellipsis" vert="horz" wrap="square" lIns="38100" tIns="19050" rIns="38100" bIns="19050" anchor="ctr" anchorCtr="1">
                    <a:noAutofit/>
                  </a:bodyPr>
                  <a:lstStyle/>
                  <a:p>
                    <a:pPr>
                      <a:defRPr sz="1800" b="1" i="0" u="none" strike="noStrike" kern="1200" baseline="0">
                        <a:solidFill>
                          <a:schemeClr val="tx1"/>
                        </a:solidFill>
                        <a:latin typeface="Tahoma" panose="020B0604030504040204" pitchFamily="34" charset="0"/>
                        <a:ea typeface="Tahoma" panose="020B0604030504040204" pitchFamily="34" charset="0"/>
                        <a:cs typeface="Tahoma" panose="020B0604030504040204" pitchFamily="34" charset="0"/>
                      </a:defRPr>
                    </a:pPr>
                    <a:fld id="{9102D4C0-8DB6-4ACC-9C1A-8C19CA415789}" type="CATEGORYNAME">
                      <a:rPr lang="en-US" sz="2000"/>
                      <a:pPr>
                        <a:defRPr sz="1800">
                          <a:solidFill>
                            <a:schemeClr val="tx1"/>
                          </a:solidFill>
                          <a:latin typeface="Tahoma" panose="020B0604030504040204" pitchFamily="34" charset="0"/>
                          <a:ea typeface="Tahoma" panose="020B0604030504040204" pitchFamily="34" charset="0"/>
                          <a:cs typeface="Tahoma" panose="020B0604030504040204" pitchFamily="34" charset="0"/>
                        </a:defRPr>
                      </a:pPr>
                      <a:t>[CATEGORY NAME]</a:t>
                    </a:fld>
                    <a:r>
                      <a:rPr lang="en-US" sz="2000" baseline="0"/>
                      <a:t>,     </a:t>
                    </a:r>
                    <a:fld id="{715AD3AF-49E4-46B2-BDD8-318CA03DFC5E}" type="VALUE">
                      <a:rPr lang="en-US" sz="2000" baseline="0"/>
                      <a:pPr>
                        <a:defRPr sz="1800">
                          <a:solidFill>
                            <a:schemeClr val="tx1"/>
                          </a:solidFill>
                          <a:latin typeface="Tahoma" panose="020B0604030504040204" pitchFamily="34" charset="0"/>
                          <a:ea typeface="Tahoma" panose="020B0604030504040204" pitchFamily="34" charset="0"/>
                          <a:cs typeface="Tahoma" panose="020B0604030504040204" pitchFamily="34" charset="0"/>
                        </a:defRPr>
                      </a:pPr>
                      <a:t>[VALUE]</a:t>
                    </a:fld>
                    <a:r>
                      <a:rPr lang="en-US" sz="2000" baseline="0"/>
                      <a:t>,   </a:t>
                    </a:r>
                    <a:fld id="{FD43F09F-0C2D-458F-8A6B-9C4A91C7000D}" type="PERCENTAGE">
                      <a:rPr lang="en-US" sz="2000" baseline="0"/>
                      <a:pPr>
                        <a:defRPr sz="1800">
                          <a:solidFill>
                            <a:schemeClr val="tx1"/>
                          </a:solidFill>
                          <a:latin typeface="Tahoma" panose="020B0604030504040204" pitchFamily="34" charset="0"/>
                          <a:ea typeface="Tahoma" panose="020B0604030504040204" pitchFamily="34" charset="0"/>
                          <a:cs typeface="Tahoma" panose="020B0604030504040204" pitchFamily="34" charset="0"/>
                        </a:defRPr>
                      </a:pPr>
                      <a:t>[PERCENTAGE]</a:t>
                    </a:fld>
                    <a:endParaRPr lang="en-US" sz="2000" baseline="0"/>
                  </a:p>
                </c:rich>
              </c:tx>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tx1"/>
                      </a:solidFill>
                      <a:latin typeface="Tahoma" panose="020B0604030504040204" pitchFamily="34" charset="0"/>
                      <a:ea typeface="Tahoma" panose="020B0604030504040204" pitchFamily="34" charset="0"/>
                      <a:cs typeface="Tahoma" panose="020B0604030504040204" pitchFamily="34" charset="0"/>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15342831282003783"/>
                      <c:h val="0.24126193275190336"/>
                    </c:manualLayout>
                  </c15:layout>
                  <c15:dlblFieldTable/>
                  <c15:showDataLabelsRange val="0"/>
                </c:ext>
                <c:ext xmlns:c16="http://schemas.microsoft.com/office/drawing/2014/chart" uri="{C3380CC4-5D6E-409C-BE32-E72D297353CC}">
                  <c16:uniqueId val="{00000003-DEBB-4647-AFA6-B5C2521FBA48}"/>
                </c:ext>
              </c:extLst>
            </c:dLbl>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Sheet2!$I$3:$I$4</c:f>
              <c:strCache>
                <c:ptCount val="2"/>
                <c:pt idx="0">
                  <c:v>2023 (Projected)</c:v>
                </c:pt>
                <c:pt idx="1">
                  <c:v>2022</c:v>
                </c:pt>
              </c:strCache>
            </c:strRef>
          </c:cat>
          <c:val>
            <c:numRef>
              <c:f>Sheet2!$J$3:$J$4</c:f>
              <c:numCache>
                <c:formatCode>General</c:formatCode>
                <c:ptCount val="2"/>
                <c:pt idx="0" formatCode="0">
                  <c:v>37462</c:v>
                </c:pt>
                <c:pt idx="1">
                  <c:v>18743</c:v>
                </c:pt>
              </c:numCache>
            </c:numRef>
          </c:val>
          <c:extLst>
            <c:ext xmlns:c16="http://schemas.microsoft.com/office/drawing/2014/chart" uri="{C3380CC4-5D6E-409C-BE32-E72D297353CC}">
              <c16:uniqueId val="{00000004-DEBB-4647-AFA6-B5C2521FBA48}"/>
            </c:ext>
          </c:extLst>
        </c:ser>
        <c:dLbls>
          <c:dLblPos val="ctr"/>
          <c:showLegendKey val="0"/>
          <c:showVal val="1"/>
          <c:showCatName val="1"/>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000" b="1" i="0" u="none" strike="noStrike" kern="1200" baseline="0">
              <a:solidFill>
                <a:schemeClr val="tx1"/>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2200" b="1" i="0" baseline="0">
                <a:solidFill>
                  <a:schemeClr val="tx1"/>
                </a:solidFill>
                <a:effectLst/>
                <a:latin typeface="Tahoma" panose="020B0604030504040204" pitchFamily="34" charset="0"/>
                <a:ea typeface="Tahoma" panose="020B0604030504040204" pitchFamily="34" charset="0"/>
                <a:cs typeface="Tahoma" panose="020B0604030504040204" pitchFamily="34" charset="0"/>
              </a:rPr>
              <a:t>Comparative Expenditures : 2022 vs. 2023</a:t>
            </a:r>
            <a:endParaRPr lang="en-US" sz="2200">
              <a:solidFill>
                <a:schemeClr val="tx1"/>
              </a:solidFill>
              <a:effectLst/>
              <a:latin typeface="Tahoma" panose="020B0604030504040204" pitchFamily="34" charset="0"/>
              <a:ea typeface="Tahoma" panose="020B0604030504040204" pitchFamily="34" charset="0"/>
              <a:cs typeface="Tahoma" panose="020B0604030504040204" pitchFamily="34" charset="0"/>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explosion val="11"/>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EFE-4372-91DE-92CA9F674DA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EFE-4372-91DE-92CA9F674DA5}"/>
              </c:ext>
            </c:extLst>
          </c:dPt>
          <c:dLbls>
            <c:dLbl>
              <c:idx val="0"/>
              <c:layout>
                <c:manualLayout>
                  <c:x val="9.2415636099197257E-2"/>
                  <c:y val="2.8367274241491599E-2"/>
                </c:manualLayout>
              </c:layout>
              <c:tx>
                <c:rich>
                  <a:bodyPr rot="0" spcFirstLastPara="1" vertOverflow="ellipsis" vert="horz" wrap="square" lIns="38100" tIns="19050" rIns="38100" bIns="19050" anchor="ctr" anchorCtr="1">
                    <a:noAutofit/>
                  </a:bodyPr>
                  <a:lstStyle/>
                  <a:p>
                    <a:pPr>
                      <a:defRPr sz="1800" b="1" i="0" u="none" strike="noStrike" kern="1200" baseline="0">
                        <a:solidFill>
                          <a:schemeClr val="tx1"/>
                        </a:solidFill>
                        <a:latin typeface="Tahoma" panose="020B0604030504040204" pitchFamily="34" charset="0"/>
                        <a:ea typeface="Tahoma" panose="020B0604030504040204" pitchFamily="34" charset="0"/>
                        <a:cs typeface="Tahoma" panose="020B0604030504040204" pitchFamily="34" charset="0"/>
                      </a:defRPr>
                    </a:pPr>
                    <a:fld id="{F2E3708B-BF50-4ABF-B48D-94F503288DBB}" type="CATEGORYNAME">
                      <a:rPr lang="en-US" sz="2000"/>
                      <a:pPr>
                        <a:defRPr sz="1800">
                          <a:solidFill>
                            <a:schemeClr val="tx1"/>
                          </a:solidFill>
                          <a:latin typeface="Tahoma" panose="020B0604030504040204" pitchFamily="34" charset="0"/>
                          <a:ea typeface="Tahoma" panose="020B0604030504040204" pitchFamily="34" charset="0"/>
                          <a:cs typeface="Tahoma" panose="020B0604030504040204" pitchFamily="34" charset="0"/>
                        </a:defRPr>
                      </a:pPr>
                      <a:t>[CATEGORY NAME]</a:t>
                    </a:fld>
                    <a:r>
                      <a:rPr lang="en-US" sz="2000" baseline="0"/>
                      <a:t>, </a:t>
                    </a:r>
                    <a:fld id="{F4B04BD8-F489-41F7-BA2F-318DD9D9933F}" type="VALUE">
                      <a:rPr lang="en-US" sz="2000" baseline="0"/>
                      <a:pPr>
                        <a:defRPr sz="1800">
                          <a:solidFill>
                            <a:schemeClr val="tx1"/>
                          </a:solidFill>
                          <a:latin typeface="Tahoma" panose="020B0604030504040204" pitchFamily="34" charset="0"/>
                          <a:ea typeface="Tahoma" panose="020B0604030504040204" pitchFamily="34" charset="0"/>
                          <a:cs typeface="Tahoma" panose="020B0604030504040204" pitchFamily="34" charset="0"/>
                        </a:defRPr>
                      </a:pPr>
                      <a:t>[VALUE]</a:t>
                    </a:fld>
                    <a:r>
                      <a:rPr lang="en-US" sz="2000" baseline="0"/>
                      <a:t>, </a:t>
                    </a:r>
                    <a:fld id="{998C36C8-AB82-4C69-9E2C-D16DE0A2A0EC}" type="PERCENTAGE">
                      <a:rPr lang="en-US" sz="2000" baseline="0"/>
                      <a:pPr>
                        <a:defRPr sz="1800">
                          <a:solidFill>
                            <a:schemeClr val="tx1"/>
                          </a:solidFill>
                          <a:latin typeface="Tahoma" panose="020B0604030504040204" pitchFamily="34" charset="0"/>
                          <a:ea typeface="Tahoma" panose="020B0604030504040204" pitchFamily="34" charset="0"/>
                          <a:cs typeface="Tahoma" panose="020B0604030504040204" pitchFamily="34" charset="0"/>
                        </a:defRPr>
                      </a:pPr>
                      <a:t>[PERCENTAGE]</a:t>
                    </a:fld>
                    <a:endParaRPr lang="en-US" sz="2000" baseline="0"/>
                  </a:p>
                </c:rich>
              </c:tx>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tx1"/>
                      </a:solidFill>
                      <a:latin typeface="Tahoma" panose="020B0604030504040204" pitchFamily="34" charset="0"/>
                      <a:ea typeface="Tahoma" panose="020B0604030504040204" pitchFamily="34" charset="0"/>
                      <a:cs typeface="Tahoma" panose="020B0604030504040204" pitchFamily="34" charset="0"/>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23016642393334094"/>
                      <c:h val="0.19700666145433909"/>
                    </c:manualLayout>
                  </c15:layout>
                  <c15:dlblFieldTable/>
                  <c15:showDataLabelsRange val="0"/>
                </c:ext>
                <c:ext xmlns:c16="http://schemas.microsoft.com/office/drawing/2014/chart" uri="{C3380CC4-5D6E-409C-BE32-E72D297353CC}">
                  <c16:uniqueId val="{00000001-8EFE-4372-91DE-92CA9F674DA5}"/>
                </c:ext>
              </c:extLst>
            </c:dLbl>
            <c:dLbl>
              <c:idx val="1"/>
              <c:layout>
                <c:manualLayout>
                  <c:x val="-4.7046373675427708E-3"/>
                  <c:y val="-6.8352114071892192E-2"/>
                </c:manualLayout>
              </c:layout>
              <c:tx>
                <c:rich>
                  <a:bodyPr/>
                  <a:lstStyle/>
                  <a:p>
                    <a:fld id="{DF4DE73F-DB8F-4F35-B28A-2F2CC75FE1EB}" type="CATEGORYNAME">
                      <a:rPr lang="en-US" sz="2000">
                        <a:solidFill>
                          <a:schemeClr val="tx1"/>
                        </a:solidFill>
                      </a:rPr>
                      <a:pPr/>
                      <a:t>[CATEGORY NAME]</a:t>
                    </a:fld>
                    <a:r>
                      <a:rPr lang="en-US" sz="2000" baseline="0"/>
                      <a:t>, </a:t>
                    </a:r>
                    <a:fld id="{F99648AD-CC99-447F-B32E-E4EAB3B0BB82}" type="VALUE">
                      <a:rPr lang="en-US" sz="2000" baseline="0"/>
                      <a:pPr/>
                      <a:t>[VALUE]</a:t>
                    </a:fld>
                    <a:r>
                      <a:rPr lang="en-US" sz="2000" baseline="0"/>
                      <a:t>, </a:t>
                    </a:r>
                    <a:fld id="{5BB4992E-A4D2-4B90-8E96-A792F0D4CF4F}" type="PERCENTAGE">
                      <a:rPr lang="en-US" sz="2000" baseline="0"/>
                      <a:pPr/>
                      <a:t>[PERCENTAGE]</a:t>
                    </a:fld>
                    <a:endParaRPr lang="en-US" sz="2000" baseline="0"/>
                  </a:p>
                </c:rich>
              </c:tx>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8EFE-4372-91DE-92CA9F674DA5}"/>
                </c:ext>
              </c:extLst>
            </c:dLbl>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Sheet2!$I$3:$I$4</c:f>
              <c:strCache>
                <c:ptCount val="2"/>
                <c:pt idx="0">
                  <c:v>2023 (Projected)</c:v>
                </c:pt>
                <c:pt idx="1">
                  <c:v>2022</c:v>
                </c:pt>
              </c:strCache>
            </c:strRef>
          </c:cat>
          <c:val>
            <c:numRef>
              <c:f>Sheet2!$K$3:$K$4</c:f>
              <c:numCache>
                <c:formatCode>_-* #,##0_-;\-* #,##0_-;_-* "-"??_-;_-@_-</c:formatCode>
                <c:ptCount val="2"/>
                <c:pt idx="0">
                  <c:v>2129459280</c:v>
                </c:pt>
                <c:pt idx="1">
                  <c:v>730546966</c:v>
                </c:pt>
              </c:numCache>
            </c:numRef>
          </c:val>
          <c:extLst>
            <c:ext xmlns:c16="http://schemas.microsoft.com/office/drawing/2014/chart" uri="{C3380CC4-5D6E-409C-BE32-E72D297353CC}">
              <c16:uniqueId val="{00000004-8EFE-4372-91DE-92CA9F674DA5}"/>
            </c:ext>
          </c:extLst>
        </c:ser>
        <c:dLbls>
          <c:dLblPos val="ctr"/>
          <c:showLegendKey val="0"/>
          <c:showVal val="1"/>
          <c:showCatName val="1"/>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2000" b="1" i="0" u="none" strike="noStrike" kern="1200" baseline="0">
              <a:solidFill>
                <a:schemeClr val="tx1"/>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200" b="1" i="0" u="none" strike="noStrike" baseline="0">
                <a:solidFill>
                  <a:schemeClr val="tx1"/>
                </a:solidFill>
                <a:effectLst/>
                <a:latin typeface="Tahoma" panose="020B0604030504040204" pitchFamily="34" charset="0"/>
                <a:ea typeface="Tahoma" panose="020B0604030504040204" pitchFamily="34" charset="0"/>
                <a:cs typeface="Tahoma" panose="020B0604030504040204" pitchFamily="34" charset="0"/>
              </a:rPr>
              <a:t>Beneficiary Distribution : 2022 vs. 2023</a:t>
            </a:r>
            <a:endParaRPr lang="en-US" sz="2200" b="1">
              <a:solidFill>
                <a:schemeClr val="tx1"/>
              </a:solidFill>
              <a:latin typeface="Tahoma" panose="020B0604030504040204" pitchFamily="34" charset="0"/>
              <a:ea typeface="Tahoma" panose="020B0604030504040204" pitchFamily="34" charset="0"/>
              <a:cs typeface="Tahoma" panose="020B060403050404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6696621130667156"/>
          <c:y val="7.0775562620288737E-2"/>
          <c:w val="0.50219108704625937"/>
          <c:h val="0.91250162499769572"/>
        </c:manualLayout>
      </c:layout>
      <c:barChart>
        <c:barDir val="bar"/>
        <c:grouping val="clustered"/>
        <c:varyColors val="0"/>
        <c:ser>
          <c:idx val="0"/>
          <c:order val="0"/>
          <c:tx>
            <c:strRef>
              <c:f>Sheet2!$B$2</c:f>
              <c:strCache>
                <c:ptCount val="1"/>
                <c:pt idx="0">
                  <c:v>Benef. 2023</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Sheet2!$A$3</c:f>
              <c:strCache>
                <c:ptCount val="1"/>
                <c:pt idx="0">
                  <c:v>Scholarship (Projected 2023)</c:v>
                </c:pt>
              </c:strCache>
            </c:strRef>
          </c:cat>
          <c:val>
            <c:numRef>
              <c:f>Sheet2!$B$3</c:f>
              <c:numCache>
                <c:formatCode>0</c:formatCode>
                <c:ptCount val="1"/>
                <c:pt idx="0">
                  <c:v>18101.142857142855</c:v>
                </c:pt>
              </c:numCache>
            </c:numRef>
          </c:val>
          <c:extLst>
            <c:ext xmlns:c16="http://schemas.microsoft.com/office/drawing/2014/chart" uri="{C3380CC4-5D6E-409C-BE32-E72D297353CC}">
              <c16:uniqueId val="{00000000-4348-41B4-B0E7-82D6F51FA954}"/>
            </c:ext>
          </c:extLst>
        </c:ser>
        <c:ser>
          <c:idx val="1"/>
          <c:order val="1"/>
          <c:tx>
            <c:strRef>
              <c:f>Sheet2!$C$2</c:f>
              <c:strCache>
                <c:ptCount val="1"/>
                <c:pt idx="0">
                  <c:v>Benef. 2022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Sheet2!$A$3</c:f>
              <c:strCache>
                <c:ptCount val="1"/>
                <c:pt idx="0">
                  <c:v>Scholarship (Projected 2023)</c:v>
                </c:pt>
              </c:strCache>
            </c:strRef>
          </c:cat>
          <c:val>
            <c:numRef>
              <c:f>Sheet2!$C$3</c:f>
              <c:numCache>
                <c:formatCode>General</c:formatCode>
                <c:ptCount val="1"/>
                <c:pt idx="0">
                  <c:v>6136</c:v>
                </c:pt>
              </c:numCache>
            </c:numRef>
          </c:val>
          <c:extLst>
            <c:ext xmlns:c16="http://schemas.microsoft.com/office/drawing/2014/chart" uri="{C3380CC4-5D6E-409C-BE32-E72D297353CC}">
              <c16:uniqueId val="{00000001-4348-41B4-B0E7-82D6F51FA954}"/>
            </c:ext>
          </c:extLst>
        </c:ser>
        <c:dLbls>
          <c:showLegendKey val="0"/>
          <c:showVal val="1"/>
          <c:showCatName val="0"/>
          <c:showSerName val="0"/>
          <c:showPercent val="0"/>
          <c:showBubbleSize val="0"/>
        </c:dLbls>
        <c:gapWidth val="150"/>
        <c:overlap val="-25"/>
        <c:axId val="513995760"/>
        <c:axId val="513995432"/>
      </c:barChart>
      <c:catAx>
        <c:axId val="513995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solidFill>
                <a:latin typeface="Tahoma" panose="020B0604030504040204" pitchFamily="34" charset="0"/>
                <a:ea typeface="Tahoma" panose="020B0604030504040204" pitchFamily="34" charset="0"/>
                <a:cs typeface="Tahoma" panose="020B0604030504040204" pitchFamily="34" charset="0"/>
              </a:defRPr>
            </a:pPr>
            <a:endParaRPr lang="en-US"/>
          </a:p>
        </c:txPr>
        <c:crossAx val="513995432"/>
        <c:crosses val="autoZero"/>
        <c:auto val="1"/>
        <c:lblAlgn val="ctr"/>
        <c:lblOffset val="100"/>
        <c:noMultiLvlLbl val="0"/>
      </c:catAx>
      <c:valAx>
        <c:axId val="513995432"/>
        <c:scaling>
          <c:orientation val="minMax"/>
        </c:scaling>
        <c:delete val="1"/>
        <c:axPos val="b"/>
        <c:numFmt formatCode="0" sourceLinked="1"/>
        <c:majorTickMark val="none"/>
        <c:minorTickMark val="none"/>
        <c:tickLblPos val="nextTo"/>
        <c:crossAx val="51399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200" b="1" i="0" u="none" strike="noStrike" baseline="0">
                <a:solidFill>
                  <a:schemeClr val="tx1"/>
                </a:solidFill>
                <a:effectLst/>
                <a:latin typeface="Tahoma" panose="020B0604030504040204" pitchFamily="34" charset="0"/>
                <a:ea typeface="Tahoma" panose="020B0604030504040204" pitchFamily="34" charset="0"/>
                <a:cs typeface="Tahoma" panose="020B0604030504040204" pitchFamily="34" charset="0"/>
              </a:rPr>
              <a:t>Comparative Expenditures : 2022 vs. 2023</a:t>
            </a:r>
            <a:endParaRPr lang="en-US" sz="2200" b="1">
              <a:solidFill>
                <a:schemeClr val="tx1"/>
              </a:solidFill>
              <a:latin typeface="Tahoma" panose="020B0604030504040204" pitchFamily="34" charset="0"/>
              <a:ea typeface="Tahoma" panose="020B0604030504040204" pitchFamily="34" charset="0"/>
              <a:cs typeface="Tahoma" panose="020B0604030504040204" pitchFamily="34" charset="0"/>
            </a:endParaRPr>
          </a:p>
        </c:rich>
      </c:tx>
      <c:layout>
        <c:manualLayout>
          <c:xMode val="edge"/>
          <c:yMode val="edge"/>
          <c:x val="0.10009723165560136"/>
          <c:y val="1.26709834479042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8222663635997906"/>
          <c:y val="7.0139402372133425E-2"/>
          <c:w val="0.4586832682946454"/>
          <c:h val="0.91328809685173495"/>
        </c:manualLayout>
      </c:layout>
      <c:barChart>
        <c:barDir val="bar"/>
        <c:grouping val="clustered"/>
        <c:varyColors val="0"/>
        <c:ser>
          <c:idx val="0"/>
          <c:order val="0"/>
          <c:tx>
            <c:strRef>
              <c:f>Sheet2!$D$2</c:f>
              <c:strCache>
                <c:ptCount val="1"/>
                <c:pt idx="0">
                  <c:v>Amount 2023</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Sheet2!$A$3</c:f>
              <c:strCache>
                <c:ptCount val="1"/>
                <c:pt idx="0">
                  <c:v>Scholarship (Projected 2023)</c:v>
                </c:pt>
              </c:strCache>
            </c:strRef>
          </c:cat>
          <c:val>
            <c:numRef>
              <c:f>Sheet2!$D$3</c:f>
              <c:numCache>
                <c:formatCode>_-* #,##0_-;\-* #,##0_-;_-* "-"??_-;_-@_-</c:formatCode>
                <c:ptCount val="1"/>
                <c:pt idx="0">
                  <c:v>969678598.28571427</c:v>
                </c:pt>
              </c:numCache>
            </c:numRef>
          </c:val>
          <c:extLst>
            <c:ext xmlns:c16="http://schemas.microsoft.com/office/drawing/2014/chart" uri="{C3380CC4-5D6E-409C-BE32-E72D297353CC}">
              <c16:uniqueId val="{00000000-68AD-468C-9E76-D0F77A144DC8}"/>
            </c:ext>
          </c:extLst>
        </c:ser>
        <c:ser>
          <c:idx val="1"/>
          <c:order val="1"/>
          <c:tx>
            <c:strRef>
              <c:f>Sheet2!$E$2</c:f>
              <c:strCache>
                <c:ptCount val="1"/>
                <c:pt idx="0">
                  <c:v>Amount 2022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Sheet2!$A$3</c:f>
              <c:strCache>
                <c:ptCount val="1"/>
                <c:pt idx="0">
                  <c:v>Scholarship (Projected 2023)</c:v>
                </c:pt>
              </c:strCache>
            </c:strRef>
          </c:cat>
          <c:val>
            <c:numRef>
              <c:f>Sheet2!$E$3</c:f>
              <c:numCache>
                <c:formatCode>_-* #,##0_-;\-* #,##0_-;_-* "-"??_-;_-@_-</c:formatCode>
                <c:ptCount val="1"/>
                <c:pt idx="0">
                  <c:v>176607468</c:v>
                </c:pt>
              </c:numCache>
            </c:numRef>
          </c:val>
          <c:extLst>
            <c:ext xmlns:c16="http://schemas.microsoft.com/office/drawing/2014/chart" uri="{C3380CC4-5D6E-409C-BE32-E72D297353CC}">
              <c16:uniqueId val="{00000001-68AD-468C-9E76-D0F77A144DC8}"/>
            </c:ext>
          </c:extLst>
        </c:ser>
        <c:dLbls>
          <c:showLegendKey val="0"/>
          <c:showVal val="1"/>
          <c:showCatName val="0"/>
          <c:showSerName val="0"/>
          <c:showPercent val="0"/>
          <c:showBubbleSize val="0"/>
        </c:dLbls>
        <c:gapWidth val="150"/>
        <c:overlap val="-25"/>
        <c:axId val="513995760"/>
        <c:axId val="513995432"/>
      </c:barChart>
      <c:catAx>
        <c:axId val="513995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solidFill>
                <a:latin typeface="Tahoma" panose="020B0604030504040204" pitchFamily="34" charset="0"/>
                <a:ea typeface="Tahoma" panose="020B0604030504040204" pitchFamily="34" charset="0"/>
                <a:cs typeface="Tahoma" panose="020B0604030504040204" pitchFamily="34" charset="0"/>
              </a:defRPr>
            </a:pPr>
            <a:endParaRPr lang="en-US"/>
          </a:p>
        </c:txPr>
        <c:crossAx val="513995432"/>
        <c:crosses val="autoZero"/>
        <c:auto val="1"/>
        <c:lblAlgn val="ctr"/>
        <c:lblOffset val="100"/>
        <c:noMultiLvlLbl val="0"/>
      </c:catAx>
      <c:valAx>
        <c:axId val="513995432"/>
        <c:scaling>
          <c:orientation val="minMax"/>
        </c:scaling>
        <c:delete val="1"/>
        <c:axPos val="b"/>
        <c:numFmt formatCode="_-* #,##0_-;\-* #,##0_-;_-* &quot;-&quot;??_-;_-@_-" sourceLinked="1"/>
        <c:majorTickMark val="none"/>
        <c:minorTickMark val="none"/>
        <c:tickLblPos val="nextTo"/>
        <c:crossAx val="51399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autoTitleDeleted val="1"/>
    <c:plotArea>
      <c:layout/>
      <c:doughnutChart>
        <c:varyColors val="1"/>
        <c:ser>
          <c:idx val="0"/>
          <c:order val="0"/>
          <c:spPr>
            <a:solidFill>
              <a:schemeClr val="accent3"/>
            </a:solidFill>
          </c:spPr>
          <c:dPt>
            <c:idx val="0"/>
            <c:bubble3D val="0"/>
            <c:spPr>
              <a:solidFill>
                <a:schemeClr val="accent1"/>
              </a:solidFill>
            </c:spPr>
            <c:extLst>
              <c:ext xmlns:c16="http://schemas.microsoft.com/office/drawing/2014/chart" uri="{C3380CC4-5D6E-409C-BE32-E72D297353CC}">
                <c16:uniqueId val="{00000001-FF1C-46C8-B682-C6DCCFC4808A}"/>
              </c:ext>
            </c:extLst>
          </c:dPt>
          <c:dPt>
            <c:idx val="2"/>
            <c:bubble3D val="0"/>
            <c:spPr>
              <a:solidFill>
                <a:schemeClr val="accent2"/>
              </a:solidFill>
            </c:spPr>
            <c:extLst>
              <c:ext xmlns:c16="http://schemas.microsoft.com/office/drawing/2014/chart" uri="{C3380CC4-5D6E-409C-BE32-E72D297353CC}">
                <c16:uniqueId val="{00000003-FF1C-46C8-B682-C6DCCFC4808A}"/>
              </c:ext>
            </c:extLst>
          </c:dPt>
          <c:dLbls>
            <c:spPr>
              <a:noFill/>
              <a:ln>
                <a:noFill/>
              </a:ln>
              <a:effectLst/>
            </c:spPr>
            <c:txPr>
              <a:bodyPr wrap="square" lIns="38100" tIns="19050" rIns="38100" bIns="19050" anchor="ctr">
                <a:spAutoFit/>
              </a:bodyPr>
              <a:lstStyle/>
              <a:p>
                <a:pPr>
                  <a:defRPr>
                    <a:solidFill>
                      <a:schemeClr val="bg1"/>
                    </a:solidFill>
                    <a:latin typeface="Century Gothic" charset="0"/>
                    <a:ea typeface="Century Gothic" charset="0"/>
                    <a:cs typeface="Century Gothic" charset="0"/>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'Personal Cash Flow Example (2)'!$F$5:$G$7</c:f>
              <c:strCache>
                <c:ptCount val="3"/>
                <c:pt idx="0">
                  <c:v>I N C O M E</c:v>
                </c:pt>
                <c:pt idx="1">
                  <c:v>S A V I N G S</c:v>
                </c:pt>
                <c:pt idx="2">
                  <c:v>E X P E N S E S</c:v>
                </c:pt>
              </c:strCache>
            </c:strRef>
          </c:cat>
          <c:val>
            <c:numRef>
              <c:f>'Personal Cash Flow Example (2)'!$H$5:$H$7</c:f>
              <c:numCache>
                <c:formatCode>_-"Rs"* #,##0_-;\-"Rs"* #,##0_-;_-"Rs"* "-"_-;_-@_-</c:formatCode>
                <c:ptCount val="3"/>
                <c:pt idx="0">
                  <c:v>873499286</c:v>
                </c:pt>
                <c:pt idx="1">
                  <c:v>0</c:v>
                </c:pt>
                <c:pt idx="2">
                  <c:v>1086873964</c:v>
                </c:pt>
              </c:numCache>
            </c:numRef>
          </c:val>
          <c:extLst>
            <c:ext xmlns:c16="http://schemas.microsoft.com/office/drawing/2014/chart" uri="{C3380CC4-5D6E-409C-BE32-E72D297353CC}">
              <c16:uniqueId val="{00000004-FF1C-46C8-B682-C6DCCFC4808A}"/>
            </c:ext>
          </c:extLst>
        </c:ser>
        <c:dLbls>
          <c:showLegendKey val="0"/>
          <c:showVal val="1"/>
          <c:showCatName val="1"/>
          <c:showSerName val="0"/>
          <c:showPercent val="0"/>
          <c:showBubbleSize val="0"/>
          <c:showLeaderLines val="1"/>
        </c:dLbls>
        <c:firstSliceAng val="0"/>
        <c:holeSize val="22"/>
      </c:doughnutChart>
    </c:plotArea>
    <c:plotVisOnly val="1"/>
    <c:dispBlanksAs val="gap"/>
    <c:showDLblsOverMax val="0"/>
  </c:chart>
  <c:spPr>
    <a:ln>
      <a:noFill/>
    </a:ln>
  </c:spPr>
  <c:printSettings>
    <c:headerFooter/>
    <c:pageMargins b="1" l="0.75" r="0.75" t="1" header="0.5" footer="0.5"/>
    <c:pageSetup orientation="portrait" horizontalDpi="-4" verticalDpi="-4"/>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Comparative Expenditures by Category: 2022 vs. 2023</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'Sheet2 (2)'!$D$2</c:f>
              <c:strCache>
                <c:ptCount val="1"/>
                <c:pt idx="0">
                  <c:v>Amount 2023</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 (2)'!$A$3:$A$9</c:f>
              <c:strCache>
                <c:ptCount val="7"/>
                <c:pt idx="0">
                  <c:v>Wedding Gift</c:v>
                </c:pt>
                <c:pt idx="1">
                  <c:v>Scholarship</c:v>
                </c:pt>
                <c:pt idx="2">
                  <c:v>Financial Assistance</c:v>
                </c:pt>
                <c:pt idx="3">
                  <c:v>Funeral Charges</c:v>
                </c:pt>
                <c:pt idx="4">
                  <c:v>Farewell Grant (Last B.P)</c:v>
                </c:pt>
                <c:pt idx="5">
                  <c:v>Shuhada Children Scholarship Loan A/C</c:v>
                </c:pt>
                <c:pt idx="6">
                  <c:v>Maintenance Allowance</c:v>
                </c:pt>
              </c:strCache>
            </c:strRef>
          </c:cat>
          <c:val>
            <c:numRef>
              <c:f>'Sheet2 (2)'!$D$3:$D$9</c:f>
              <c:numCache>
                <c:formatCode>_-* #,##0_-;\-* #,##0_-;_-* "-"??_-;_-@_-</c:formatCode>
                <c:ptCount val="7"/>
                <c:pt idx="0">
                  <c:v>194625000</c:v>
                </c:pt>
                <c:pt idx="1">
                  <c:v>565645849</c:v>
                </c:pt>
                <c:pt idx="2">
                  <c:v>107393242</c:v>
                </c:pt>
                <c:pt idx="3">
                  <c:v>17250000</c:v>
                </c:pt>
                <c:pt idx="4">
                  <c:v>118320899</c:v>
                </c:pt>
                <c:pt idx="5">
                  <c:v>26239516</c:v>
                </c:pt>
                <c:pt idx="6">
                  <c:v>212710074</c:v>
                </c:pt>
              </c:numCache>
            </c:numRef>
          </c:val>
          <c:extLst>
            <c:ext xmlns:c16="http://schemas.microsoft.com/office/drawing/2014/chart" uri="{C3380CC4-5D6E-409C-BE32-E72D297353CC}">
              <c16:uniqueId val="{00000000-CE19-410E-B499-F5BF125DE968}"/>
            </c:ext>
          </c:extLst>
        </c:ser>
        <c:ser>
          <c:idx val="1"/>
          <c:order val="1"/>
          <c:tx>
            <c:strRef>
              <c:f>'Sheet2 (2)'!$E$2</c:f>
              <c:strCache>
                <c:ptCount val="1"/>
                <c:pt idx="0">
                  <c:v>Amount 2022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 (2)'!$A$3:$A$9</c:f>
              <c:strCache>
                <c:ptCount val="7"/>
                <c:pt idx="0">
                  <c:v>Wedding Gift</c:v>
                </c:pt>
                <c:pt idx="1">
                  <c:v>Scholarship</c:v>
                </c:pt>
                <c:pt idx="2">
                  <c:v>Financial Assistance</c:v>
                </c:pt>
                <c:pt idx="3">
                  <c:v>Funeral Charges</c:v>
                </c:pt>
                <c:pt idx="4">
                  <c:v>Farewell Grant (Last B.P)</c:v>
                </c:pt>
                <c:pt idx="5">
                  <c:v>Shuhada Children Scholarship Loan A/C</c:v>
                </c:pt>
                <c:pt idx="6">
                  <c:v>Maintenance Allowance</c:v>
                </c:pt>
              </c:strCache>
            </c:strRef>
          </c:cat>
          <c:val>
            <c:numRef>
              <c:f>'Sheet2 (2)'!$E$3:$E$9</c:f>
              <c:numCache>
                <c:formatCode>_-* #,##0_-;\-* #,##0_-;_-* "-"??_-;_-@_-</c:formatCode>
                <c:ptCount val="7"/>
                <c:pt idx="0">
                  <c:v>214270000</c:v>
                </c:pt>
                <c:pt idx="1">
                  <c:v>176607468</c:v>
                </c:pt>
                <c:pt idx="2">
                  <c:v>33647174</c:v>
                </c:pt>
                <c:pt idx="3">
                  <c:v>30150000</c:v>
                </c:pt>
                <c:pt idx="4">
                  <c:v>82798017</c:v>
                </c:pt>
                <c:pt idx="5">
                  <c:v>27589496</c:v>
                </c:pt>
                <c:pt idx="6">
                  <c:v>165484811</c:v>
                </c:pt>
              </c:numCache>
            </c:numRef>
          </c:val>
          <c:extLst>
            <c:ext xmlns:c16="http://schemas.microsoft.com/office/drawing/2014/chart" uri="{C3380CC4-5D6E-409C-BE32-E72D297353CC}">
              <c16:uniqueId val="{00000001-CE19-410E-B499-F5BF125DE968}"/>
            </c:ext>
          </c:extLst>
        </c:ser>
        <c:dLbls>
          <c:showLegendKey val="0"/>
          <c:showVal val="1"/>
          <c:showCatName val="0"/>
          <c:showSerName val="0"/>
          <c:showPercent val="0"/>
          <c:showBubbleSize val="0"/>
        </c:dLbls>
        <c:gapWidth val="150"/>
        <c:overlap val="-25"/>
        <c:axId val="513995760"/>
        <c:axId val="513995432"/>
      </c:barChart>
      <c:catAx>
        <c:axId val="513995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995432"/>
        <c:crosses val="autoZero"/>
        <c:auto val="1"/>
        <c:lblAlgn val="ctr"/>
        <c:lblOffset val="100"/>
        <c:noMultiLvlLbl val="0"/>
      </c:catAx>
      <c:valAx>
        <c:axId val="513995432"/>
        <c:scaling>
          <c:orientation val="minMax"/>
        </c:scaling>
        <c:delete val="1"/>
        <c:axPos val="b"/>
        <c:numFmt formatCode="_-* #,##0_-;\-* #,##0_-;_-* &quot;-&quot;??_-;_-@_-" sourceLinked="1"/>
        <c:majorTickMark val="none"/>
        <c:minorTickMark val="none"/>
        <c:tickLblPos val="nextTo"/>
        <c:crossAx val="5139957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autoTitleDeleted val="0"/>
    <c:plotArea>
      <c:layout>
        <c:manualLayout>
          <c:layoutTarget val="inner"/>
          <c:xMode val="edge"/>
          <c:yMode val="edge"/>
          <c:x val="0.203598206474191"/>
          <c:y val="5.5555555555555497E-2"/>
          <c:w val="0.79362401574803099"/>
          <c:h val="0.76887643852210796"/>
        </c:manualLayout>
      </c:layout>
      <c:barChart>
        <c:barDir val="col"/>
        <c:grouping val="clustered"/>
        <c:varyColors val="0"/>
        <c:ser>
          <c:idx val="0"/>
          <c:order val="0"/>
          <c:tx>
            <c:strRef>
              <c:f>'Personal Cash Flow Example (2)'!$F$5</c:f>
              <c:strCache>
                <c:ptCount val="1"/>
                <c:pt idx="0">
                  <c:v>I N C O M E</c:v>
                </c:pt>
              </c:strCache>
            </c:strRef>
          </c:tx>
          <c:invertIfNegative val="0"/>
          <c:dLbls>
            <c:spPr>
              <a:noFill/>
              <a:ln>
                <a:noFill/>
              </a:ln>
              <a:effectLst/>
            </c:spPr>
            <c:txPr>
              <a:bodyPr wrap="square" lIns="38100" tIns="19050" rIns="38100" bIns="19050" anchor="ctr">
                <a:spAutoFit/>
              </a:bodyPr>
              <a:lstStyle/>
              <a:p>
                <a:pPr>
                  <a:defRPr>
                    <a:solidFill>
                      <a:schemeClr val="bg1"/>
                    </a:solidFill>
                    <a:latin typeface="Century Gothic" charset="0"/>
                    <a:ea typeface="Century Gothic" charset="0"/>
                    <a:cs typeface="Century Gothic"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'Personal Cash Flow Example (2)'!$H$5</c:f>
              <c:numCache>
                <c:formatCode>_-"Rs"* #,##0_-;\-"Rs"* #,##0_-;_-"Rs"* "-"_-;_-@_-</c:formatCode>
                <c:ptCount val="1"/>
                <c:pt idx="0">
                  <c:v>873499286</c:v>
                </c:pt>
              </c:numCache>
            </c:numRef>
          </c:val>
          <c:extLst>
            <c:ext xmlns:c16="http://schemas.microsoft.com/office/drawing/2014/chart" uri="{C3380CC4-5D6E-409C-BE32-E72D297353CC}">
              <c16:uniqueId val="{00000000-C7CB-40CB-A9AC-561BDA34A213}"/>
            </c:ext>
          </c:extLst>
        </c:ser>
        <c:ser>
          <c:idx val="1"/>
          <c:order val="1"/>
          <c:tx>
            <c:strRef>
              <c:f>'Personal Cash Flow Example (2)'!$F$7</c:f>
              <c:strCache>
                <c:ptCount val="1"/>
                <c:pt idx="0">
                  <c:v>E X P E N S E S</c:v>
                </c:pt>
              </c:strCache>
            </c:strRef>
          </c:tx>
          <c:invertIfNegative val="0"/>
          <c:dLbls>
            <c:spPr>
              <a:noFill/>
              <a:ln>
                <a:noFill/>
              </a:ln>
              <a:effectLst/>
            </c:spPr>
            <c:txPr>
              <a:bodyPr wrap="square" lIns="38100" tIns="19050" rIns="38100" bIns="19050" anchor="ctr">
                <a:spAutoFit/>
              </a:bodyPr>
              <a:lstStyle/>
              <a:p>
                <a:pPr>
                  <a:defRPr>
                    <a:solidFill>
                      <a:schemeClr val="bg1"/>
                    </a:solidFill>
                    <a:effectLst/>
                    <a:latin typeface="Century Gothic" charset="0"/>
                    <a:ea typeface="Century Gothic" charset="0"/>
                    <a:cs typeface="Century Gothic"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'Personal Cash Flow Example (2)'!$H$7</c:f>
              <c:numCache>
                <c:formatCode>_-"Rs"* #,##0_-;\-"Rs"* #,##0_-;_-"Rs"* "-"_-;_-@_-</c:formatCode>
                <c:ptCount val="1"/>
                <c:pt idx="0">
                  <c:v>1086873964</c:v>
                </c:pt>
              </c:numCache>
            </c:numRef>
          </c:val>
          <c:extLst>
            <c:ext xmlns:c16="http://schemas.microsoft.com/office/drawing/2014/chart" uri="{C3380CC4-5D6E-409C-BE32-E72D297353CC}">
              <c16:uniqueId val="{00000001-C7CB-40CB-A9AC-561BDA34A213}"/>
            </c:ext>
          </c:extLst>
        </c:ser>
        <c:dLbls>
          <c:showLegendKey val="0"/>
          <c:showVal val="1"/>
          <c:showCatName val="0"/>
          <c:showSerName val="0"/>
          <c:showPercent val="0"/>
          <c:showBubbleSize val="0"/>
        </c:dLbls>
        <c:gapWidth val="75"/>
        <c:overlap val="100"/>
        <c:axId val="1073270544"/>
        <c:axId val="1073271088"/>
      </c:barChart>
      <c:catAx>
        <c:axId val="1073270544"/>
        <c:scaling>
          <c:orientation val="minMax"/>
        </c:scaling>
        <c:delete val="1"/>
        <c:axPos val="b"/>
        <c:majorTickMark val="none"/>
        <c:minorTickMark val="none"/>
        <c:tickLblPos val="nextTo"/>
        <c:crossAx val="1073271088"/>
        <c:crosses val="autoZero"/>
        <c:auto val="1"/>
        <c:lblAlgn val="ctr"/>
        <c:lblOffset val="100"/>
        <c:noMultiLvlLbl val="0"/>
      </c:catAx>
      <c:valAx>
        <c:axId val="1073271088"/>
        <c:scaling>
          <c:orientation val="minMax"/>
        </c:scaling>
        <c:delete val="0"/>
        <c:axPos val="l"/>
        <c:numFmt formatCode="_-&quot;Rs&quot;* #,##0_-;\-&quot;Rs&quot;* #,##0_-;_-&quot;Rs&quot;* &quot;-&quot;_-;_-@_-" sourceLinked="1"/>
        <c:majorTickMark val="none"/>
        <c:minorTickMark val="none"/>
        <c:tickLblPos val="nextTo"/>
        <c:txPr>
          <a:bodyPr/>
          <a:lstStyle/>
          <a:p>
            <a:pPr>
              <a:defRPr>
                <a:latin typeface="Century Gothic" charset="0"/>
                <a:ea typeface="Century Gothic" charset="0"/>
                <a:cs typeface="Century Gothic" charset="0"/>
              </a:defRPr>
            </a:pPr>
            <a:endParaRPr lang="en-US"/>
          </a:p>
        </c:txPr>
        <c:crossAx val="1073270544"/>
        <c:crosses val="autoZero"/>
        <c:crossBetween val="between"/>
      </c:valAx>
    </c:plotArea>
    <c:legend>
      <c:legendPos val="b"/>
      <c:layout>
        <c:manualLayout>
          <c:xMode val="edge"/>
          <c:yMode val="edge"/>
          <c:x val="0.25882786526684198"/>
          <c:y val="0.82831984543598702"/>
          <c:w val="0.69623315835520505"/>
          <c:h val="0.116242627466244"/>
        </c:manualLayout>
      </c:layout>
      <c:overlay val="0"/>
      <c:txPr>
        <a:bodyPr/>
        <a:lstStyle/>
        <a:p>
          <a:pPr>
            <a:defRPr sz="1100">
              <a:latin typeface="Century Gothic" charset="0"/>
              <a:ea typeface="Century Gothic" charset="0"/>
              <a:cs typeface="Century Gothic" charset="0"/>
            </a:defRPr>
          </a:pPr>
          <a:endParaRPr lang="en-US"/>
        </a:p>
      </c:txPr>
    </c:legend>
    <c:plotVisOnly val="1"/>
    <c:dispBlanksAs val="gap"/>
    <c:showDLblsOverMax val="0"/>
  </c:chart>
  <c:spPr>
    <a:ln>
      <a:noFill/>
    </a:ln>
  </c:sp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69C-4FDC-90D1-ADB6DF053B1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69C-4FDC-90D1-ADB6DF053B15}"/>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 (2)'!$I$3:$I$4</c:f>
              <c:strCache>
                <c:ptCount val="2"/>
                <c:pt idx="0">
                  <c:v>2023 (Actual)</c:v>
                </c:pt>
                <c:pt idx="1">
                  <c:v>2022</c:v>
                </c:pt>
              </c:strCache>
            </c:strRef>
          </c:cat>
          <c:val>
            <c:numRef>
              <c:f>'Sheet2 (2)'!$J$3:$J$4</c:f>
              <c:numCache>
                <c:formatCode>General</c:formatCode>
                <c:ptCount val="2"/>
                <c:pt idx="0">
                  <c:v>21853</c:v>
                </c:pt>
                <c:pt idx="1">
                  <c:v>18743</c:v>
                </c:pt>
              </c:numCache>
            </c:numRef>
          </c:val>
          <c:extLst>
            <c:ext xmlns:c16="http://schemas.microsoft.com/office/drawing/2014/chart" uri="{C3380CC4-5D6E-409C-BE32-E72D297353CC}">
              <c16:uniqueId val="{00000004-869C-4FDC-90D1-ADB6DF053B15}"/>
            </c:ext>
          </c:extLst>
        </c:ser>
        <c:dLbls>
          <c:dLblPos val="ctr"/>
          <c:showLegendKey val="0"/>
          <c:showVal val="1"/>
          <c:showCatName val="1"/>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BB5-4887-A046-9D773BC5A5D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BB5-4887-A046-9D773BC5A5D9}"/>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 (2)'!$I$3:$I$4</c:f>
              <c:strCache>
                <c:ptCount val="2"/>
                <c:pt idx="0">
                  <c:v>2023 (Actual)</c:v>
                </c:pt>
                <c:pt idx="1">
                  <c:v>2022</c:v>
                </c:pt>
              </c:strCache>
            </c:strRef>
          </c:cat>
          <c:val>
            <c:numRef>
              <c:f>'Sheet2 (2)'!$K$3:$K$4</c:f>
              <c:numCache>
                <c:formatCode>_-* #,##0_-;\-* #,##0_-;_-* "-"??_-;_-@_-</c:formatCode>
                <c:ptCount val="2"/>
                <c:pt idx="0">
                  <c:v>1242184580</c:v>
                </c:pt>
                <c:pt idx="1">
                  <c:v>730546966</c:v>
                </c:pt>
              </c:numCache>
            </c:numRef>
          </c:val>
          <c:extLst>
            <c:ext xmlns:c16="http://schemas.microsoft.com/office/drawing/2014/chart" uri="{C3380CC4-5D6E-409C-BE32-E72D297353CC}">
              <c16:uniqueId val="{00000004-FBB5-4887-A046-9D773BC5A5D9}"/>
            </c:ext>
          </c:extLst>
        </c:ser>
        <c:dLbls>
          <c:dLblPos val="ctr"/>
          <c:showLegendKey val="0"/>
          <c:showVal val="1"/>
          <c:showCatName val="1"/>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a:solidFill>
                  <a:schemeClr val="tx1"/>
                </a:solidFill>
                <a:latin typeface="Tahoma" panose="020B0604030504040204" pitchFamily="34" charset="0"/>
                <a:ea typeface="Tahoma" panose="020B0604030504040204" pitchFamily="34" charset="0"/>
                <a:cs typeface="Tahoma" panose="020B0604030504040204" pitchFamily="34" charset="0"/>
              </a:rPr>
              <a:t>Funds Position = Rs. 9,618,652,646</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2866466973527419"/>
          <c:y val="0.21517476524900458"/>
          <c:w val="0.60000018692025525"/>
          <c:h val="0.7280866937614916"/>
        </c:manualLayout>
      </c:layout>
      <c:doughnutChart>
        <c:varyColors val="1"/>
        <c:ser>
          <c:idx val="0"/>
          <c:order val="0"/>
          <c:dPt>
            <c:idx val="0"/>
            <c:bubble3D val="0"/>
            <c:explosion val="9"/>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523-4F1B-8617-418E4B438A44}"/>
              </c:ext>
            </c:extLst>
          </c:dPt>
          <c:dPt>
            <c:idx val="1"/>
            <c:bubble3D val="0"/>
            <c:explosion val="5"/>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523-4F1B-8617-418E4B438A44}"/>
              </c:ext>
            </c:extLst>
          </c:dPt>
          <c:dPt>
            <c:idx val="2"/>
            <c:bubble3D val="0"/>
            <c:explosion val="9"/>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523-4F1B-8617-418E4B438A44}"/>
              </c:ext>
            </c:extLst>
          </c:dPt>
          <c:dLbls>
            <c:dLbl>
              <c:idx val="0"/>
              <c:layout>
                <c:manualLayout>
                  <c:x val="0.10815486343138858"/>
                  <c:y val="0.128568784457327"/>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523-4F1B-8617-418E4B438A44}"/>
                </c:ext>
              </c:extLst>
            </c:dLbl>
            <c:dLbl>
              <c:idx val="1"/>
              <c:layout>
                <c:manualLayout>
                  <c:x val="-0.24558025448295667"/>
                  <c:y val="-2.8217215840461402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523-4F1B-8617-418E4B438A44}"/>
                </c:ext>
              </c:extLst>
            </c:dLbl>
            <c:dLbl>
              <c:idx val="2"/>
              <c:layout>
                <c:manualLayout>
                  <c:x val="-0.33864080936470481"/>
                  <c:y val="-0.11921979969669159"/>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523-4F1B-8617-418E4B438A44}"/>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'Cash Flow'!$E$187:$E$189</c:f>
              <c:strCache>
                <c:ptCount val="3"/>
                <c:pt idx="0">
                  <c:v>Investment</c:v>
                </c:pt>
                <c:pt idx="1">
                  <c:v>Running Account </c:v>
                </c:pt>
                <c:pt idx="2">
                  <c:v>Endowment Funds</c:v>
                </c:pt>
              </c:strCache>
            </c:strRef>
          </c:cat>
          <c:val>
            <c:numRef>
              <c:f>'Cash Flow'!$F$187:$F$189</c:f>
              <c:numCache>
                <c:formatCode>_-* #,##0_-;\-* #,##0_-;_-* "-"??_-;_-@_-</c:formatCode>
                <c:ptCount val="3"/>
                <c:pt idx="0">
                  <c:v>7300000000</c:v>
                </c:pt>
                <c:pt idx="1">
                  <c:v>978208581.78000009</c:v>
                </c:pt>
                <c:pt idx="2">
                  <c:v>1073531864</c:v>
                </c:pt>
              </c:numCache>
            </c:numRef>
          </c:val>
          <c:extLst>
            <c:ext xmlns:c16="http://schemas.microsoft.com/office/drawing/2014/chart" uri="{C3380CC4-5D6E-409C-BE32-E72D297353CC}">
              <c16:uniqueId val="{00000006-9523-4F1B-8617-418E4B438A44}"/>
            </c:ext>
          </c:extLst>
        </c:ser>
        <c:dLbls>
          <c:showLegendKey val="0"/>
          <c:showVal val="1"/>
          <c:showCatName val="1"/>
          <c:showSerName val="0"/>
          <c:showPercent val="0"/>
          <c:showBubbleSize val="0"/>
          <c:showLeaderLines val="1"/>
        </c:dLbls>
        <c:firstSliceAng val="0"/>
        <c:holeSize val="50"/>
      </c:doughnutChart>
      <c:spPr>
        <a:noFill/>
        <a:ln>
          <a:noFill/>
        </a:ln>
        <a:effectLst/>
      </c:spPr>
    </c:plotArea>
    <c:plotVisOnly val="1"/>
    <c:dispBlanksAs val="gap"/>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1"/>
                </a:solidFill>
                <a:latin typeface="Tahoma" panose="020B0604030504040204" pitchFamily="34" charset="0"/>
                <a:ea typeface="Tahoma" panose="020B0604030504040204" pitchFamily="34" charset="0"/>
                <a:cs typeface="Tahoma" panose="020B0604030504040204" pitchFamily="34" charset="0"/>
              </a:rPr>
              <a:t>Allocation of Investment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0553646703253001"/>
          <c:y val="0.13440580856530218"/>
          <c:w val="0.49751292452079854"/>
          <c:h val="0.86695321500653999"/>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DA0-45BF-8016-A6F4954F980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DA0-45BF-8016-A6F4954F980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DA0-45BF-8016-A6F4954F980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DA0-45BF-8016-A6F4954F980B}"/>
              </c:ext>
            </c:extLst>
          </c:dPt>
          <c:dLbls>
            <c:dLbl>
              <c:idx val="0"/>
              <c:layout>
                <c:manualLayout>
                  <c:x val="1.8867766689232391E-2"/>
                  <c:y val="-0.1080968824587325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DA0-45BF-8016-A6F4954F980B}"/>
                </c:ext>
              </c:extLst>
            </c:dLbl>
            <c:dLbl>
              <c:idx val="1"/>
              <c:layout>
                <c:manualLayout>
                  <c:x val="-0.1322485422378139"/>
                  <c:y val="4.399523978258108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DA0-45BF-8016-A6F4954F980B}"/>
                </c:ext>
              </c:extLst>
            </c:dLbl>
            <c:dLbl>
              <c:idx val="2"/>
              <c:layout>
                <c:manualLayout>
                  <c:x val="-9.9452030102435973E-3"/>
                  <c:y val="4.504606446350611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DA0-45BF-8016-A6F4954F980B}"/>
                </c:ext>
              </c:extLst>
            </c:dLbl>
            <c:dLbl>
              <c:idx val="3"/>
              <c:layout>
                <c:manualLayout>
                  <c:x val="-5.180443991832144E-2"/>
                  <c:y val="-5.6789995520581922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DA0-45BF-8016-A6F4954F980B}"/>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'Cash Flow'!$E$192:$E$195</c:f>
              <c:strCache>
                <c:ptCount val="4"/>
                <c:pt idx="0">
                  <c:v>Alfalah</c:v>
                </c:pt>
                <c:pt idx="1">
                  <c:v>BOP</c:v>
                </c:pt>
                <c:pt idx="2">
                  <c:v>Askari Bank</c:v>
                </c:pt>
                <c:pt idx="3">
                  <c:v>HBL</c:v>
                </c:pt>
              </c:strCache>
            </c:strRef>
          </c:cat>
          <c:val>
            <c:numRef>
              <c:f>'Cash Flow'!$F$192:$F$195</c:f>
              <c:numCache>
                <c:formatCode>_-"Rs"* #,##0_-;\-"Rs"* #,##0_-;_-"Rs"* "-"_-;_-@_-</c:formatCode>
                <c:ptCount val="4"/>
                <c:pt idx="0">
                  <c:v>2650000000</c:v>
                </c:pt>
                <c:pt idx="1">
                  <c:v>2150000000</c:v>
                </c:pt>
                <c:pt idx="2">
                  <c:v>1250000000</c:v>
                </c:pt>
                <c:pt idx="3">
                  <c:v>1250000000</c:v>
                </c:pt>
              </c:numCache>
            </c:numRef>
          </c:val>
          <c:extLst>
            <c:ext xmlns:c16="http://schemas.microsoft.com/office/drawing/2014/chart" uri="{C3380CC4-5D6E-409C-BE32-E72D297353CC}">
              <c16:uniqueId val="{00000008-8DA0-45BF-8016-A6F4954F980B}"/>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1"/>
                </a:solidFill>
                <a:latin typeface="Tahoma" panose="020B0604030504040204" pitchFamily="34" charset="0"/>
                <a:ea typeface="Tahoma" panose="020B0604030504040204" pitchFamily="34" charset="0"/>
                <a:cs typeface="Tahoma" panose="020B0604030504040204" pitchFamily="34" charset="0"/>
              </a:rPr>
              <a:t>Closing Balance ended June 30,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'Cash Flow'!$V$181:$V$199</c:f>
              <c:strCache>
                <c:ptCount val="19"/>
                <c:pt idx="0">
                  <c:v>Askari Bank Main</c:v>
                </c:pt>
                <c:pt idx="1">
                  <c:v>Askari Bank Wedding Gift</c:v>
                </c:pt>
                <c:pt idx="2">
                  <c:v>Askari Bank Funeral Charges</c:v>
                </c:pt>
                <c:pt idx="3">
                  <c:v>Askari Bank Last Basic Pay</c:v>
                </c:pt>
                <c:pt idx="4">
                  <c:v>Askari Bank -Loan/Compensation</c:v>
                </c:pt>
                <c:pt idx="5">
                  <c:v>Askari Bank -MA</c:v>
                </c:pt>
                <c:pt idx="6">
                  <c:v>Askari Bank -Medical/ financial/Legal Assistance</c:v>
                </c:pt>
                <c:pt idx="7">
                  <c:v>Askari Bank-Education Scholarship</c:v>
                </c:pt>
                <c:pt idx="8">
                  <c:v>Askari Bank  -DIG Welfare</c:v>
                </c:pt>
                <c:pt idx="9">
                  <c:v>Police Welfare Project -Officers Mess (Marquee)</c:v>
                </c:pt>
                <c:pt idx="10">
                  <c:v>Al- Falah Current</c:v>
                </c:pt>
                <c:pt idx="11">
                  <c:v>Al- Falah Saving</c:v>
                </c:pt>
                <c:pt idx="12">
                  <c:v>BOP (CPO Canteen)</c:v>
                </c:pt>
                <c:pt idx="13">
                  <c:v>NBP 20% Project Income</c:v>
                </c:pt>
                <c:pt idx="14">
                  <c:v>NBP Police Club ( Officer Mess Q Lines &amp; Chung)</c:v>
                </c:pt>
                <c:pt idx="15">
                  <c:v>HBL POLWEL Petrol Pump </c:v>
                </c:pt>
                <c:pt idx="16">
                  <c:v>Askari Bank Endowment (Legal Financial Assistance)</c:v>
                </c:pt>
                <c:pt idx="17">
                  <c:v>Askari Bank Endowment (Shuhada House)</c:v>
                </c:pt>
                <c:pt idx="18">
                  <c:v>Al- Falah (Endowment)</c:v>
                </c:pt>
              </c:strCache>
            </c:strRef>
          </c:cat>
          <c:val>
            <c:numRef>
              <c:f>'Cash Flow'!$W$181:$W$199</c:f>
              <c:numCache>
                <c:formatCode>#,##0</c:formatCode>
                <c:ptCount val="19"/>
                <c:pt idx="0">
                  <c:v>242578326.91999999</c:v>
                </c:pt>
                <c:pt idx="1">
                  <c:v>59866615.890000001</c:v>
                </c:pt>
                <c:pt idx="2">
                  <c:v>5940735.4400000004</c:v>
                </c:pt>
                <c:pt idx="3">
                  <c:v>46560252.100000001</c:v>
                </c:pt>
                <c:pt idx="4">
                  <c:v>416007.41</c:v>
                </c:pt>
                <c:pt idx="5">
                  <c:v>45755283.740000002</c:v>
                </c:pt>
                <c:pt idx="6">
                  <c:v>22472154.600000001</c:v>
                </c:pt>
                <c:pt idx="7">
                  <c:v>224008987.41999999</c:v>
                </c:pt>
                <c:pt idx="8">
                  <c:v>175786188.00999999</c:v>
                </c:pt>
                <c:pt idx="9">
                  <c:v>1616963.61</c:v>
                </c:pt>
                <c:pt idx="10">
                  <c:v>58032</c:v>
                </c:pt>
                <c:pt idx="11">
                  <c:v>53528</c:v>
                </c:pt>
                <c:pt idx="12">
                  <c:v>269534.48</c:v>
                </c:pt>
                <c:pt idx="13">
                  <c:v>90882954.159999996</c:v>
                </c:pt>
                <c:pt idx="14">
                  <c:v>5548706</c:v>
                </c:pt>
                <c:pt idx="15">
                  <c:v>56394312</c:v>
                </c:pt>
                <c:pt idx="16">
                  <c:v>45837100</c:v>
                </c:pt>
                <c:pt idx="17">
                  <c:v>220000100</c:v>
                </c:pt>
                <c:pt idx="18">
                  <c:v>807694664</c:v>
                </c:pt>
              </c:numCache>
            </c:numRef>
          </c:val>
          <c:extLst>
            <c:ext xmlns:c16="http://schemas.microsoft.com/office/drawing/2014/chart" uri="{C3380CC4-5D6E-409C-BE32-E72D297353CC}">
              <c16:uniqueId val="{00000000-F7F7-4101-84C4-8C5BBB2C0F4A}"/>
            </c:ext>
          </c:extLst>
        </c:ser>
        <c:dLbls>
          <c:showLegendKey val="0"/>
          <c:showVal val="1"/>
          <c:showCatName val="0"/>
          <c:showSerName val="0"/>
          <c:showPercent val="0"/>
          <c:showBubbleSize val="0"/>
        </c:dLbls>
        <c:gapWidth val="150"/>
        <c:overlap val="-25"/>
        <c:axId val="1117409744"/>
        <c:axId val="1117410288"/>
      </c:barChart>
      <c:catAx>
        <c:axId val="1117409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Tahoma" panose="020B0604030504040204" pitchFamily="34" charset="0"/>
                <a:ea typeface="Tahoma" panose="020B0604030504040204" pitchFamily="34" charset="0"/>
                <a:cs typeface="Tahoma" panose="020B0604030504040204" pitchFamily="34" charset="0"/>
              </a:defRPr>
            </a:pPr>
            <a:endParaRPr lang="en-US"/>
          </a:p>
        </c:txPr>
        <c:crossAx val="1117410288"/>
        <c:crosses val="autoZero"/>
        <c:auto val="1"/>
        <c:lblAlgn val="ctr"/>
        <c:lblOffset val="100"/>
        <c:noMultiLvlLbl val="0"/>
      </c:catAx>
      <c:valAx>
        <c:axId val="1117410288"/>
        <c:scaling>
          <c:orientation val="minMax"/>
        </c:scaling>
        <c:delete val="1"/>
        <c:axPos val="b"/>
        <c:numFmt formatCode="#,##0" sourceLinked="1"/>
        <c:majorTickMark val="none"/>
        <c:minorTickMark val="none"/>
        <c:tickLblPos val="nextTo"/>
        <c:crossAx val="1117409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a:solidFill>
                  <a:schemeClr val="tx1"/>
                </a:solidFill>
                <a:latin typeface="Tahoma" panose="020B0604030504040204" pitchFamily="34" charset="0"/>
                <a:ea typeface="Tahoma" panose="020B0604030504040204" pitchFamily="34" charset="0"/>
                <a:cs typeface="Tahoma" panose="020B0604030504040204" pitchFamily="34" charset="0"/>
              </a:rPr>
              <a:t>Funds Position = Rs. 9,618,652,646</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2866466973527419"/>
          <c:y val="0.21517476524900458"/>
          <c:w val="0.60000018692025525"/>
          <c:h val="0.7280866937614916"/>
        </c:manualLayout>
      </c:layout>
      <c:doughnutChart>
        <c:varyColors val="1"/>
        <c:ser>
          <c:idx val="0"/>
          <c:order val="0"/>
          <c:dPt>
            <c:idx val="0"/>
            <c:bubble3D val="0"/>
            <c:explosion val="9"/>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AED-4DDD-9B20-BCDBDAA4A330}"/>
              </c:ext>
            </c:extLst>
          </c:dPt>
          <c:dPt>
            <c:idx val="1"/>
            <c:bubble3D val="0"/>
            <c:explosion val="5"/>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AED-4DDD-9B20-BCDBDAA4A330}"/>
              </c:ext>
            </c:extLst>
          </c:dPt>
          <c:dPt>
            <c:idx val="2"/>
            <c:bubble3D val="0"/>
            <c:explosion val="9"/>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AED-4DDD-9B20-BCDBDAA4A330}"/>
              </c:ext>
            </c:extLst>
          </c:dPt>
          <c:dLbls>
            <c:dLbl>
              <c:idx val="0"/>
              <c:layout>
                <c:manualLayout>
                  <c:x val="0.10815486343138858"/>
                  <c:y val="0.128568784457327"/>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AED-4DDD-9B20-BCDBDAA4A330}"/>
                </c:ext>
              </c:extLst>
            </c:dLbl>
            <c:dLbl>
              <c:idx val="1"/>
              <c:layout>
                <c:manualLayout>
                  <c:x val="-0.24558025448295667"/>
                  <c:y val="-2.8217215840461402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AED-4DDD-9B20-BCDBDAA4A330}"/>
                </c:ext>
              </c:extLst>
            </c:dLbl>
            <c:dLbl>
              <c:idx val="2"/>
              <c:layout>
                <c:manualLayout>
                  <c:x val="-0.33864080936470481"/>
                  <c:y val="-0.11921979969669159"/>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AED-4DDD-9B20-BCDBDAA4A330}"/>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'Cash Flow (2)'!$E$187:$E$189</c:f>
              <c:strCache>
                <c:ptCount val="3"/>
                <c:pt idx="0">
                  <c:v>Investment</c:v>
                </c:pt>
                <c:pt idx="1">
                  <c:v>Running Account </c:v>
                </c:pt>
                <c:pt idx="2">
                  <c:v>Endowment Funds</c:v>
                </c:pt>
              </c:strCache>
            </c:strRef>
          </c:cat>
          <c:val>
            <c:numRef>
              <c:f>'Cash Flow (2)'!$F$187:$F$189</c:f>
              <c:numCache>
                <c:formatCode>_-* #,##0_-;\-* #,##0_-;_-* "-"??_-;_-@_-</c:formatCode>
                <c:ptCount val="3"/>
                <c:pt idx="0">
                  <c:v>7300000000</c:v>
                </c:pt>
                <c:pt idx="1">
                  <c:v>978208581.78000009</c:v>
                </c:pt>
                <c:pt idx="2">
                  <c:v>1073531864</c:v>
                </c:pt>
              </c:numCache>
            </c:numRef>
          </c:val>
          <c:extLst>
            <c:ext xmlns:c16="http://schemas.microsoft.com/office/drawing/2014/chart" uri="{C3380CC4-5D6E-409C-BE32-E72D297353CC}">
              <c16:uniqueId val="{00000006-9AED-4DDD-9B20-BCDBDAA4A330}"/>
            </c:ext>
          </c:extLst>
        </c:ser>
        <c:dLbls>
          <c:showLegendKey val="0"/>
          <c:showVal val="1"/>
          <c:showCatName val="1"/>
          <c:showSerName val="0"/>
          <c:showPercent val="0"/>
          <c:showBubbleSize val="0"/>
          <c:showLeaderLines val="1"/>
        </c:dLbls>
        <c:firstSliceAng val="0"/>
        <c:holeSize val="50"/>
      </c:doughnutChart>
      <c:spPr>
        <a:noFill/>
        <a:ln>
          <a:noFill/>
        </a:ln>
        <a:effectLst/>
      </c:spPr>
    </c:plotArea>
    <c:plotVisOnly val="1"/>
    <c:dispBlanksAs val="gap"/>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1"/>
                </a:solidFill>
                <a:latin typeface="Tahoma" panose="020B0604030504040204" pitchFamily="34" charset="0"/>
                <a:ea typeface="Tahoma" panose="020B0604030504040204" pitchFamily="34" charset="0"/>
                <a:cs typeface="Tahoma" panose="020B0604030504040204" pitchFamily="34" charset="0"/>
              </a:rPr>
              <a:t>Allocation of Investment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0553646703253001"/>
          <c:y val="0.13440580856530218"/>
          <c:w val="0.49751292452079854"/>
          <c:h val="0.86695321500653999"/>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410-4316-BAA1-1B536C63D41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410-4316-BAA1-1B536C63D41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410-4316-BAA1-1B536C63D41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410-4316-BAA1-1B536C63D418}"/>
              </c:ext>
            </c:extLst>
          </c:dPt>
          <c:dLbls>
            <c:dLbl>
              <c:idx val="0"/>
              <c:layout>
                <c:manualLayout>
                  <c:x val="1.8867766689232391E-2"/>
                  <c:y val="-0.1080968824587325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410-4316-BAA1-1B536C63D418}"/>
                </c:ext>
              </c:extLst>
            </c:dLbl>
            <c:dLbl>
              <c:idx val="1"/>
              <c:layout>
                <c:manualLayout>
                  <c:x val="-0.1322485422378139"/>
                  <c:y val="4.399523978258108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410-4316-BAA1-1B536C63D418}"/>
                </c:ext>
              </c:extLst>
            </c:dLbl>
            <c:dLbl>
              <c:idx val="2"/>
              <c:layout>
                <c:manualLayout>
                  <c:x val="-9.9452030102435973E-3"/>
                  <c:y val="4.504606446350611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410-4316-BAA1-1B536C63D418}"/>
                </c:ext>
              </c:extLst>
            </c:dLbl>
            <c:dLbl>
              <c:idx val="3"/>
              <c:layout>
                <c:manualLayout>
                  <c:x val="-5.180443991832144E-2"/>
                  <c:y val="-5.6789995520581922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A410-4316-BAA1-1B536C63D418}"/>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'Cash Flow (2)'!$E$192:$E$195</c:f>
              <c:strCache>
                <c:ptCount val="4"/>
                <c:pt idx="0">
                  <c:v>Alfalah</c:v>
                </c:pt>
                <c:pt idx="1">
                  <c:v>BOP</c:v>
                </c:pt>
                <c:pt idx="2">
                  <c:v>Askari Bank</c:v>
                </c:pt>
                <c:pt idx="3">
                  <c:v>HBL</c:v>
                </c:pt>
              </c:strCache>
            </c:strRef>
          </c:cat>
          <c:val>
            <c:numRef>
              <c:f>'Cash Flow (2)'!$F$192:$F$195</c:f>
              <c:numCache>
                <c:formatCode>_-"Rs"* #,##0_-;\-"Rs"* #,##0_-;_-"Rs"* "-"_-;_-@_-</c:formatCode>
                <c:ptCount val="4"/>
                <c:pt idx="0">
                  <c:v>2650000000</c:v>
                </c:pt>
                <c:pt idx="1">
                  <c:v>2150000000</c:v>
                </c:pt>
                <c:pt idx="2">
                  <c:v>1250000000</c:v>
                </c:pt>
                <c:pt idx="3">
                  <c:v>1250000000</c:v>
                </c:pt>
              </c:numCache>
            </c:numRef>
          </c:val>
          <c:extLst>
            <c:ext xmlns:c16="http://schemas.microsoft.com/office/drawing/2014/chart" uri="{C3380CC4-5D6E-409C-BE32-E72D297353CC}">
              <c16:uniqueId val="{00000008-A410-4316-BAA1-1B536C63D418}"/>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image" Target="../media/image1.gif"/></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image" Target="../media/image1.gif"/></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image" Target="../media/image1.gif"/><Relationship Id="rId5" Type="http://schemas.openxmlformats.org/officeDocument/2006/relationships/chart" Target="../charts/chart18.xml"/><Relationship Id="rId4" Type="http://schemas.openxmlformats.org/officeDocument/2006/relationships/chart" Target="../charts/chart1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6</xdr:col>
      <xdr:colOff>28575</xdr:colOff>
      <xdr:row>11</xdr:row>
      <xdr:rowOff>114300</xdr:rowOff>
    </xdr:from>
    <xdr:to>
      <xdr:col>13</xdr:col>
      <xdr:colOff>152400</xdr:colOff>
      <xdr:row>28</xdr:row>
      <xdr:rowOff>66675</xdr:rowOff>
    </xdr:to>
    <xdr:graphicFrame macro="">
      <xdr:nvGraphicFramePr>
        <xdr:cNvPr id="2" name="Chart 1">
          <a:extLst>
            <a:ext uri="{FF2B5EF4-FFF2-40B4-BE49-F238E27FC236}">
              <a16:creationId xmlns:a16="http://schemas.microsoft.com/office/drawing/2014/main" id="{05FB0764-5EAD-4EB0-9B59-205218C702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947736</xdr:colOff>
      <xdr:row>11</xdr:row>
      <xdr:rowOff>104775</xdr:rowOff>
    </xdr:from>
    <xdr:to>
      <xdr:col>5</xdr:col>
      <xdr:colOff>276224</xdr:colOff>
      <xdr:row>28</xdr:row>
      <xdr:rowOff>38100</xdr:rowOff>
    </xdr:to>
    <xdr:graphicFrame macro="">
      <xdr:nvGraphicFramePr>
        <xdr:cNvPr id="3" name="Chart 2">
          <a:extLst>
            <a:ext uri="{FF2B5EF4-FFF2-40B4-BE49-F238E27FC236}">
              <a16:creationId xmlns:a16="http://schemas.microsoft.com/office/drawing/2014/main" id="{2215F8A3-D201-4DD7-A675-0A5671D0C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80962</xdr:colOff>
      <xdr:row>28</xdr:row>
      <xdr:rowOff>142875</xdr:rowOff>
    </xdr:from>
    <xdr:to>
      <xdr:col>13</xdr:col>
      <xdr:colOff>66675</xdr:colOff>
      <xdr:row>42</xdr:row>
      <xdr:rowOff>85725</xdr:rowOff>
    </xdr:to>
    <xdr:graphicFrame macro="">
      <xdr:nvGraphicFramePr>
        <xdr:cNvPr id="4" name="Chart 3">
          <a:extLst>
            <a:ext uri="{FF2B5EF4-FFF2-40B4-BE49-F238E27FC236}">
              <a16:creationId xmlns:a16="http://schemas.microsoft.com/office/drawing/2014/main" id="{77F014C0-0B22-46D2-940F-9254B19E6E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957262</xdr:colOff>
      <xdr:row>29</xdr:row>
      <xdr:rowOff>19050</xdr:rowOff>
    </xdr:from>
    <xdr:to>
      <xdr:col>5</xdr:col>
      <xdr:colOff>257175</xdr:colOff>
      <xdr:row>42</xdr:row>
      <xdr:rowOff>161925</xdr:rowOff>
    </xdr:to>
    <xdr:graphicFrame macro="">
      <xdr:nvGraphicFramePr>
        <xdr:cNvPr id="5" name="Chart 4">
          <a:extLst>
            <a:ext uri="{FF2B5EF4-FFF2-40B4-BE49-F238E27FC236}">
              <a16:creationId xmlns:a16="http://schemas.microsoft.com/office/drawing/2014/main" id="{F8665DC2-9D80-44E3-9B03-CFADF8AA02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189057</xdr:colOff>
      <xdr:row>5</xdr:row>
      <xdr:rowOff>1649</xdr:rowOff>
    </xdr:from>
    <xdr:to>
      <xdr:col>3</xdr:col>
      <xdr:colOff>1255568</xdr:colOff>
      <xdr:row>33</xdr:row>
      <xdr:rowOff>145676</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1473490</xdr:colOff>
      <xdr:row>5</xdr:row>
      <xdr:rowOff>11207</xdr:rowOff>
    </xdr:from>
    <xdr:to>
      <xdr:col>20</xdr:col>
      <xdr:colOff>119785</xdr:colOff>
      <xdr:row>33</xdr:row>
      <xdr:rowOff>123264</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1437410</xdr:colOff>
      <xdr:row>5</xdr:row>
      <xdr:rowOff>1</xdr:rowOff>
    </xdr:from>
    <xdr:to>
      <xdr:col>7</xdr:col>
      <xdr:colOff>1350819</xdr:colOff>
      <xdr:row>33</xdr:row>
      <xdr:rowOff>123264</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1160318</xdr:colOff>
      <xdr:row>0</xdr:row>
      <xdr:rowOff>51955</xdr:rowOff>
    </xdr:from>
    <xdr:to>
      <xdr:col>20</xdr:col>
      <xdr:colOff>162149</xdr:colOff>
      <xdr:row>4</xdr:row>
      <xdr:rowOff>86591</xdr:rowOff>
    </xdr:to>
    <xdr:pic>
      <xdr:nvPicPr>
        <xdr:cNvPr id="8" name="Picture 7">
          <a:extLst>
            <a:ext uri="{FF2B5EF4-FFF2-40B4-BE49-F238E27FC236}">
              <a16:creationId xmlns:a16="http://schemas.microsoft.com/office/drawing/2014/main" id="{00000000-0008-0000-0000-000008000000}"/>
            </a:ext>
          </a:extLst>
        </xdr:cNvPr>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846636" y="51955"/>
          <a:ext cx="1201240" cy="1143000"/>
        </a:xfrm>
        <a:prstGeom prst="rect">
          <a:avLst/>
        </a:prstGeom>
        <a:noFill/>
        <a:ln>
          <a:noFill/>
        </a:ln>
      </xdr:spPr>
    </xdr:pic>
    <xdr:clientData/>
  </xdr:twoCellAnchor>
  <xdr:twoCellAnchor>
    <xdr:from>
      <xdr:col>1</xdr:col>
      <xdr:colOff>17317</xdr:colOff>
      <xdr:row>86</xdr:row>
      <xdr:rowOff>173182</xdr:rowOff>
    </xdr:from>
    <xdr:to>
      <xdr:col>20</xdr:col>
      <xdr:colOff>34636</xdr:colOff>
      <xdr:row>110</xdr:row>
      <xdr:rowOff>121227</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277090" y="28090091"/>
          <a:ext cx="20643273" cy="4520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US" sz="2000" b="1">
              <a:latin typeface="Tahoma" panose="020B0604030504040204" pitchFamily="34" charset="0"/>
              <a:ea typeface="Tahoma" panose="020B0604030504040204" pitchFamily="34" charset="0"/>
              <a:cs typeface="Tahoma" panose="020B0604030504040204" pitchFamily="34" charset="0"/>
            </a:rPr>
            <a:t>Notes to Cash Flow Statement:</a:t>
          </a:r>
        </a:p>
        <a:p>
          <a:pPr algn="just"/>
          <a:endParaRPr lang="en-US" sz="2000" b="1">
            <a:latin typeface="Tahoma" panose="020B0604030504040204" pitchFamily="34" charset="0"/>
            <a:ea typeface="Tahoma" panose="020B0604030504040204" pitchFamily="34" charset="0"/>
            <a:cs typeface="Tahoma" panose="020B0604030504040204" pitchFamily="34" charset="0"/>
          </a:endParaRPr>
        </a:p>
        <a:p>
          <a:pPr algn="just"/>
          <a:r>
            <a:rPr lang="en-US" sz="1800" b="0">
              <a:latin typeface="Tahoma" panose="020B0604030504040204" pitchFamily="34" charset="0"/>
              <a:ea typeface="Tahoma" panose="020B0604030504040204" pitchFamily="34" charset="0"/>
              <a:cs typeface="Tahoma" panose="020B0604030504040204" pitchFamily="34" charset="0"/>
            </a:rPr>
            <a:t>1) The expenditure head for Scholarship cases had pending cases for the last two years. However, the pendency of welfare cases has now been resolved, resulting in increased expenditures for this head, aligned with the actual expenses.</a:t>
          </a:r>
        </a:p>
        <a:p>
          <a:pPr algn="just"/>
          <a:endParaRPr lang="en-US" sz="1800" b="0">
            <a:latin typeface="Tahoma" panose="020B0604030504040204" pitchFamily="34" charset="0"/>
            <a:ea typeface="Tahoma" panose="020B0604030504040204" pitchFamily="34" charset="0"/>
            <a:cs typeface="Tahoma" panose="020B0604030504040204" pitchFamily="34" charset="0"/>
          </a:endParaRPr>
        </a:p>
        <a:p>
          <a:pPr algn="just"/>
          <a:r>
            <a:rPr lang="en-US" sz="1800" b="0">
              <a:latin typeface="Tahoma" panose="020B0604030504040204" pitchFamily="34" charset="0"/>
              <a:ea typeface="Tahoma" panose="020B0604030504040204" pitchFamily="34" charset="0"/>
              <a:cs typeface="Tahoma" panose="020B0604030504040204" pitchFamily="34" charset="0"/>
            </a:rPr>
            <a:t>2) To support the Financial Aid for special children, equipment and machinery were purchased under the Medical Financial Aid head. This resulted in an increase in the expenditures for this category. However, it's important to note that the purchase of machinery and equipment was a one-time occurrence and does not fall under the category of repeated expenditures.</a:t>
          </a:r>
        </a:p>
        <a:p>
          <a:pPr algn="just"/>
          <a:endParaRPr lang="en-US" sz="1800" b="0">
            <a:latin typeface="Tahoma" panose="020B0604030504040204" pitchFamily="34" charset="0"/>
            <a:ea typeface="Tahoma" panose="020B0604030504040204" pitchFamily="34" charset="0"/>
            <a:cs typeface="Tahoma" panose="020B0604030504040204" pitchFamily="34" charset="0"/>
          </a:endParaRPr>
        </a:p>
        <a:p>
          <a:pPr algn="just"/>
          <a:r>
            <a:rPr lang="en-US" sz="1800" b="0">
              <a:latin typeface="Tahoma" panose="020B0604030504040204" pitchFamily="34" charset="0"/>
              <a:ea typeface="Tahoma" panose="020B0604030504040204" pitchFamily="34" charset="0"/>
              <a:cs typeface="Tahoma" panose="020B0604030504040204" pitchFamily="34" charset="0"/>
            </a:rPr>
            <a:t>3) The PPWF Regulations 2022 state, 'At least 20% of the funds shall be saved annually from a 3% contribution for investment or income generation purposes.' This situation is alarming, as evident from the financial highlights for the Half-Year Ended June 30, 2023, where the </a:t>
          </a:r>
          <a:r>
            <a:rPr lang="en-US" sz="1800" b="1">
              <a:latin typeface="Tahoma" panose="020B0604030504040204" pitchFamily="34" charset="0"/>
              <a:ea typeface="Tahoma" panose="020B0604030504040204" pitchFamily="34" charset="0"/>
              <a:cs typeface="Tahoma" panose="020B0604030504040204" pitchFamily="34" charset="0"/>
            </a:rPr>
            <a:t>savings</a:t>
          </a:r>
          <a:r>
            <a:rPr lang="en-US" sz="1800" b="0">
              <a:latin typeface="Tahoma" panose="020B0604030504040204" pitchFamily="34" charset="0"/>
              <a:ea typeface="Tahoma" panose="020B0604030504040204" pitchFamily="34" charset="0"/>
              <a:cs typeface="Tahoma" panose="020B0604030504040204" pitchFamily="34" charset="0"/>
            </a:rPr>
            <a:t> rate is </a:t>
          </a:r>
          <a:r>
            <a:rPr lang="en-US" sz="1800" b="1">
              <a:solidFill>
                <a:srgbClr val="FF0000"/>
              </a:solidFill>
              <a:latin typeface="Tahoma" panose="020B0604030504040204" pitchFamily="34" charset="0"/>
              <a:ea typeface="Tahoma" panose="020B0604030504040204" pitchFamily="34" charset="0"/>
              <a:cs typeface="Tahoma" panose="020B0604030504040204" pitchFamily="34" charset="0"/>
            </a:rPr>
            <a:t>-4%</a:t>
          </a:r>
          <a:r>
            <a:rPr lang="en-US" sz="1800" b="0">
              <a:latin typeface="Tahoma" panose="020B0604030504040204" pitchFamily="34" charset="0"/>
              <a:ea typeface="Tahoma" panose="020B0604030504040204" pitchFamily="34" charset="0"/>
              <a:cs typeface="Tahoma" panose="020B0604030504040204" pitchFamily="34" charset="0"/>
            </a:rPr>
            <a:t> based on the 3% contributions received from PPWF members. This matter needs to be revisited, and the Provincial Welfare Board should reevaluate the policies/regulations on the expenditure side.</a:t>
          </a:r>
        </a:p>
        <a:p>
          <a:pPr algn="just"/>
          <a:endParaRPr lang="en-US" sz="1800" b="0">
            <a:latin typeface="Tahoma" panose="020B0604030504040204" pitchFamily="34" charset="0"/>
            <a:ea typeface="Tahoma" panose="020B0604030504040204" pitchFamily="34" charset="0"/>
            <a:cs typeface="Tahoma" panose="020B0604030504040204" pitchFamily="34" charset="0"/>
          </a:endParaRPr>
        </a:p>
        <a:p>
          <a:pPr algn="just"/>
          <a:r>
            <a:rPr lang="en-US" sz="1800" b="0">
              <a:latin typeface="Tahoma" panose="020B0604030504040204" pitchFamily="34" charset="0"/>
              <a:ea typeface="Tahoma" panose="020B0604030504040204" pitchFamily="34" charset="0"/>
              <a:cs typeface="Tahoma" panose="020B0604030504040204" pitchFamily="34" charset="0"/>
            </a:rPr>
            <a:t>4) The amount of expenditures from the Shuhada Children Scholarship Loan account has decreased due to the budgeting of the heads being shifted to the district allocation. All the cases of Shuhada children will now be dealt with by the concerned office from the government budgetary allocation. However, the previous loans provided against this head from the PPWF need to be reconciled and recouped, as they were loans provided from the PPWF.</a:t>
          </a:r>
        </a:p>
        <a:p>
          <a:pPr algn="just"/>
          <a:endParaRPr lang="en-US" sz="1800" b="0">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189057</xdr:colOff>
      <xdr:row>5</xdr:row>
      <xdr:rowOff>1649</xdr:rowOff>
    </xdr:from>
    <xdr:to>
      <xdr:col>3</xdr:col>
      <xdr:colOff>1255568</xdr:colOff>
      <xdr:row>33</xdr:row>
      <xdr:rowOff>145676</xdr:rowOff>
    </xdr:to>
    <xdr:graphicFrame macro="">
      <xdr:nvGraphicFramePr>
        <xdr:cNvPr id="2" name="Chart 1">
          <a:extLst>
            <a:ext uri="{FF2B5EF4-FFF2-40B4-BE49-F238E27FC236}">
              <a16:creationId xmlns:a16="http://schemas.microsoft.com/office/drawing/2014/main" id="{36AB7A19-7605-416F-BCDC-E62704C217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1473490</xdr:colOff>
      <xdr:row>5</xdr:row>
      <xdr:rowOff>11207</xdr:rowOff>
    </xdr:from>
    <xdr:to>
      <xdr:col>20</xdr:col>
      <xdr:colOff>119785</xdr:colOff>
      <xdr:row>33</xdr:row>
      <xdr:rowOff>123264</xdr:rowOff>
    </xdr:to>
    <xdr:graphicFrame macro="">
      <xdr:nvGraphicFramePr>
        <xdr:cNvPr id="3" name="Chart 2">
          <a:extLst>
            <a:ext uri="{FF2B5EF4-FFF2-40B4-BE49-F238E27FC236}">
              <a16:creationId xmlns:a16="http://schemas.microsoft.com/office/drawing/2014/main" id="{21615B23-142D-4C8E-B5DE-AEFE5D9ED1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1437410</xdr:colOff>
      <xdr:row>5</xdr:row>
      <xdr:rowOff>1</xdr:rowOff>
    </xdr:from>
    <xdr:to>
      <xdr:col>7</xdr:col>
      <xdr:colOff>1350819</xdr:colOff>
      <xdr:row>33</xdr:row>
      <xdr:rowOff>123264</xdr:rowOff>
    </xdr:to>
    <xdr:graphicFrame macro="">
      <xdr:nvGraphicFramePr>
        <xdr:cNvPr id="4" name="Chart 3">
          <a:extLst>
            <a:ext uri="{FF2B5EF4-FFF2-40B4-BE49-F238E27FC236}">
              <a16:creationId xmlns:a16="http://schemas.microsoft.com/office/drawing/2014/main" id="{D23CC4A0-82BA-45D4-9194-B120E81287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1160318</xdr:colOff>
      <xdr:row>0</xdr:row>
      <xdr:rowOff>51955</xdr:rowOff>
    </xdr:from>
    <xdr:to>
      <xdr:col>20</xdr:col>
      <xdr:colOff>162149</xdr:colOff>
      <xdr:row>4</xdr:row>
      <xdr:rowOff>86591</xdr:rowOff>
    </xdr:to>
    <xdr:pic>
      <xdr:nvPicPr>
        <xdr:cNvPr id="5" name="Picture 4">
          <a:extLst>
            <a:ext uri="{FF2B5EF4-FFF2-40B4-BE49-F238E27FC236}">
              <a16:creationId xmlns:a16="http://schemas.microsoft.com/office/drawing/2014/main" id="{70C25B87-6304-4304-A84E-D40032D0B1EB}"/>
            </a:ext>
          </a:extLst>
        </xdr:cNvPr>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848368" y="51955"/>
          <a:ext cx="1192581" cy="1139536"/>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28575</xdr:colOff>
      <xdr:row>11</xdr:row>
      <xdr:rowOff>114300</xdr:rowOff>
    </xdr:from>
    <xdr:to>
      <xdr:col>13</xdr:col>
      <xdr:colOff>152400</xdr:colOff>
      <xdr:row>28</xdr:row>
      <xdr:rowOff>66675</xdr:rowOff>
    </xdr:to>
    <xdr:graphicFrame macro="">
      <xdr:nvGraphicFramePr>
        <xdr:cNvPr id="2" name="Chart 1">
          <a:extLst>
            <a:ext uri="{FF2B5EF4-FFF2-40B4-BE49-F238E27FC236}">
              <a16:creationId xmlns:a16="http://schemas.microsoft.com/office/drawing/2014/main" id="{C2907081-F260-4D22-A9FF-2D5CDB1D15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947736</xdr:colOff>
      <xdr:row>11</xdr:row>
      <xdr:rowOff>104775</xdr:rowOff>
    </xdr:from>
    <xdr:to>
      <xdr:col>5</xdr:col>
      <xdr:colOff>276224</xdr:colOff>
      <xdr:row>28</xdr:row>
      <xdr:rowOff>38100</xdr:rowOff>
    </xdr:to>
    <xdr:graphicFrame macro="">
      <xdr:nvGraphicFramePr>
        <xdr:cNvPr id="3" name="Chart 2">
          <a:extLst>
            <a:ext uri="{FF2B5EF4-FFF2-40B4-BE49-F238E27FC236}">
              <a16:creationId xmlns:a16="http://schemas.microsoft.com/office/drawing/2014/main" id="{80A5835A-0E17-463D-ACF6-D0AF418DDC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80962</xdr:colOff>
      <xdr:row>28</xdr:row>
      <xdr:rowOff>142875</xdr:rowOff>
    </xdr:from>
    <xdr:to>
      <xdr:col>13</xdr:col>
      <xdr:colOff>66675</xdr:colOff>
      <xdr:row>42</xdr:row>
      <xdr:rowOff>85725</xdr:rowOff>
    </xdr:to>
    <xdr:graphicFrame macro="">
      <xdr:nvGraphicFramePr>
        <xdr:cNvPr id="4" name="Chart 3">
          <a:extLst>
            <a:ext uri="{FF2B5EF4-FFF2-40B4-BE49-F238E27FC236}">
              <a16:creationId xmlns:a16="http://schemas.microsoft.com/office/drawing/2014/main" id="{AA5EBB39-F9D8-4315-A252-1CB940BD8D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957262</xdr:colOff>
      <xdr:row>29</xdr:row>
      <xdr:rowOff>19050</xdr:rowOff>
    </xdr:from>
    <xdr:to>
      <xdr:col>5</xdr:col>
      <xdr:colOff>257175</xdr:colOff>
      <xdr:row>42</xdr:row>
      <xdr:rowOff>161925</xdr:rowOff>
    </xdr:to>
    <xdr:graphicFrame macro="">
      <xdr:nvGraphicFramePr>
        <xdr:cNvPr id="5" name="Chart 4">
          <a:extLst>
            <a:ext uri="{FF2B5EF4-FFF2-40B4-BE49-F238E27FC236}">
              <a16:creationId xmlns:a16="http://schemas.microsoft.com/office/drawing/2014/main" id="{5D2BFB31-6DDA-49D2-8EDD-3331131ED5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19</xdr:col>
      <xdr:colOff>1047749</xdr:colOff>
      <xdr:row>0</xdr:row>
      <xdr:rowOff>51954</xdr:rowOff>
    </xdr:from>
    <xdr:to>
      <xdr:col>20</xdr:col>
      <xdr:colOff>162149</xdr:colOff>
      <xdr:row>5</xdr:row>
      <xdr:rowOff>47624</xdr:rowOff>
    </xdr:to>
    <xdr:pic>
      <xdr:nvPicPr>
        <xdr:cNvPr id="5" name="Picture 4">
          <a:extLst>
            <a:ext uri="{FF2B5EF4-FFF2-40B4-BE49-F238E27FC236}">
              <a16:creationId xmlns:a16="http://schemas.microsoft.com/office/drawing/2014/main" id="{198F91A3-2132-4493-BFCC-B85D6683A8D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788187" y="51954"/>
          <a:ext cx="1305150" cy="1210108"/>
        </a:xfrm>
        <a:prstGeom prst="rect">
          <a:avLst/>
        </a:prstGeom>
        <a:noFill/>
        <a:ln>
          <a:noFill/>
        </a:ln>
      </xdr:spPr>
    </xdr:pic>
    <xdr:clientData/>
  </xdr:twoCellAnchor>
  <xdr:twoCellAnchor>
    <xdr:from>
      <xdr:col>6</xdr:col>
      <xdr:colOff>762000</xdr:colOff>
      <xdr:row>5</xdr:row>
      <xdr:rowOff>51955</xdr:rowOff>
    </xdr:from>
    <xdr:to>
      <xdr:col>19</xdr:col>
      <xdr:colOff>2182090</xdr:colOff>
      <xdr:row>36</xdr:row>
      <xdr:rowOff>73875</xdr:rowOff>
    </xdr:to>
    <xdr:graphicFrame macro="">
      <xdr:nvGraphicFramePr>
        <xdr:cNvPr id="6" name="Chart 5">
          <a:extLst>
            <a:ext uri="{FF2B5EF4-FFF2-40B4-BE49-F238E27FC236}">
              <a16:creationId xmlns:a16="http://schemas.microsoft.com/office/drawing/2014/main" id="{62254EF2-44EC-4E4A-B568-2B7668AC9F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207818</xdr:colOff>
      <xdr:row>5</xdr:row>
      <xdr:rowOff>41563</xdr:rowOff>
    </xdr:from>
    <xdr:to>
      <xdr:col>6</xdr:col>
      <xdr:colOff>547687</xdr:colOff>
      <xdr:row>35</xdr:row>
      <xdr:rowOff>173181</xdr:rowOff>
    </xdr:to>
    <xdr:graphicFrame macro="">
      <xdr:nvGraphicFramePr>
        <xdr:cNvPr id="7" name="Chart 6">
          <a:extLst>
            <a:ext uri="{FF2B5EF4-FFF2-40B4-BE49-F238E27FC236}">
              <a16:creationId xmlns:a16="http://schemas.microsoft.com/office/drawing/2014/main" id="{96696C37-2230-4BA2-A473-6E52C18B81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785812</xdr:colOff>
      <xdr:row>37</xdr:row>
      <xdr:rowOff>166688</xdr:rowOff>
    </xdr:from>
    <xdr:to>
      <xdr:col>19</xdr:col>
      <xdr:colOff>2164774</xdr:colOff>
      <xdr:row>79</xdr:row>
      <xdr:rowOff>138546</xdr:rowOff>
    </xdr:to>
    <xdr:graphicFrame macro="">
      <xdr:nvGraphicFramePr>
        <xdr:cNvPr id="8" name="Chart 7">
          <a:extLst>
            <a:ext uri="{FF2B5EF4-FFF2-40B4-BE49-F238E27FC236}">
              <a16:creationId xmlns:a16="http://schemas.microsoft.com/office/drawing/2014/main" id="{7C3B80B9-9058-4FFA-A4D5-0D1352DB6F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34637</xdr:colOff>
      <xdr:row>37</xdr:row>
      <xdr:rowOff>142874</xdr:rowOff>
    </xdr:from>
    <xdr:to>
      <xdr:col>6</xdr:col>
      <xdr:colOff>476250</xdr:colOff>
      <xdr:row>80</xdr:row>
      <xdr:rowOff>1</xdr:rowOff>
    </xdr:to>
    <xdr:graphicFrame macro="">
      <xdr:nvGraphicFramePr>
        <xdr:cNvPr id="9" name="Chart 8">
          <a:extLst>
            <a:ext uri="{FF2B5EF4-FFF2-40B4-BE49-F238E27FC236}">
              <a16:creationId xmlns:a16="http://schemas.microsoft.com/office/drawing/2014/main" id="{95040032-DA80-46A3-A34C-49C79ACBFB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904874</xdr:colOff>
      <xdr:row>7</xdr:row>
      <xdr:rowOff>23811</xdr:rowOff>
    </xdr:from>
    <xdr:to>
      <xdr:col>6</xdr:col>
      <xdr:colOff>285749</xdr:colOff>
      <xdr:row>13</xdr:row>
      <xdr:rowOff>71436</xdr:rowOff>
    </xdr:to>
    <xdr:sp macro="" textlink="">
      <xdr:nvSpPr>
        <xdr:cNvPr id="10" name="TextBox 9">
          <a:extLst>
            <a:ext uri="{FF2B5EF4-FFF2-40B4-BE49-F238E27FC236}">
              <a16:creationId xmlns:a16="http://schemas.microsoft.com/office/drawing/2014/main" id="{9F4463DE-46BB-4BCE-B4DF-4AE233F886D1}"/>
            </a:ext>
          </a:extLst>
        </xdr:cNvPr>
        <xdr:cNvSpPr txBox="1"/>
      </xdr:nvSpPr>
      <xdr:spPr>
        <a:xfrm>
          <a:off x="7286624" y="1809749"/>
          <a:ext cx="2762250" cy="1571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US" sz="1800" b="1" i="0">
              <a:solidFill>
                <a:schemeClr val="tx1"/>
              </a:solidFill>
              <a:effectLst/>
              <a:latin typeface="Tahoma" panose="020B0604030504040204" pitchFamily="34" charset="0"/>
              <a:ea typeface="Tahoma" panose="020B0604030504040204" pitchFamily="34" charset="0"/>
              <a:cs typeface="Tahoma" panose="020B0604030504040204" pitchFamily="34" charset="0"/>
            </a:rPr>
            <a:t>191% Projected Increase </a:t>
          </a:r>
          <a:r>
            <a:rPr lang="en-US" sz="1800" b="0" i="0">
              <a:solidFill>
                <a:schemeClr val="tx1"/>
              </a:solidFill>
              <a:effectLst/>
              <a:latin typeface="Tahoma" panose="020B0604030504040204" pitchFamily="34" charset="0"/>
              <a:ea typeface="Tahoma" panose="020B0604030504040204" pitchFamily="34" charset="0"/>
              <a:cs typeface="Tahoma" panose="020B0604030504040204" pitchFamily="34" charset="0"/>
            </a:rPr>
            <a:t>in Expenditures: January to Dec 2023 vs. Full Year 2022</a:t>
          </a:r>
        </a:p>
      </xdr:txBody>
    </xdr:sp>
    <xdr:clientData/>
  </xdr:twoCellAnchor>
  <xdr:twoCellAnchor>
    <xdr:from>
      <xdr:col>6</xdr:col>
      <xdr:colOff>166688</xdr:colOff>
      <xdr:row>6</xdr:row>
      <xdr:rowOff>47625</xdr:rowOff>
    </xdr:from>
    <xdr:to>
      <xdr:col>6</xdr:col>
      <xdr:colOff>619125</xdr:colOff>
      <xdr:row>10</xdr:row>
      <xdr:rowOff>166687</xdr:rowOff>
    </xdr:to>
    <xdr:sp macro="" textlink="">
      <xdr:nvSpPr>
        <xdr:cNvPr id="11" name="Arrow: Right 10">
          <a:extLst>
            <a:ext uri="{FF2B5EF4-FFF2-40B4-BE49-F238E27FC236}">
              <a16:creationId xmlns:a16="http://schemas.microsoft.com/office/drawing/2014/main" id="{832739E3-BBB5-43B6-A603-84EA92777365}"/>
            </a:ext>
          </a:extLst>
        </xdr:cNvPr>
        <xdr:cNvSpPr/>
      </xdr:nvSpPr>
      <xdr:spPr>
        <a:xfrm rot="16200000">
          <a:off x="9525001" y="1952625"/>
          <a:ext cx="1262062" cy="452437"/>
        </a:xfrm>
        <a:prstGeom prst="rightArrow">
          <a:avLst/>
        </a:prstGeom>
        <a:solidFill>
          <a:schemeClr val="tx1"/>
        </a:solidFill>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US" sz="1100">
            <a:solidFill>
              <a:schemeClr val="tx1"/>
            </a:solidFill>
          </a:endParaRPr>
        </a:p>
      </xdr:txBody>
    </xdr:sp>
    <xdr:clientData/>
  </xdr:twoCellAnchor>
  <xdr:twoCellAnchor>
    <xdr:from>
      <xdr:col>0</xdr:col>
      <xdr:colOff>0</xdr:colOff>
      <xdr:row>75</xdr:row>
      <xdr:rowOff>71436</xdr:rowOff>
    </xdr:from>
    <xdr:to>
      <xdr:col>18</xdr:col>
      <xdr:colOff>-1</xdr:colOff>
      <xdr:row>80</xdr:row>
      <xdr:rowOff>71436</xdr:rowOff>
    </xdr:to>
    <xdr:sp macro="" textlink="">
      <xdr:nvSpPr>
        <xdr:cNvPr id="14" name="TextBox 13">
          <a:extLst>
            <a:ext uri="{FF2B5EF4-FFF2-40B4-BE49-F238E27FC236}">
              <a16:creationId xmlns:a16="http://schemas.microsoft.com/office/drawing/2014/main" id="{7DA6FA54-674C-448A-BFAA-A0B5A716094F}"/>
            </a:ext>
          </a:extLst>
        </xdr:cNvPr>
        <xdr:cNvSpPr txBox="1"/>
      </xdr:nvSpPr>
      <xdr:spPr>
        <a:xfrm>
          <a:off x="0" y="16097249"/>
          <a:ext cx="18478499"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200" b="1" i="0">
              <a:solidFill>
                <a:schemeClr val="tx1"/>
              </a:solidFill>
              <a:effectLst/>
              <a:latin typeface="Tahoma" panose="020B0604030504040204" pitchFamily="34" charset="0"/>
              <a:ea typeface="Tahoma" panose="020B0604030504040204" pitchFamily="34" charset="0"/>
              <a:cs typeface="Tahoma" panose="020B0604030504040204" pitchFamily="34" charset="0"/>
            </a:rPr>
            <a:t>Note: </a:t>
          </a:r>
          <a:r>
            <a:rPr lang="en-US" sz="2200" b="0" i="0">
              <a:solidFill>
                <a:schemeClr val="tx1"/>
              </a:solidFill>
              <a:effectLst/>
              <a:latin typeface="Tahoma" panose="020B0604030504040204" pitchFamily="34" charset="0"/>
              <a:ea typeface="Tahoma" panose="020B0604030504040204" pitchFamily="34" charset="0"/>
              <a:cs typeface="Tahoma" panose="020B0604030504040204" pitchFamily="34" charset="0"/>
            </a:rPr>
            <a:t>Due to the clearance of backlogs from 2021 and 2022, the actual expenditures will remain around 750 million per annum.</a:t>
          </a:r>
          <a:endParaRPr lang="en-US" sz="2200">
            <a:solidFill>
              <a:schemeClr val="tx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2</xdr:row>
      <xdr:rowOff>241300</xdr:rowOff>
    </xdr:from>
    <xdr:to>
      <xdr:col>4</xdr:col>
      <xdr:colOff>927100</xdr:colOff>
      <xdr:row>17</xdr:row>
      <xdr:rowOff>152400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12700</xdr:colOff>
      <xdr:row>3</xdr:row>
      <xdr:rowOff>63500</xdr:rowOff>
    </xdr:from>
    <xdr:to>
      <xdr:col>17</xdr:col>
      <xdr:colOff>203200</xdr:colOff>
      <xdr:row>17</xdr:row>
      <xdr:rowOff>139700</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83F52-9044-4646-A4F0-3C240D377DE8}">
  <dimension ref="A2:L11"/>
  <sheetViews>
    <sheetView workbookViewId="0">
      <selection activeCell="J2" sqref="J2"/>
    </sheetView>
  </sheetViews>
  <sheetFormatPr defaultRowHeight="15.75" x14ac:dyDescent="0.25"/>
  <cols>
    <col min="1" max="1" width="33.25" style="182" bestFit="1" customWidth="1"/>
    <col min="2" max="3" width="10.75" style="182" bestFit="1" customWidth="1"/>
    <col min="4" max="5" width="14.75" style="182" bestFit="1" customWidth="1"/>
    <col min="6" max="8" width="9" style="182"/>
    <col min="9" max="9" width="14.375" style="182" bestFit="1" customWidth="1"/>
    <col min="10" max="10" width="9" style="182"/>
    <col min="11" max="11" width="16.25" style="182" bestFit="1" customWidth="1"/>
    <col min="12" max="12" width="12.125" style="182" bestFit="1" customWidth="1"/>
    <col min="13" max="16384" width="9" style="182"/>
  </cols>
  <sheetData>
    <row r="2" spans="1:12" x14ac:dyDescent="0.25">
      <c r="A2" s="185" t="s">
        <v>136</v>
      </c>
      <c r="B2" s="185" t="s">
        <v>137</v>
      </c>
      <c r="C2" s="185" t="s">
        <v>138</v>
      </c>
      <c r="D2" s="185" t="s">
        <v>139</v>
      </c>
      <c r="E2" s="185" t="s">
        <v>140</v>
      </c>
      <c r="I2" s="182" t="s">
        <v>143</v>
      </c>
      <c r="J2" s="189">
        <v>15609.285714285699</v>
      </c>
      <c r="K2" s="187">
        <v>887274700</v>
      </c>
    </row>
    <row r="3" spans="1:12" x14ac:dyDescent="0.25">
      <c r="A3" s="184" t="s">
        <v>131</v>
      </c>
      <c r="B3" s="182">
        <v>2862</v>
      </c>
      <c r="C3" s="182">
        <v>4129</v>
      </c>
      <c r="D3" s="183">
        <v>194625000</v>
      </c>
      <c r="E3" s="183">
        <v>214270000</v>
      </c>
      <c r="I3" s="182" t="s">
        <v>142</v>
      </c>
      <c r="J3" s="182">
        <v>21853</v>
      </c>
      <c r="K3" s="183">
        <v>1242184580</v>
      </c>
    </row>
    <row r="4" spans="1:12" x14ac:dyDescent="0.25">
      <c r="A4" s="184" t="s">
        <v>71</v>
      </c>
      <c r="B4" s="182">
        <v>10559</v>
      </c>
      <c r="C4" s="182">
        <v>6136</v>
      </c>
      <c r="D4" s="183">
        <v>565645849</v>
      </c>
      <c r="E4" s="183">
        <v>176607468</v>
      </c>
      <c r="I4" s="182">
        <v>2022</v>
      </c>
      <c r="J4" s="182">
        <v>18743</v>
      </c>
      <c r="K4" s="183">
        <v>730546966</v>
      </c>
      <c r="L4" s="187"/>
    </row>
    <row r="5" spans="1:12" x14ac:dyDescent="0.25">
      <c r="A5" s="184" t="s">
        <v>72</v>
      </c>
      <c r="B5" s="182">
        <v>514</v>
      </c>
      <c r="C5" s="182">
        <v>240</v>
      </c>
      <c r="D5" s="183">
        <v>107393242</v>
      </c>
      <c r="E5" s="183">
        <v>33647174</v>
      </c>
      <c r="L5" s="188"/>
    </row>
    <row r="6" spans="1:12" x14ac:dyDescent="0.25">
      <c r="A6" s="184" t="s">
        <v>132</v>
      </c>
      <c r="B6" s="182">
        <v>318</v>
      </c>
      <c r="C6" s="182">
        <v>603</v>
      </c>
      <c r="D6" s="183">
        <v>17250000</v>
      </c>
      <c r="E6" s="183">
        <v>30150000</v>
      </c>
    </row>
    <row r="7" spans="1:12" x14ac:dyDescent="0.25">
      <c r="A7" s="184" t="s">
        <v>133</v>
      </c>
      <c r="B7" s="182">
        <v>1611</v>
      </c>
      <c r="C7" s="182">
        <v>2118</v>
      </c>
      <c r="D7" s="183">
        <v>118320899</v>
      </c>
      <c r="E7" s="183">
        <v>82798017</v>
      </c>
      <c r="K7" s="188"/>
    </row>
    <row r="8" spans="1:12" x14ac:dyDescent="0.25">
      <c r="A8" s="184" t="s">
        <v>75</v>
      </c>
      <c r="B8" s="182">
        <v>259</v>
      </c>
      <c r="C8" s="182">
        <v>496</v>
      </c>
      <c r="D8" s="183">
        <v>26239516</v>
      </c>
      <c r="E8" s="183">
        <v>27589496</v>
      </c>
    </row>
    <row r="9" spans="1:12" x14ac:dyDescent="0.25">
      <c r="A9" s="184" t="s">
        <v>134</v>
      </c>
      <c r="B9" s="182">
        <v>5730</v>
      </c>
      <c r="C9" s="182">
        <v>5021</v>
      </c>
      <c r="D9" s="183">
        <v>212710074</v>
      </c>
      <c r="E9" s="183">
        <v>165484811</v>
      </c>
    </row>
    <row r="10" spans="1:12" x14ac:dyDescent="0.25">
      <c r="A10" s="185" t="s">
        <v>135</v>
      </c>
      <c r="B10" s="185">
        <v>21853</v>
      </c>
      <c r="C10" s="185">
        <v>18743</v>
      </c>
      <c r="D10" s="186">
        <v>1242184580</v>
      </c>
      <c r="E10" s="186">
        <v>730546966</v>
      </c>
    </row>
    <row r="11" spans="1:12" x14ac:dyDescent="0.25">
      <c r="B11" s="189">
        <f>AVERAGE(B3:B9)</f>
        <v>3121.8571428571427</v>
      </c>
      <c r="C11" s="189">
        <f t="shared" ref="C11:E11" si="0">AVERAGE(C3:C9)</f>
        <v>2677.5714285714284</v>
      </c>
      <c r="D11" s="183">
        <f t="shared" si="0"/>
        <v>177454940</v>
      </c>
      <c r="E11" s="183">
        <f t="shared" si="0"/>
        <v>104363852.28571428</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249977111117893"/>
  </sheetPr>
  <dimension ref="A1:W199"/>
  <sheetViews>
    <sheetView showGridLines="0" view="pageBreakPreview" zoomScale="55" zoomScaleNormal="70" zoomScaleSheetLayoutView="55" workbookViewId="0">
      <selection activeCell="D3" sqref="D3"/>
    </sheetView>
  </sheetViews>
  <sheetFormatPr defaultColWidth="11" defaultRowHeight="15" x14ac:dyDescent="0.2"/>
  <cols>
    <col min="1" max="1" width="3.375" style="61" customWidth="1"/>
    <col min="2" max="2" width="35.875" style="61" customWidth="1"/>
    <col min="3" max="8" width="22.125" style="61" bestFit="1" customWidth="1"/>
    <col min="9" max="13" width="13.375" style="61" hidden="1" customWidth="1"/>
    <col min="14" max="14" width="16.875" style="61" hidden="1" customWidth="1"/>
    <col min="15" max="15" width="24" style="61" bestFit="1" customWidth="1"/>
    <col min="16" max="16" width="13.75" style="61" customWidth="1"/>
    <col min="17" max="17" width="3.375" style="61" customWidth="1"/>
    <col min="18" max="18" width="28.75" style="61" bestFit="1" customWidth="1"/>
    <col min="19" max="19" width="3.375" style="61" customWidth="1"/>
    <col min="20" max="20" width="28.75" style="61" bestFit="1" customWidth="1"/>
    <col min="21" max="21" width="3.5" style="61" customWidth="1"/>
    <col min="22" max="22" width="50.125" style="61" customWidth="1"/>
    <col min="23" max="23" width="20.125" style="61" bestFit="1" customWidth="1"/>
    <col min="24" max="16384" width="11" style="61"/>
  </cols>
  <sheetData>
    <row r="1" spans="1:22" ht="7.5" customHeight="1" x14ac:dyDescent="0.2"/>
    <row r="2" spans="1:22" ht="30" x14ac:dyDescent="0.4">
      <c r="B2" s="62" t="s">
        <v>87</v>
      </c>
    </row>
    <row r="3" spans="1:22" ht="28.5" customHeight="1" x14ac:dyDescent="0.45">
      <c r="B3" s="63" t="s">
        <v>88</v>
      </c>
      <c r="C3" s="64"/>
      <c r="D3" s="64"/>
      <c r="E3" s="64"/>
      <c r="F3" s="65"/>
      <c r="G3" s="65"/>
      <c r="H3" s="65"/>
      <c r="I3" s="65"/>
    </row>
    <row r="4" spans="1:22" ht="21" customHeight="1" x14ac:dyDescent="0.45">
      <c r="A4" s="65"/>
      <c r="B4" s="91" t="s">
        <v>89</v>
      </c>
      <c r="C4" s="66"/>
      <c r="D4" s="66"/>
      <c r="E4" s="66"/>
      <c r="F4" s="65"/>
      <c r="G4" s="65"/>
      <c r="H4" s="65"/>
      <c r="I4" s="65"/>
      <c r="J4" s="65"/>
      <c r="K4" s="65"/>
      <c r="L4" s="65"/>
      <c r="M4" s="65"/>
      <c r="N4" s="65"/>
      <c r="O4" s="65"/>
      <c r="P4" s="65"/>
      <c r="Q4" s="65"/>
      <c r="R4" s="65"/>
      <c r="S4" s="65"/>
      <c r="T4" s="65"/>
      <c r="U4" s="65"/>
    </row>
    <row r="5" spans="1:22" ht="9.75" customHeight="1" x14ac:dyDescent="0.2">
      <c r="A5" s="65"/>
      <c r="B5" s="65"/>
      <c r="C5" s="65"/>
      <c r="D5" s="65"/>
      <c r="E5" s="65"/>
      <c r="J5" s="65"/>
      <c r="K5" s="65"/>
      <c r="L5" s="65"/>
      <c r="M5" s="65"/>
      <c r="N5" s="65"/>
      <c r="O5" s="65"/>
      <c r="P5" s="65"/>
      <c r="Q5" s="65"/>
      <c r="R5" s="65"/>
      <c r="S5" s="65"/>
      <c r="T5" s="65"/>
      <c r="U5" s="65"/>
    </row>
    <row r="6" spans="1:22" ht="21.95" customHeight="1" x14ac:dyDescent="0.2">
      <c r="A6" s="65"/>
      <c r="B6" s="65"/>
      <c r="C6" s="65"/>
      <c r="D6" s="65"/>
      <c r="E6" s="65"/>
      <c r="J6" s="67"/>
      <c r="K6" s="65"/>
      <c r="L6" s="65"/>
      <c r="M6" s="65"/>
      <c r="N6" s="65"/>
      <c r="O6" s="65"/>
      <c r="P6" s="65"/>
      <c r="Q6" s="65"/>
      <c r="R6" s="65"/>
      <c r="S6" s="65"/>
      <c r="T6" s="65"/>
      <c r="U6" s="65"/>
    </row>
    <row r="7" spans="1:22" ht="21.95" customHeight="1" x14ac:dyDescent="0.2">
      <c r="A7" s="65"/>
      <c r="B7" s="65"/>
      <c r="C7" s="65"/>
      <c r="D7" s="65"/>
      <c r="E7" s="65"/>
      <c r="J7" s="67"/>
      <c r="K7" s="65"/>
      <c r="L7" s="65"/>
      <c r="M7" s="65"/>
      <c r="N7" s="65"/>
      <c r="O7" s="65"/>
      <c r="P7" s="65"/>
      <c r="Q7" s="65"/>
      <c r="R7" s="65"/>
      <c r="S7" s="65"/>
      <c r="T7" s="65"/>
      <c r="U7" s="65"/>
      <c r="V7" s="68"/>
    </row>
    <row r="8" spans="1:22" ht="21.95" customHeight="1" x14ac:dyDescent="0.2">
      <c r="A8" s="65"/>
      <c r="B8" s="65"/>
      <c r="C8" s="65"/>
      <c r="D8" s="65"/>
      <c r="E8" s="65"/>
      <c r="J8" s="67"/>
      <c r="K8" s="65"/>
      <c r="L8" s="65"/>
      <c r="M8" s="65"/>
      <c r="N8" s="65"/>
      <c r="O8" s="65"/>
      <c r="P8" s="65"/>
      <c r="Q8" s="65"/>
      <c r="R8" s="65"/>
      <c r="S8" s="65"/>
      <c r="T8" s="65"/>
      <c r="U8" s="65"/>
      <c r="V8" s="68"/>
    </row>
    <row r="9" spans="1:22" ht="21.95" customHeight="1" x14ac:dyDescent="0.2">
      <c r="A9" s="65"/>
      <c r="B9" s="65"/>
      <c r="C9" s="65"/>
      <c r="D9" s="65"/>
      <c r="E9" s="65"/>
      <c r="J9" s="67"/>
      <c r="K9" s="65"/>
      <c r="L9" s="65"/>
      <c r="M9" s="65"/>
      <c r="N9" s="65"/>
      <c r="O9" s="65"/>
      <c r="P9" s="65"/>
      <c r="Q9" s="65"/>
      <c r="R9" s="65"/>
      <c r="S9" s="65"/>
      <c r="T9" s="65"/>
      <c r="U9" s="65"/>
      <c r="V9" s="68"/>
    </row>
    <row r="10" spans="1:22" ht="21.95" customHeight="1" x14ac:dyDescent="0.2">
      <c r="A10" s="65"/>
      <c r="B10" s="65"/>
      <c r="C10" s="65"/>
      <c r="D10" s="65"/>
      <c r="E10" s="65"/>
      <c r="J10" s="67"/>
      <c r="K10" s="65"/>
      <c r="L10" s="65"/>
      <c r="M10" s="65"/>
      <c r="N10" s="65"/>
      <c r="O10" s="65"/>
      <c r="P10" s="65"/>
      <c r="Q10" s="65"/>
      <c r="R10" s="65"/>
      <c r="S10" s="65"/>
      <c r="T10" s="65"/>
      <c r="U10" s="65"/>
      <c r="V10" s="68"/>
    </row>
    <row r="11" spans="1:22" x14ac:dyDescent="0.2">
      <c r="A11" s="65"/>
      <c r="B11" s="65"/>
      <c r="C11" s="65"/>
      <c r="D11" s="65"/>
      <c r="E11" s="65"/>
      <c r="J11" s="67"/>
      <c r="K11" s="65"/>
      <c r="L11" s="65"/>
      <c r="M11" s="65"/>
      <c r="N11" s="65"/>
      <c r="O11" s="65"/>
      <c r="P11" s="65"/>
      <c r="Q11" s="65"/>
      <c r="R11" s="65"/>
      <c r="S11" s="65"/>
      <c r="T11" s="65"/>
      <c r="U11" s="65"/>
      <c r="V11" s="68"/>
    </row>
    <row r="12" spans="1:22" ht="15" customHeight="1" x14ac:dyDescent="0.2">
      <c r="A12" s="65"/>
      <c r="B12" s="65"/>
      <c r="C12" s="65"/>
      <c r="D12" s="65"/>
      <c r="E12" s="65"/>
      <c r="J12" s="67"/>
      <c r="K12" s="65"/>
      <c r="L12" s="65"/>
      <c r="M12" s="65"/>
      <c r="N12" s="65"/>
      <c r="O12" s="65"/>
      <c r="P12" s="65"/>
      <c r="Q12" s="65"/>
      <c r="R12" s="65"/>
      <c r="S12" s="65"/>
      <c r="T12" s="65"/>
      <c r="U12" s="65"/>
      <c r="V12" s="68"/>
    </row>
    <row r="13" spans="1:22" ht="23.1" customHeight="1" x14ac:dyDescent="0.2">
      <c r="A13" s="65"/>
      <c r="B13" s="65"/>
      <c r="C13" s="65"/>
      <c r="D13" s="65"/>
      <c r="E13" s="65"/>
      <c r="J13" s="67"/>
      <c r="K13" s="65"/>
      <c r="L13" s="65"/>
      <c r="M13" s="65"/>
      <c r="N13" s="65"/>
      <c r="O13" s="65"/>
      <c r="P13" s="65"/>
      <c r="Q13" s="65"/>
      <c r="R13" s="65"/>
      <c r="S13" s="65"/>
      <c r="T13" s="65"/>
      <c r="U13" s="65"/>
      <c r="V13" s="68"/>
    </row>
    <row r="14" spans="1:22" x14ac:dyDescent="0.2">
      <c r="A14" s="65"/>
      <c r="B14" s="65"/>
      <c r="C14" s="65"/>
      <c r="D14" s="65"/>
      <c r="E14" s="65"/>
      <c r="J14" s="67"/>
      <c r="K14" s="65"/>
      <c r="L14" s="65"/>
      <c r="M14" s="65"/>
      <c r="N14" s="65"/>
      <c r="O14" s="65"/>
      <c r="P14" s="65"/>
      <c r="Q14" s="65"/>
      <c r="R14" s="65"/>
      <c r="S14" s="65"/>
      <c r="T14" s="65"/>
      <c r="U14" s="65"/>
      <c r="V14" s="68"/>
    </row>
    <row r="15" spans="1:22" x14ac:dyDescent="0.2">
      <c r="A15" s="65"/>
      <c r="B15" s="65"/>
      <c r="C15" s="65"/>
      <c r="D15" s="65"/>
      <c r="E15" s="65"/>
      <c r="J15" s="65"/>
      <c r="K15" s="65"/>
      <c r="L15" s="65"/>
      <c r="M15" s="65"/>
      <c r="N15" s="65"/>
      <c r="O15" s="65"/>
      <c r="P15" s="65"/>
      <c r="Q15" s="65"/>
      <c r="R15" s="65"/>
      <c r="S15" s="65"/>
      <c r="T15" s="65"/>
      <c r="U15" s="65"/>
      <c r="V15" s="68"/>
    </row>
    <row r="16" spans="1:22" x14ac:dyDescent="0.2">
      <c r="A16" s="65"/>
      <c r="B16" s="65"/>
      <c r="C16" s="65"/>
      <c r="D16" s="65"/>
      <c r="E16" s="65"/>
      <c r="J16" s="65"/>
      <c r="K16" s="65"/>
      <c r="L16" s="65"/>
      <c r="M16" s="65"/>
      <c r="N16" s="65"/>
      <c r="O16" s="65"/>
      <c r="P16" s="65"/>
      <c r="Q16" s="65"/>
      <c r="R16" s="65"/>
      <c r="S16" s="65"/>
      <c r="T16" s="65"/>
      <c r="U16" s="65"/>
      <c r="V16" s="68"/>
    </row>
    <row r="17" spans="1:22" x14ac:dyDescent="0.2">
      <c r="A17" s="65"/>
      <c r="B17" s="65"/>
      <c r="C17" s="65"/>
      <c r="D17" s="65"/>
      <c r="E17" s="65"/>
      <c r="J17" s="65"/>
      <c r="K17" s="65"/>
      <c r="L17" s="65"/>
      <c r="M17" s="65"/>
      <c r="N17" s="65"/>
      <c r="O17" s="65"/>
      <c r="P17" s="65"/>
      <c r="Q17" s="65"/>
      <c r="R17" s="65"/>
      <c r="S17" s="65"/>
      <c r="T17" s="65"/>
      <c r="U17" s="65"/>
      <c r="V17" s="68"/>
    </row>
    <row r="18" spans="1:22" x14ac:dyDescent="0.2">
      <c r="A18" s="65"/>
      <c r="B18" s="65"/>
      <c r="C18" s="65"/>
      <c r="D18" s="65"/>
      <c r="E18" s="65"/>
      <c r="F18" s="65"/>
      <c r="G18" s="65"/>
      <c r="H18" s="65"/>
      <c r="I18" s="65"/>
      <c r="J18" s="65"/>
      <c r="K18" s="65"/>
      <c r="L18" s="65"/>
      <c r="M18" s="65"/>
      <c r="N18" s="65"/>
      <c r="O18" s="65"/>
      <c r="P18" s="65"/>
      <c r="Q18" s="65"/>
      <c r="R18" s="65"/>
      <c r="S18" s="65"/>
      <c r="T18" s="65"/>
      <c r="U18" s="65"/>
      <c r="V18" s="68"/>
    </row>
    <row r="19" spans="1:22" x14ac:dyDescent="0.2">
      <c r="A19" s="65"/>
      <c r="B19" s="65"/>
      <c r="C19" s="65"/>
      <c r="D19" s="65"/>
      <c r="E19" s="65"/>
      <c r="F19" s="65"/>
      <c r="G19" s="65"/>
      <c r="H19" s="65"/>
      <c r="I19" s="65"/>
      <c r="J19" s="65"/>
      <c r="K19" s="65"/>
      <c r="L19" s="65"/>
      <c r="M19" s="65"/>
      <c r="N19" s="65"/>
      <c r="O19" s="65"/>
      <c r="P19" s="65"/>
      <c r="Q19" s="65"/>
      <c r="R19" s="65"/>
      <c r="S19" s="65"/>
      <c r="T19" s="65"/>
      <c r="U19" s="65"/>
      <c r="V19" s="68"/>
    </row>
    <row r="20" spans="1:22" x14ac:dyDescent="0.2">
      <c r="A20" s="65"/>
      <c r="B20" s="65"/>
      <c r="C20" s="65"/>
      <c r="D20" s="65"/>
      <c r="E20" s="65"/>
      <c r="F20" s="65"/>
      <c r="G20" s="65"/>
      <c r="H20" s="65"/>
      <c r="I20" s="65"/>
      <c r="J20" s="65"/>
      <c r="K20" s="65"/>
      <c r="L20" s="65"/>
      <c r="M20" s="65"/>
      <c r="N20" s="65"/>
      <c r="O20" s="65"/>
      <c r="P20" s="65"/>
      <c r="Q20" s="65"/>
      <c r="R20" s="65"/>
      <c r="S20" s="65"/>
      <c r="T20" s="65"/>
      <c r="U20" s="65"/>
      <c r="V20" s="68"/>
    </row>
    <row r="21" spans="1:22" x14ac:dyDescent="0.2">
      <c r="A21" s="65"/>
      <c r="B21" s="65"/>
      <c r="C21" s="65"/>
      <c r="D21" s="65"/>
      <c r="E21" s="65"/>
      <c r="F21" s="65"/>
      <c r="G21" s="65"/>
      <c r="H21" s="65"/>
      <c r="I21" s="65"/>
      <c r="J21" s="65"/>
      <c r="K21" s="65"/>
      <c r="L21" s="65"/>
      <c r="M21" s="65"/>
      <c r="N21" s="65"/>
      <c r="O21" s="65"/>
      <c r="P21" s="65"/>
      <c r="Q21" s="65"/>
      <c r="R21" s="65"/>
      <c r="S21" s="65"/>
      <c r="T21" s="65"/>
      <c r="U21" s="65"/>
      <c r="V21" s="68"/>
    </row>
    <row r="22" spans="1:22" x14ac:dyDescent="0.2">
      <c r="A22" s="65"/>
      <c r="B22" s="65"/>
      <c r="C22" s="65"/>
      <c r="D22" s="65"/>
      <c r="E22" s="65"/>
      <c r="F22" s="65"/>
      <c r="G22" s="65"/>
      <c r="H22" s="65"/>
      <c r="I22" s="65"/>
      <c r="J22" s="65"/>
      <c r="K22" s="65"/>
      <c r="L22" s="65"/>
      <c r="M22" s="65"/>
      <c r="N22" s="65"/>
      <c r="O22" s="65"/>
      <c r="P22" s="65"/>
      <c r="Q22" s="65"/>
      <c r="R22" s="65"/>
      <c r="S22" s="65"/>
      <c r="T22" s="65"/>
      <c r="U22" s="65"/>
      <c r="V22" s="68"/>
    </row>
    <row r="23" spans="1:22" x14ac:dyDescent="0.2">
      <c r="A23" s="65"/>
      <c r="B23" s="65"/>
      <c r="C23" s="65"/>
      <c r="D23" s="65"/>
      <c r="E23" s="65"/>
      <c r="F23" s="65"/>
      <c r="G23" s="65"/>
      <c r="H23" s="65"/>
      <c r="I23" s="65"/>
      <c r="J23" s="65"/>
      <c r="K23" s="65"/>
      <c r="L23" s="65"/>
      <c r="M23" s="65"/>
      <c r="N23" s="65"/>
      <c r="O23" s="65"/>
      <c r="P23" s="65"/>
      <c r="Q23" s="65"/>
      <c r="R23" s="65"/>
      <c r="S23" s="65"/>
      <c r="T23" s="65"/>
      <c r="U23" s="65"/>
      <c r="V23" s="68"/>
    </row>
    <row r="24" spans="1:22" x14ac:dyDescent="0.2">
      <c r="A24" s="65"/>
      <c r="B24" s="65"/>
      <c r="C24" s="65"/>
      <c r="D24" s="65"/>
      <c r="E24" s="65"/>
      <c r="F24" s="65"/>
      <c r="G24" s="65"/>
      <c r="H24" s="65"/>
      <c r="I24" s="65"/>
      <c r="J24" s="65"/>
      <c r="K24" s="65"/>
      <c r="L24" s="65"/>
      <c r="M24" s="65"/>
      <c r="N24" s="65"/>
      <c r="O24" s="65"/>
      <c r="P24" s="65"/>
      <c r="Q24" s="65"/>
      <c r="R24" s="65"/>
      <c r="S24" s="65"/>
      <c r="T24" s="65"/>
      <c r="U24" s="65"/>
      <c r="V24" s="68"/>
    </row>
    <row r="25" spans="1:22" x14ac:dyDescent="0.2">
      <c r="A25" s="65"/>
      <c r="B25" s="65"/>
      <c r="C25" s="65"/>
      <c r="D25" s="65"/>
      <c r="E25" s="65"/>
      <c r="F25" s="65"/>
      <c r="G25" s="65"/>
      <c r="H25" s="65"/>
      <c r="I25" s="65"/>
      <c r="J25" s="65"/>
      <c r="K25" s="65"/>
      <c r="L25" s="65"/>
      <c r="M25" s="65"/>
      <c r="N25" s="65"/>
      <c r="O25" s="65"/>
      <c r="P25" s="65"/>
      <c r="Q25" s="65"/>
      <c r="R25" s="65"/>
      <c r="S25" s="65"/>
      <c r="T25" s="65"/>
      <c r="U25" s="65"/>
      <c r="V25" s="68"/>
    </row>
    <row r="26" spans="1:22" x14ac:dyDescent="0.2">
      <c r="A26" s="65"/>
      <c r="B26" s="65"/>
      <c r="C26" s="65"/>
      <c r="D26" s="65"/>
      <c r="E26" s="65"/>
      <c r="F26" s="65"/>
      <c r="G26" s="65"/>
      <c r="H26" s="65"/>
      <c r="I26" s="65"/>
      <c r="J26" s="65"/>
      <c r="K26" s="65"/>
      <c r="L26" s="65"/>
      <c r="M26" s="65"/>
      <c r="N26" s="65"/>
      <c r="O26" s="65"/>
      <c r="P26" s="65"/>
      <c r="Q26" s="65"/>
      <c r="R26" s="65"/>
      <c r="S26" s="65"/>
      <c r="T26" s="65"/>
      <c r="U26" s="65"/>
      <c r="V26" s="68"/>
    </row>
    <row r="27" spans="1:22" x14ac:dyDescent="0.2">
      <c r="A27" s="65"/>
      <c r="B27" s="65"/>
      <c r="C27" s="65"/>
      <c r="D27" s="65"/>
      <c r="E27" s="65"/>
      <c r="F27" s="65"/>
      <c r="G27" s="65"/>
      <c r="H27" s="65"/>
      <c r="I27" s="65"/>
      <c r="J27" s="65"/>
      <c r="K27" s="65"/>
      <c r="L27" s="65"/>
      <c r="M27" s="65"/>
      <c r="N27" s="65"/>
      <c r="O27" s="65"/>
      <c r="P27" s="65"/>
      <c r="Q27" s="65"/>
      <c r="R27" s="65"/>
      <c r="S27" s="65"/>
      <c r="T27" s="65"/>
      <c r="U27" s="65"/>
      <c r="V27" s="68"/>
    </row>
    <row r="28" spans="1:22" x14ac:dyDescent="0.2">
      <c r="A28" s="65"/>
      <c r="B28" s="65"/>
      <c r="C28" s="65"/>
      <c r="D28" s="65"/>
      <c r="E28" s="65"/>
      <c r="F28" s="65"/>
      <c r="G28" s="65"/>
      <c r="H28" s="65"/>
      <c r="I28" s="65"/>
      <c r="J28" s="65"/>
      <c r="K28" s="65"/>
      <c r="L28" s="65"/>
      <c r="M28" s="65"/>
      <c r="N28" s="65"/>
      <c r="O28" s="65"/>
      <c r="P28" s="65"/>
      <c r="Q28" s="65"/>
      <c r="R28" s="65"/>
      <c r="S28" s="65"/>
      <c r="T28" s="65"/>
      <c r="U28" s="65"/>
      <c r="V28" s="68"/>
    </row>
    <row r="29" spans="1:22" x14ac:dyDescent="0.2">
      <c r="A29" s="65"/>
      <c r="B29" s="65"/>
      <c r="C29" s="65"/>
      <c r="D29" s="65"/>
      <c r="E29" s="65"/>
      <c r="F29" s="65"/>
      <c r="G29" s="65"/>
      <c r="H29" s="65"/>
      <c r="I29" s="65"/>
      <c r="J29" s="65"/>
      <c r="K29" s="65"/>
      <c r="L29" s="65"/>
      <c r="M29" s="65"/>
      <c r="N29" s="65"/>
      <c r="O29" s="65"/>
      <c r="P29" s="65"/>
      <c r="Q29" s="65"/>
      <c r="R29" s="65"/>
      <c r="S29" s="65"/>
      <c r="T29" s="65"/>
      <c r="U29" s="65"/>
      <c r="V29" s="68"/>
    </row>
    <row r="30" spans="1:22" x14ac:dyDescent="0.2">
      <c r="A30" s="65"/>
      <c r="B30" s="65"/>
      <c r="C30" s="65"/>
      <c r="D30" s="65"/>
      <c r="E30" s="65"/>
      <c r="F30" s="65"/>
      <c r="G30" s="65"/>
      <c r="H30" s="65"/>
      <c r="I30" s="65"/>
      <c r="J30" s="65"/>
      <c r="K30" s="65"/>
      <c r="L30" s="65"/>
      <c r="M30" s="65"/>
      <c r="N30" s="65"/>
      <c r="O30" s="65"/>
      <c r="P30" s="65"/>
      <c r="Q30" s="65"/>
      <c r="R30" s="65"/>
      <c r="S30" s="65"/>
      <c r="T30" s="65"/>
      <c r="U30" s="65"/>
      <c r="V30" s="68"/>
    </row>
    <row r="31" spans="1:22" x14ac:dyDescent="0.2">
      <c r="A31" s="65"/>
      <c r="B31" s="65"/>
      <c r="C31" s="65"/>
      <c r="D31" s="65"/>
      <c r="E31" s="65"/>
      <c r="F31" s="65"/>
      <c r="G31" s="65"/>
      <c r="H31" s="65"/>
      <c r="I31" s="65"/>
      <c r="J31" s="65"/>
      <c r="K31" s="65"/>
      <c r="L31" s="65"/>
      <c r="M31" s="65"/>
      <c r="N31" s="65"/>
      <c r="O31" s="65"/>
      <c r="P31" s="65"/>
      <c r="Q31" s="65"/>
      <c r="R31" s="65"/>
      <c r="S31" s="65"/>
      <c r="T31" s="65"/>
      <c r="U31" s="65"/>
      <c r="V31" s="68"/>
    </row>
    <row r="32" spans="1:22" x14ac:dyDescent="0.2">
      <c r="A32" s="65"/>
      <c r="B32" s="65"/>
      <c r="C32" s="65"/>
      <c r="D32" s="65"/>
      <c r="E32" s="65"/>
      <c r="F32" s="65"/>
      <c r="G32" s="65"/>
      <c r="H32" s="65"/>
      <c r="I32" s="65"/>
      <c r="J32" s="65"/>
      <c r="K32" s="65"/>
      <c r="L32" s="65"/>
      <c r="M32" s="65"/>
      <c r="N32" s="65"/>
      <c r="O32" s="65"/>
      <c r="P32" s="65"/>
      <c r="Q32" s="65"/>
      <c r="R32" s="65"/>
      <c r="S32" s="65"/>
      <c r="T32" s="65"/>
      <c r="U32" s="65"/>
      <c r="V32" s="68"/>
    </row>
    <row r="33" spans="1:22" x14ac:dyDescent="0.2">
      <c r="A33" s="65"/>
      <c r="B33" s="65"/>
      <c r="C33" s="65"/>
      <c r="D33" s="65"/>
      <c r="E33" s="65"/>
      <c r="F33" s="65"/>
      <c r="G33" s="65"/>
      <c r="H33" s="65"/>
      <c r="I33" s="65"/>
      <c r="J33" s="65"/>
      <c r="K33" s="65"/>
      <c r="L33" s="65"/>
      <c r="M33" s="65"/>
      <c r="N33" s="65"/>
      <c r="O33" s="65"/>
      <c r="P33" s="65"/>
      <c r="Q33" s="65"/>
      <c r="R33" s="65"/>
      <c r="S33" s="65"/>
      <c r="T33" s="65"/>
      <c r="U33" s="65"/>
      <c r="V33" s="68"/>
    </row>
    <row r="34" spans="1:22" x14ac:dyDescent="0.2">
      <c r="A34" s="65"/>
      <c r="B34" s="65"/>
      <c r="C34" s="65"/>
      <c r="D34" s="65"/>
      <c r="E34" s="65"/>
      <c r="F34" s="65"/>
      <c r="G34" s="65"/>
      <c r="H34" s="65"/>
      <c r="I34" s="65"/>
      <c r="J34" s="65"/>
      <c r="K34" s="65"/>
      <c r="L34" s="65"/>
      <c r="M34" s="65"/>
      <c r="N34" s="65"/>
      <c r="O34" s="65"/>
      <c r="P34" s="65"/>
      <c r="Q34" s="65"/>
      <c r="R34" s="65"/>
      <c r="S34" s="65"/>
      <c r="T34" s="65"/>
      <c r="U34" s="65"/>
      <c r="V34" s="68"/>
    </row>
    <row r="35" spans="1:22" x14ac:dyDescent="0.2">
      <c r="A35" s="65"/>
      <c r="B35" s="65"/>
      <c r="C35" s="65"/>
      <c r="D35" s="65"/>
      <c r="E35" s="65"/>
      <c r="F35" s="65"/>
      <c r="G35" s="65"/>
      <c r="H35" s="65"/>
      <c r="I35" s="65"/>
      <c r="J35" s="65"/>
      <c r="K35" s="65"/>
      <c r="L35" s="65"/>
      <c r="M35" s="65"/>
      <c r="N35" s="65"/>
      <c r="O35" s="65"/>
      <c r="P35" s="65"/>
      <c r="Q35" s="65"/>
      <c r="R35" s="65"/>
      <c r="S35" s="65"/>
      <c r="T35" s="65"/>
      <c r="U35" s="65"/>
      <c r="V35" s="68"/>
    </row>
    <row r="36" spans="1:22" ht="25.5" x14ac:dyDescent="0.2">
      <c r="A36" s="65"/>
      <c r="B36" s="164" t="s">
        <v>112</v>
      </c>
      <c r="C36" s="164"/>
      <c r="D36" s="164"/>
      <c r="E36" s="164"/>
      <c r="F36" s="65"/>
      <c r="G36" s="169" t="s">
        <v>102</v>
      </c>
      <c r="H36" s="169"/>
      <c r="I36" s="169"/>
      <c r="J36" s="169"/>
      <c r="K36" s="169"/>
      <c r="L36" s="169"/>
      <c r="M36" s="169"/>
      <c r="N36" s="169"/>
      <c r="O36" s="169"/>
      <c r="P36" s="169"/>
      <c r="Q36" s="169"/>
      <c r="R36" s="169"/>
      <c r="S36" s="169"/>
      <c r="T36" s="169"/>
      <c r="U36" s="65"/>
      <c r="V36" s="68"/>
    </row>
    <row r="37" spans="1:22" ht="30" customHeight="1" x14ac:dyDescent="0.25">
      <c r="A37" s="65"/>
      <c r="B37" s="165" t="s">
        <v>99</v>
      </c>
      <c r="C37" s="165"/>
      <c r="D37" s="166">
        <f>O60</f>
        <v>1182989619</v>
      </c>
      <c r="E37" s="166"/>
      <c r="F37" s="65"/>
      <c r="G37" s="165" t="s">
        <v>105</v>
      </c>
      <c r="H37" s="165" t="s">
        <v>106</v>
      </c>
      <c r="I37" s="166">
        <f>'Cash Flow'!T60</f>
        <v>6111911.3479452049</v>
      </c>
      <c r="J37" s="166"/>
      <c r="K37" s="100"/>
      <c r="L37" s="100"/>
      <c r="M37" s="100"/>
      <c r="N37" s="100"/>
      <c r="O37" s="101" t="s">
        <v>107</v>
      </c>
      <c r="P37" s="101" t="s">
        <v>108</v>
      </c>
      <c r="Q37" s="100"/>
      <c r="R37" s="101" t="s">
        <v>109</v>
      </c>
      <c r="S37" s="101"/>
      <c r="T37" s="101" t="s">
        <v>110</v>
      </c>
      <c r="U37" s="65"/>
      <c r="V37" s="68"/>
    </row>
    <row r="38" spans="1:22" ht="30" customHeight="1" x14ac:dyDescent="0.25">
      <c r="A38" s="65"/>
      <c r="B38" s="167" t="s">
        <v>100</v>
      </c>
      <c r="C38" s="167"/>
      <c r="D38" s="160">
        <f>O80+O84</f>
        <v>1093961977</v>
      </c>
      <c r="E38" s="160"/>
      <c r="F38" s="65"/>
      <c r="G38" s="154" t="s">
        <v>92</v>
      </c>
      <c r="H38" s="152">
        <v>45036</v>
      </c>
      <c r="I38" s="171">
        <f>+T80+T84</f>
        <v>5974892.9890410965</v>
      </c>
      <c r="J38" s="171"/>
      <c r="K38" s="153"/>
      <c r="L38" s="153"/>
      <c r="M38" s="153"/>
      <c r="N38" s="153"/>
      <c r="O38" s="152">
        <v>45402</v>
      </c>
      <c r="P38" s="155">
        <v>0.20749999999999999</v>
      </c>
      <c r="Q38" s="153"/>
      <c r="R38" s="156">
        <v>2000000000</v>
      </c>
      <c r="S38" s="153"/>
      <c r="T38" s="156">
        <f>R38*P38</f>
        <v>415000000</v>
      </c>
      <c r="U38" s="65"/>
      <c r="V38" s="68"/>
    </row>
    <row r="39" spans="1:22" ht="30" customHeight="1" x14ac:dyDescent="0.25">
      <c r="A39" s="65"/>
      <c r="B39" s="99" t="s">
        <v>101</v>
      </c>
      <c r="C39" s="99"/>
      <c r="D39" s="163">
        <f>D37-D38</f>
        <v>89027642</v>
      </c>
      <c r="E39" s="163"/>
      <c r="F39" s="65"/>
      <c r="G39" s="154" t="s">
        <v>92</v>
      </c>
      <c r="H39" s="152">
        <v>45106</v>
      </c>
      <c r="I39" s="170">
        <f>I37-I38</f>
        <v>137018.35890410841</v>
      </c>
      <c r="J39" s="170"/>
      <c r="K39" s="153"/>
      <c r="L39" s="153"/>
      <c r="M39" s="153"/>
      <c r="N39" s="153"/>
      <c r="O39" s="152">
        <v>45472</v>
      </c>
      <c r="P39" s="155">
        <v>0.22</v>
      </c>
      <c r="Q39" s="153"/>
      <c r="R39" s="156">
        <v>650000000</v>
      </c>
      <c r="S39" s="153"/>
      <c r="T39" s="156">
        <f t="shared" ref="T39:T43" si="0">R39*P39</f>
        <v>143000000</v>
      </c>
      <c r="U39" s="65"/>
      <c r="V39" s="68"/>
    </row>
    <row r="40" spans="1:22" ht="30" customHeight="1" x14ac:dyDescent="0.25">
      <c r="A40" s="65"/>
      <c r="B40" s="99" t="s">
        <v>102</v>
      </c>
      <c r="C40" s="99"/>
      <c r="D40" s="160">
        <f>R45</f>
        <v>7300000000</v>
      </c>
      <c r="E40" s="160"/>
      <c r="F40" s="65"/>
      <c r="G40" s="154" t="s">
        <v>80</v>
      </c>
      <c r="H40" s="152">
        <v>44966</v>
      </c>
      <c r="I40" s="171">
        <f>T69</f>
        <v>40000000</v>
      </c>
      <c r="J40" s="171"/>
      <c r="K40" s="153"/>
      <c r="L40" s="153"/>
      <c r="M40" s="153"/>
      <c r="N40" s="153"/>
      <c r="O40" s="152">
        <v>45331</v>
      </c>
      <c r="P40" s="155">
        <v>0.17849999999999999</v>
      </c>
      <c r="Q40" s="153"/>
      <c r="R40" s="156">
        <v>1500000000</v>
      </c>
      <c r="S40" s="153"/>
      <c r="T40" s="156">
        <f t="shared" si="0"/>
        <v>267750000</v>
      </c>
      <c r="U40" s="65"/>
      <c r="V40" s="68"/>
    </row>
    <row r="41" spans="1:22" ht="30" customHeight="1" x14ac:dyDescent="0.25">
      <c r="A41" s="65"/>
      <c r="B41" s="99" t="s">
        <v>103</v>
      </c>
      <c r="C41" s="99"/>
      <c r="D41" s="161">
        <f>D39/D37</f>
        <v>7.5256486253240745E-2</v>
      </c>
      <c r="E41" s="161"/>
      <c r="F41" s="65"/>
      <c r="G41" s="154" t="s">
        <v>80</v>
      </c>
      <c r="H41" s="152">
        <v>45106</v>
      </c>
      <c r="I41" s="171">
        <f>T70</f>
        <v>0</v>
      </c>
      <c r="J41" s="171"/>
      <c r="K41" s="153"/>
      <c r="L41" s="153"/>
      <c r="M41" s="153"/>
      <c r="N41" s="153"/>
      <c r="O41" s="152">
        <v>45472</v>
      </c>
      <c r="P41" s="155">
        <v>0.22</v>
      </c>
      <c r="Q41" s="153"/>
      <c r="R41" s="156">
        <v>650000000</v>
      </c>
      <c r="S41" s="153"/>
      <c r="T41" s="156">
        <f t="shared" si="0"/>
        <v>143000000</v>
      </c>
      <c r="U41" s="65"/>
      <c r="V41" s="68"/>
    </row>
    <row r="42" spans="1:22" ht="30" customHeight="1" x14ac:dyDescent="0.25">
      <c r="A42" s="65"/>
      <c r="B42" s="99" t="s">
        <v>104</v>
      </c>
      <c r="C42" s="99"/>
      <c r="D42" s="162">
        <f>(O52-O80)/O52</f>
        <v>-3.7233995583006572E-2</v>
      </c>
      <c r="E42" s="162"/>
      <c r="F42" s="65"/>
      <c r="G42" s="154" t="s">
        <v>82</v>
      </c>
      <c r="H42" s="152">
        <v>45001</v>
      </c>
      <c r="I42" s="172">
        <f>(T52-T80)/T52</f>
        <v>-3.7233995583006635E-2</v>
      </c>
      <c r="J42" s="172"/>
      <c r="K42" s="153"/>
      <c r="L42" s="153"/>
      <c r="M42" s="153"/>
      <c r="N42" s="153"/>
      <c r="O42" s="152">
        <v>45367</v>
      </c>
      <c r="P42" s="155">
        <v>0.2039</v>
      </c>
      <c r="Q42" s="153"/>
      <c r="R42" s="156">
        <v>1250000000</v>
      </c>
      <c r="S42" s="153"/>
      <c r="T42" s="156">
        <f t="shared" si="0"/>
        <v>254875000</v>
      </c>
      <c r="U42" s="65"/>
      <c r="V42" s="68"/>
    </row>
    <row r="43" spans="1:22" ht="30" customHeight="1" x14ac:dyDescent="0.25">
      <c r="A43" s="65"/>
      <c r="B43" s="93"/>
      <c r="C43" s="93"/>
      <c r="D43" s="95"/>
      <c r="E43" s="95"/>
      <c r="F43" s="65"/>
      <c r="G43" s="154" t="s">
        <v>81</v>
      </c>
      <c r="H43" s="152">
        <v>44966</v>
      </c>
      <c r="I43" s="168">
        <f>I41/I39</f>
        <v>0</v>
      </c>
      <c r="J43" s="168"/>
      <c r="K43" s="153"/>
      <c r="L43" s="153"/>
      <c r="M43" s="153"/>
      <c r="N43" s="153"/>
      <c r="O43" s="152">
        <v>45331</v>
      </c>
      <c r="P43" s="155">
        <v>0.17519999999999999</v>
      </c>
      <c r="Q43" s="153"/>
      <c r="R43" s="156">
        <v>1250000000</v>
      </c>
      <c r="S43" s="153"/>
      <c r="T43" s="156">
        <f t="shared" si="0"/>
        <v>219000000</v>
      </c>
      <c r="U43" s="65"/>
      <c r="V43" s="68"/>
    </row>
    <row r="44" spans="1:22" x14ac:dyDescent="0.2">
      <c r="A44" s="65"/>
      <c r="B44" s="65"/>
      <c r="C44" s="65"/>
      <c r="D44" s="65"/>
      <c r="E44" s="65"/>
      <c r="F44" s="65"/>
      <c r="G44" s="94"/>
      <c r="H44" s="94"/>
      <c r="I44" s="94"/>
      <c r="J44" s="94"/>
      <c r="K44" s="94"/>
      <c r="L44" s="94"/>
      <c r="M44" s="94"/>
      <c r="N44" s="94"/>
      <c r="O44" s="94"/>
      <c r="P44" s="94"/>
      <c r="Q44" s="94"/>
      <c r="R44" s="94"/>
      <c r="S44" s="94"/>
      <c r="T44" s="94"/>
      <c r="U44" s="65"/>
      <c r="V44" s="68"/>
    </row>
    <row r="45" spans="1:22" ht="19.5" x14ac:dyDescent="0.2">
      <c r="A45" s="65"/>
      <c r="B45" s="65"/>
      <c r="C45" s="65"/>
      <c r="D45" s="65"/>
      <c r="E45" s="65"/>
      <c r="F45" s="65"/>
      <c r="G45" s="65"/>
      <c r="H45" s="65"/>
      <c r="I45" s="65"/>
      <c r="J45" s="65"/>
      <c r="K45" s="65"/>
      <c r="L45" s="65"/>
      <c r="M45" s="65"/>
      <c r="N45" s="65"/>
      <c r="O45" s="65"/>
      <c r="P45" s="65"/>
      <c r="Q45" s="65"/>
      <c r="R45" s="102">
        <f>SUM(R38:R44)</f>
        <v>7300000000</v>
      </c>
      <c r="S45" s="65"/>
      <c r="T45" s="102">
        <f>SUM(T38:T44)</f>
        <v>1442625000</v>
      </c>
      <c r="U45" s="65"/>
      <c r="V45" s="68"/>
    </row>
    <row r="46" spans="1:22" ht="30" customHeight="1" x14ac:dyDescent="0.25">
      <c r="A46" s="65"/>
      <c r="B46" s="103" t="s">
        <v>84</v>
      </c>
      <c r="C46" s="104">
        <v>0</v>
      </c>
      <c r="D46" s="104">
        <v>0</v>
      </c>
      <c r="E46" s="104">
        <v>0</v>
      </c>
      <c r="F46" s="104">
        <v>0</v>
      </c>
      <c r="G46" s="104">
        <v>0</v>
      </c>
      <c r="H46" s="104">
        <v>0</v>
      </c>
      <c r="I46" s="105"/>
      <c r="J46" s="105"/>
      <c r="K46" s="105"/>
      <c r="L46" s="105"/>
      <c r="M46" s="105"/>
      <c r="N46" s="105"/>
      <c r="O46" s="106"/>
      <c r="P46" s="69"/>
      <c r="Q46" s="65"/>
      <c r="R46" s="65"/>
      <c r="S46" s="65"/>
      <c r="T46" s="65"/>
      <c r="U46" s="65"/>
      <c r="V46" s="68"/>
    </row>
    <row r="47" spans="1:22" ht="30" customHeight="1" x14ac:dyDescent="0.25">
      <c r="B47" s="107" t="s">
        <v>85</v>
      </c>
      <c r="C47" s="104">
        <v>0</v>
      </c>
      <c r="D47" s="104">
        <v>0</v>
      </c>
      <c r="E47" s="104">
        <v>0</v>
      </c>
      <c r="F47" s="104">
        <v>0</v>
      </c>
      <c r="G47" s="104">
        <v>0</v>
      </c>
      <c r="H47" s="104">
        <v>0</v>
      </c>
      <c r="I47" s="108"/>
      <c r="J47" s="108"/>
      <c r="K47" s="108"/>
      <c r="L47" s="108"/>
      <c r="M47" s="108"/>
      <c r="N47" s="108"/>
      <c r="O47" s="106">
        <f>+F188+F189</f>
        <v>2051740445.7800002</v>
      </c>
      <c r="P47" s="69"/>
      <c r="R47" s="69"/>
      <c r="T47" s="69"/>
      <c r="V47" s="68"/>
    </row>
    <row r="48" spans="1:22" ht="8.25" customHeight="1" x14ac:dyDescent="0.2">
      <c r="B48" s="71"/>
      <c r="C48" s="72"/>
      <c r="D48" s="72"/>
      <c r="E48" s="72"/>
      <c r="F48" s="72"/>
      <c r="G48" s="72"/>
      <c r="H48" s="72"/>
      <c r="I48" s="72"/>
      <c r="J48" s="72"/>
      <c r="K48" s="72"/>
      <c r="L48" s="72"/>
      <c r="M48" s="72"/>
      <c r="N48" s="72"/>
      <c r="O48" s="69"/>
      <c r="P48" s="69"/>
    </row>
    <row r="49" spans="2:20" s="70" customFormat="1" ht="47.25" customHeight="1" x14ac:dyDescent="0.25">
      <c r="B49" s="73"/>
      <c r="C49" s="113">
        <v>44927</v>
      </c>
      <c r="D49" s="113">
        <v>44958</v>
      </c>
      <c r="E49" s="113">
        <v>44986</v>
      </c>
      <c r="F49" s="113">
        <v>45017</v>
      </c>
      <c r="G49" s="113">
        <v>45047</v>
      </c>
      <c r="H49" s="113">
        <v>45078</v>
      </c>
      <c r="I49" s="114" t="s">
        <v>9</v>
      </c>
      <c r="J49" s="114" t="s">
        <v>8</v>
      </c>
      <c r="K49" s="114" t="s">
        <v>4</v>
      </c>
      <c r="L49" s="114" t="s">
        <v>5</v>
      </c>
      <c r="M49" s="114" t="s">
        <v>6</v>
      </c>
      <c r="N49" s="114" t="s">
        <v>7</v>
      </c>
      <c r="O49" s="115" t="s">
        <v>90</v>
      </c>
      <c r="P49" s="117" t="s">
        <v>91</v>
      </c>
      <c r="Q49" s="116"/>
      <c r="R49" s="115" t="s">
        <v>56</v>
      </c>
      <c r="S49" s="116"/>
      <c r="T49" s="115" t="s">
        <v>57</v>
      </c>
    </row>
    <row r="50" spans="2:20" ht="39.75" customHeight="1" x14ac:dyDescent="0.2">
      <c r="B50" s="109" t="s">
        <v>13</v>
      </c>
      <c r="C50" s="74"/>
      <c r="D50" s="74"/>
      <c r="E50" s="74"/>
      <c r="F50" s="74"/>
      <c r="G50" s="74"/>
      <c r="H50" s="74"/>
      <c r="I50" s="74"/>
      <c r="J50" s="74"/>
      <c r="K50" s="74"/>
      <c r="L50" s="74"/>
      <c r="M50" s="74"/>
      <c r="N50" s="74"/>
      <c r="O50" s="75"/>
      <c r="P50" s="75"/>
      <c r="Q50" s="76"/>
      <c r="R50" s="75"/>
      <c r="S50" s="76"/>
      <c r="T50" s="75"/>
    </row>
    <row r="51" spans="2:20" x14ac:dyDescent="0.2">
      <c r="B51" s="77"/>
      <c r="C51" s="78"/>
      <c r="D51" s="78"/>
      <c r="E51" s="78"/>
      <c r="F51" s="78"/>
      <c r="G51" s="78"/>
      <c r="H51" s="78"/>
      <c r="I51" s="78"/>
      <c r="J51" s="78"/>
      <c r="K51" s="78"/>
      <c r="L51" s="78"/>
      <c r="M51" s="78"/>
      <c r="N51" s="78"/>
      <c r="O51" s="79"/>
      <c r="P51" s="79"/>
      <c r="Q51" s="76"/>
      <c r="R51" s="79"/>
      <c r="S51" s="76"/>
      <c r="T51" s="79"/>
    </row>
    <row r="52" spans="2:20" s="118" customFormat="1" ht="35.1" customHeight="1" x14ac:dyDescent="0.25">
      <c r="B52" s="119" t="s">
        <v>63</v>
      </c>
      <c r="C52" s="120">
        <v>174266817</v>
      </c>
      <c r="D52" s="120">
        <v>174693783</v>
      </c>
      <c r="E52" s="120">
        <v>174697349</v>
      </c>
      <c r="F52" s="120">
        <v>175480060</v>
      </c>
      <c r="G52" s="120">
        <v>174360007</v>
      </c>
      <c r="H52" s="120">
        <v>174360007</v>
      </c>
      <c r="I52" s="121"/>
      <c r="J52" s="121"/>
      <c r="K52" s="121"/>
      <c r="L52" s="121"/>
      <c r="M52" s="121"/>
      <c r="N52" s="121"/>
      <c r="O52" s="122">
        <f>SUM(C52:N52)</f>
        <v>1047858023</v>
      </c>
      <c r="P52" s="123">
        <f>O52/$O$60</f>
        <v>0.88577110582404861</v>
      </c>
      <c r="Q52" s="108"/>
      <c r="R52" s="124">
        <f>O52/6</f>
        <v>174643003.83333334</v>
      </c>
      <c r="S52" s="108"/>
      <c r="T52" s="125">
        <f>O52/182.5</f>
        <v>5741687.7972602742</v>
      </c>
    </row>
    <row r="53" spans="2:20" s="118" customFormat="1" ht="35.1" customHeight="1" x14ac:dyDescent="0.25">
      <c r="B53" s="119" t="s">
        <v>66</v>
      </c>
      <c r="C53" s="120">
        <v>256741</v>
      </c>
      <c r="D53" s="120">
        <v>253038</v>
      </c>
      <c r="E53" s="120">
        <v>249634</v>
      </c>
      <c r="F53" s="120">
        <v>249634</v>
      </c>
      <c r="G53" s="120">
        <v>244372</v>
      </c>
      <c r="H53" s="120">
        <v>232944</v>
      </c>
      <c r="I53" s="121"/>
      <c r="J53" s="121"/>
      <c r="K53" s="121"/>
      <c r="L53" s="121"/>
      <c r="M53" s="121"/>
      <c r="N53" s="121"/>
      <c r="O53" s="125">
        <f t="shared" ref="O53:O58" si="1">SUM(C53:N53)</f>
        <v>1486363</v>
      </c>
      <c r="P53" s="123">
        <f t="shared" ref="P53:P59" si="2">O53/$O$60</f>
        <v>1.256446359399541E-3</v>
      </c>
      <c r="Q53" s="108"/>
      <c r="R53" s="124">
        <f t="shared" ref="R53:R58" si="3">O53/6</f>
        <v>247727.16666666666</v>
      </c>
      <c r="S53" s="108"/>
      <c r="T53" s="125">
        <f t="shared" ref="T53:T58" si="4">O53/365</f>
        <v>4072.2273972602738</v>
      </c>
    </row>
    <row r="54" spans="2:20" s="118" customFormat="1" ht="35.1" customHeight="1" x14ac:dyDescent="0.25">
      <c r="B54" s="119" t="s">
        <v>67</v>
      </c>
      <c r="C54" s="120">
        <v>0</v>
      </c>
      <c r="D54" s="120">
        <v>89338</v>
      </c>
      <c r="E54" s="120">
        <v>26714</v>
      </c>
      <c r="F54" s="120">
        <v>93089</v>
      </c>
      <c r="G54" s="120">
        <v>136121</v>
      </c>
      <c r="H54" s="120">
        <v>0</v>
      </c>
      <c r="I54" s="121"/>
      <c r="J54" s="121"/>
      <c r="K54" s="121"/>
      <c r="L54" s="121"/>
      <c r="M54" s="121"/>
      <c r="N54" s="121"/>
      <c r="O54" s="125">
        <f t="shared" si="1"/>
        <v>345262</v>
      </c>
      <c r="P54" s="123">
        <f t="shared" si="2"/>
        <v>2.9185547738944275E-4</v>
      </c>
      <c r="Q54" s="108"/>
      <c r="R54" s="124">
        <f t="shared" si="3"/>
        <v>57543.666666666664</v>
      </c>
      <c r="S54" s="108"/>
      <c r="T54" s="125">
        <f t="shared" si="4"/>
        <v>945.92328767123286</v>
      </c>
    </row>
    <row r="55" spans="2:20" s="118" customFormat="1" ht="35.1" customHeight="1" x14ac:dyDescent="0.25">
      <c r="B55" s="119" t="s">
        <v>64</v>
      </c>
      <c r="C55" s="120">
        <f>110986516*20%</f>
        <v>22197303.200000003</v>
      </c>
      <c r="D55" s="120">
        <f>117551921*20%</f>
        <v>23510384.200000003</v>
      </c>
      <c r="E55" s="120">
        <f>103726202*20%</f>
        <v>20745240.400000002</v>
      </c>
      <c r="F55" s="120">
        <f>86239742*20%</f>
        <v>17247948.400000002</v>
      </c>
      <c r="G55" s="120">
        <f>95788195*20%</f>
        <v>19157639</v>
      </c>
      <c r="H55" s="120">
        <f>82757279*20%</f>
        <v>16551455.800000001</v>
      </c>
      <c r="I55" s="121"/>
      <c r="J55" s="121"/>
      <c r="K55" s="121"/>
      <c r="L55" s="121"/>
      <c r="M55" s="121"/>
      <c r="N55" s="121"/>
      <c r="O55" s="125">
        <f>SUM(C55:N55)</f>
        <v>119409971.00000001</v>
      </c>
      <c r="P55" s="123">
        <f t="shared" si="2"/>
        <v>0.10093915371881215</v>
      </c>
      <c r="Q55" s="108"/>
      <c r="R55" s="124">
        <f t="shared" si="3"/>
        <v>19901661.833333336</v>
      </c>
      <c r="S55" s="108"/>
      <c r="T55" s="125">
        <f t="shared" si="4"/>
        <v>327150.60547945212</v>
      </c>
    </row>
    <row r="56" spans="2:20" s="118" customFormat="1" ht="35.1" customHeight="1" x14ac:dyDescent="0.25">
      <c r="B56" s="119" t="s">
        <v>65</v>
      </c>
      <c r="C56" s="120">
        <v>915000</v>
      </c>
      <c r="D56" s="120">
        <v>915000</v>
      </c>
      <c r="E56" s="120">
        <v>930000</v>
      </c>
      <c r="F56" s="120">
        <v>800000</v>
      </c>
      <c r="G56" s="120">
        <v>815000</v>
      </c>
      <c r="H56" s="120">
        <v>815000</v>
      </c>
      <c r="I56" s="121"/>
      <c r="J56" s="121"/>
      <c r="K56" s="121"/>
      <c r="L56" s="121"/>
      <c r="M56" s="121"/>
      <c r="N56" s="121"/>
      <c r="O56" s="125">
        <f t="shared" si="1"/>
        <v>5190000</v>
      </c>
      <c r="P56" s="123">
        <f t="shared" si="2"/>
        <v>4.387189808467795E-3</v>
      </c>
      <c r="Q56" s="108"/>
      <c r="R56" s="124">
        <f t="shared" si="3"/>
        <v>865000</v>
      </c>
      <c r="S56" s="108"/>
      <c r="T56" s="125">
        <f t="shared" si="4"/>
        <v>14219.17808219178</v>
      </c>
    </row>
    <row r="57" spans="2:20" s="118" customFormat="1" ht="35.1" customHeight="1" x14ac:dyDescent="0.25">
      <c r="B57" s="119" t="s">
        <v>68</v>
      </c>
      <c r="C57" s="121"/>
      <c r="D57" s="121"/>
      <c r="E57" s="121"/>
      <c r="F57" s="121"/>
      <c r="G57" s="121"/>
      <c r="H57" s="121"/>
      <c r="I57" s="121"/>
      <c r="J57" s="121"/>
      <c r="K57" s="121"/>
      <c r="L57" s="121"/>
      <c r="M57" s="121"/>
      <c r="N57" s="121"/>
      <c r="O57" s="125">
        <f t="shared" si="1"/>
        <v>0</v>
      </c>
      <c r="P57" s="123">
        <f t="shared" si="2"/>
        <v>0</v>
      </c>
      <c r="Q57" s="108"/>
      <c r="R57" s="124">
        <f t="shared" si="3"/>
        <v>0</v>
      </c>
      <c r="S57" s="108"/>
      <c r="T57" s="125">
        <f t="shared" si="4"/>
        <v>0</v>
      </c>
    </row>
    <row r="58" spans="2:20" s="118" customFormat="1" ht="35.1" customHeight="1" x14ac:dyDescent="0.25">
      <c r="B58" s="126" t="s">
        <v>94</v>
      </c>
      <c r="C58" s="121">
        <v>1450000</v>
      </c>
      <c r="D58" s="121">
        <v>1450000</v>
      </c>
      <c r="E58" s="121">
        <v>1450000</v>
      </c>
      <c r="F58" s="121">
        <v>1450000</v>
      </c>
      <c r="G58" s="121">
        <v>1450000</v>
      </c>
      <c r="H58" s="121">
        <v>1450000</v>
      </c>
      <c r="I58" s="121"/>
      <c r="J58" s="121"/>
      <c r="K58" s="121"/>
      <c r="L58" s="121"/>
      <c r="M58" s="121"/>
      <c r="N58" s="121"/>
      <c r="O58" s="125">
        <f t="shared" si="1"/>
        <v>8700000</v>
      </c>
      <c r="P58" s="123">
        <f t="shared" si="2"/>
        <v>7.3542488118824309E-3</v>
      </c>
      <c r="Q58" s="108"/>
      <c r="R58" s="124">
        <f t="shared" si="3"/>
        <v>1450000</v>
      </c>
      <c r="S58" s="108"/>
      <c r="T58" s="125">
        <f t="shared" si="4"/>
        <v>23835.616438356163</v>
      </c>
    </row>
    <row r="59" spans="2:20" s="118" customFormat="1" ht="22.5" customHeight="1" x14ac:dyDescent="0.25">
      <c r="B59" s="126"/>
      <c r="C59" s="127"/>
      <c r="D59" s="127"/>
      <c r="E59" s="127"/>
      <c r="F59" s="127"/>
      <c r="G59" s="127"/>
      <c r="H59" s="127"/>
      <c r="I59" s="127"/>
      <c r="J59" s="127"/>
      <c r="K59" s="127"/>
      <c r="L59" s="127"/>
      <c r="M59" s="127"/>
      <c r="N59" s="127"/>
      <c r="O59" s="127"/>
      <c r="P59" s="123">
        <f t="shared" si="2"/>
        <v>0</v>
      </c>
      <c r="Q59" s="108"/>
      <c r="R59" s="127"/>
      <c r="S59" s="108"/>
      <c r="T59" s="127"/>
    </row>
    <row r="60" spans="2:20" s="118" customFormat="1" ht="35.1" customHeight="1" x14ac:dyDescent="0.25">
      <c r="B60" s="128" t="s">
        <v>0</v>
      </c>
      <c r="C60" s="129">
        <f t="shared" ref="C60:N60" si="5">SUM(C52:C58)</f>
        <v>199085861.19999999</v>
      </c>
      <c r="D60" s="129">
        <f t="shared" si="5"/>
        <v>200911543.19999999</v>
      </c>
      <c r="E60" s="129">
        <f t="shared" si="5"/>
        <v>198098937.40000001</v>
      </c>
      <c r="F60" s="129">
        <f t="shared" si="5"/>
        <v>195320731.40000001</v>
      </c>
      <c r="G60" s="129">
        <f t="shared" si="5"/>
        <v>196163139</v>
      </c>
      <c r="H60" s="129">
        <f t="shared" si="5"/>
        <v>193409406.80000001</v>
      </c>
      <c r="I60" s="129">
        <f t="shared" si="5"/>
        <v>0</v>
      </c>
      <c r="J60" s="129">
        <f t="shared" si="5"/>
        <v>0</v>
      </c>
      <c r="K60" s="129">
        <f t="shared" si="5"/>
        <v>0</v>
      </c>
      <c r="L60" s="129">
        <f t="shared" si="5"/>
        <v>0</v>
      </c>
      <c r="M60" s="129">
        <f t="shared" si="5"/>
        <v>0</v>
      </c>
      <c r="N60" s="129">
        <f t="shared" si="5"/>
        <v>0</v>
      </c>
      <c r="O60" s="130">
        <f>SUM(C60:N60)</f>
        <v>1182989619</v>
      </c>
      <c r="P60" s="130"/>
      <c r="Q60" s="108"/>
      <c r="R60" s="130">
        <f>SUM(R52:R58)</f>
        <v>197164936.5</v>
      </c>
      <c r="S60" s="108"/>
      <c r="T60" s="130">
        <f>SUM(T52:T58)</f>
        <v>6111911.3479452049</v>
      </c>
    </row>
    <row r="61" spans="2:20" ht="35.1" customHeight="1" x14ac:dyDescent="0.2">
      <c r="B61" s="73"/>
      <c r="C61" s="80"/>
      <c r="D61" s="80"/>
      <c r="E61" s="80"/>
      <c r="F61" s="80"/>
      <c r="G61" s="80"/>
      <c r="H61" s="80"/>
      <c r="I61" s="80"/>
      <c r="J61" s="80"/>
      <c r="K61" s="80"/>
      <c r="L61" s="80"/>
      <c r="M61" s="80"/>
      <c r="N61" s="80"/>
      <c r="O61" s="80"/>
      <c r="P61" s="80"/>
      <c r="Q61" s="70"/>
      <c r="R61" s="80"/>
      <c r="S61" s="70"/>
      <c r="T61" s="80"/>
    </row>
    <row r="62" spans="2:20" ht="35.1" customHeight="1" x14ac:dyDescent="0.2">
      <c r="B62" s="110" t="s">
        <v>62</v>
      </c>
      <c r="C62" s="81"/>
      <c r="D62" s="81"/>
      <c r="E62" s="81"/>
      <c r="F62" s="81"/>
      <c r="G62" s="81"/>
      <c r="H62" s="81"/>
      <c r="I62" s="81"/>
      <c r="J62" s="81"/>
      <c r="K62" s="81"/>
      <c r="L62" s="81"/>
      <c r="M62" s="81"/>
      <c r="N62" s="81"/>
      <c r="O62" s="81"/>
      <c r="P62" s="81"/>
      <c r="Q62" s="70"/>
      <c r="R62" s="81"/>
      <c r="S62" s="70"/>
      <c r="T62" s="81"/>
    </row>
    <row r="63" spans="2:20" ht="35.1" customHeight="1" x14ac:dyDescent="0.2">
      <c r="B63" s="82"/>
      <c r="C63" s="83"/>
      <c r="D63" s="83"/>
      <c r="E63" s="83"/>
      <c r="F63" s="83"/>
      <c r="G63" s="83"/>
      <c r="H63" s="83"/>
      <c r="I63" s="83"/>
      <c r="J63" s="83"/>
      <c r="K63" s="83"/>
      <c r="L63" s="83"/>
      <c r="M63" s="83"/>
      <c r="N63" s="83"/>
      <c r="O63" s="83"/>
      <c r="P63" s="83"/>
      <c r="Q63" s="70"/>
      <c r="R63" s="83"/>
      <c r="S63" s="70"/>
      <c r="T63" s="83"/>
    </row>
    <row r="64" spans="2:20" s="118" customFormat="1" ht="35.1" customHeight="1" x14ac:dyDescent="0.25">
      <c r="B64" s="131" t="s">
        <v>92</v>
      </c>
      <c r="C64" s="132">
        <v>0</v>
      </c>
      <c r="D64" s="132">
        <v>0</v>
      </c>
      <c r="E64" s="132">
        <v>0</v>
      </c>
      <c r="F64" s="132">
        <v>0</v>
      </c>
      <c r="G64" s="132">
        <v>0</v>
      </c>
      <c r="H64" s="132">
        <v>0</v>
      </c>
      <c r="I64" s="132">
        <v>0</v>
      </c>
      <c r="J64" s="132">
        <v>0</v>
      </c>
      <c r="K64" s="132">
        <v>0</v>
      </c>
      <c r="L64" s="132">
        <v>0</v>
      </c>
      <c r="M64" s="132">
        <v>0</v>
      </c>
      <c r="N64" s="132">
        <v>2650000000</v>
      </c>
      <c r="O64" s="133">
        <f t="shared" ref="O64:O67" si="6">SUM(C64:N64)</f>
        <v>2650000000</v>
      </c>
      <c r="P64" s="123">
        <f>O64/$O$69</f>
        <v>0.36301369863013699</v>
      </c>
      <c r="Q64" s="108"/>
      <c r="R64" s="134">
        <f>O64/6</f>
        <v>441666666.66666669</v>
      </c>
      <c r="S64" s="108"/>
      <c r="T64" s="133">
        <f>O64/182.5</f>
        <v>14520547.94520548</v>
      </c>
    </row>
    <row r="65" spans="2:20" s="118" customFormat="1" ht="35.1" customHeight="1" x14ac:dyDescent="0.25">
      <c r="B65" s="131" t="s">
        <v>93</v>
      </c>
      <c r="C65" s="132">
        <v>0</v>
      </c>
      <c r="D65" s="132">
        <v>0</v>
      </c>
      <c r="E65" s="132">
        <v>0</v>
      </c>
      <c r="F65" s="132">
        <v>0</v>
      </c>
      <c r="G65" s="132">
        <v>0</v>
      </c>
      <c r="H65" s="132">
        <v>0</v>
      </c>
      <c r="I65" s="132">
        <v>0</v>
      </c>
      <c r="J65" s="132">
        <v>0</v>
      </c>
      <c r="K65" s="132">
        <v>0</v>
      </c>
      <c r="L65" s="132">
        <v>0</v>
      </c>
      <c r="M65" s="132">
        <v>0</v>
      </c>
      <c r="N65" s="132">
        <v>2150000000</v>
      </c>
      <c r="O65" s="133">
        <f t="shared" si="6"/>
        <v>2150000000</v>
      </c>
      <c r="P65" s="123">
        <f t="shared" ref="P65:P67" si="7">O65/$O$69</f>
        <v>0.29452054794520549</v>
      </c>
      <c r="Q65" s="108"/>
      <c r="R65" s="134">
        <f t="shared" ref="R65:R67" si="8">O65/6</f>
        <v>358333333.33333331</v>
      </c>
      <c r="S65" s="108"/>
      <c r="T65" s="133">
        <f t="shared" ref="T65:T67" si="9">O65/182.5</f>
        <v>11780821.91780822</v>
      </c>
    </row>
    <row r="66" spans="2:20" s="118" customFormat="1" ht="35.1" customHeight="1" x14ac:dyDescent="0.25">
      <c r="B66" s="131" t="s">
        <v>81</v>
      </c>
      <c r="C66" s="132">
        <v>0</v>
      </c>
      <c r="D66" s="132">
        <v>0</v>
      </c>
      <c r="E66" s="132">
        <v>0</v>
      </c>
      <c r="F66" s="132">
        <v>0</v>
      </c>
      <c r="G66" s="132">
        <v>0</v>
      </c>
      <c r="H66" s="132">
        <v>0</v>
      </c>
      <c r="I66" s="132">
        <v>0</v>
      </c>
      <c r="J66" s="132">
        <v>0</v>
      </c>
      <c r="K66" s="132">
        <v>0</v>
      </c>
      <c r="L66" s="132">
        <v>0</v>
      </c>
      <c r="M66" s="132">
        <v>0</v>
      </c>
      <c r="N66" s="132">
        <v>1250000000</v>
      </c>
      <c r="O66" s="133">
        <f t="shared" si="6"/>
        <v>1250000000</v>
      </c>
      <c r="P66" s="123">
        <f t="shared" si="7"/>
        <v>0.17123287671232876</v>
      </c>
      <c r="Q66" s="108"/>
      <c r="R66" s="134">
        <f t="shared" si="8"/>
        <v>208333333.33333334</v>
      </c>
      <c r="S66" s="108"/>
      <c r="T66" s="133">
        <f t="shared" si="9"/>
        <v>6849315.0684931511</v>
      </c>
    </row>
    <row r="67" spans="2:20" s="118" customFormat="1" ht="35.1" customHeight="1" x14ac:dyDescent="0.25">
      <c r="B67" s="131" t="s">
        <v>82</v>
      </c>
      <c r="C67" s="132">
        <v>0</v>
      </c>
      <c r="D67" s="132">
        <v>0</v>
      </c>
      <c r="E67" s="132">
        <v>0</v>
      </c>
      <c r="F67" s="132">
        <v>0</v>
      </c>
      <c r="G67" s="132">
        <v>0</v>
      </c>
      <c r="H67" s="132">
        <v>0</v>
      </c>
      <c r="I67" s="132">
        <v>0</v>
      </c>
      <c r="J67" s="132">
        <v>0</v>
      </c>
      <c r="K67" s="132">
        <v>0</v>
      </c>
      <c r="L67" s="132">
        <v>0</v>
      </c>
      <c r="M67" s="132">
        <v>0</v>
      </c>
      <c r="N67" s="132">
        <v>1250000000</v>
      </c>
      <c r="O67" s="133">
        <f t="shared" si="6"/>
        <v>1250000000</v>
      </c>
      <c r="P67" s="123">
        <f t="shared" si="7"/>
        <v>0.17123287671232876</v>
      </c>
      <c r="Q67" s="108"/>
      <c r="R67" s="134">
        <f t="shared" si="8"/>
        <v>208333333.33333334</v>
      </c>
      <c r="S67" s="108"/>
      <c r="T67" s="133">
        <f t="shared" si="9"/>
        <v>6849315.0684931511</v>
      </c>
    </row>
    <row r="68" spans="2:20" s="118" customFormat="1" ht="35.1" customHeight="1" x14ac:dyDescent="0.25">
      <c r="B68" s="131"/>
      <c r="C68" s="135"/>
      <c r="D68" s="135"/>
      <c r="E68" s="135"/>
      <c r="F68" s="135"/>
      <c r="G68" s="135"/>
      <c r="H68" s="135"/>
      <c r="I68" s="135"/>
      <c r="J68" s="135"/>
      <c r="K68" s="135"/>
      <c r="L68" s="135"/>
      <c r="M68" s="135"/>
      <c r="N68" s="135"/>
      <c r="O68" s="135"/>
      <c r="P68" s="135"/>
      <c r="Q68" s="108"/>
      <c r="R68" s="135"/>
      <c r="S68" s="108"/>
      <c r="T68" s="135"/>
    </row>
    <row r="69" spans="2:20" s="118" customFormat="1" ht="35.1" customHeight="1" x14ac:dyDescent="0.25">
      <c r="B69" s="136" t="s">
        <v>0</v>
      </c>
      <c r="C69" s="137">
        <f t="shared" ref="C69:N69" si="10">SUM(C64:C67)</f>
        <v>0</v>
      </c>
      <c r="D69" s="137">
        <f t="shared" si="10"/>
        <v>0</v>
      </c>
      <c r="E69" s="137">
        <f t="shared" si="10"/>
        <v>0</v>
      </c>
      <c r="F69" s="137">
        <f t="shared" si="10"/>
        <v>0</v>
      </c>
      <c r="G69" s="137">
        <f t="shared" si="10"/>
        <v>0</v>
      </c>
      <c r="H69" s="137">
        <f t="shared" si="10"/>
        <v>0</v>
      </c>
      <c r="I69" s="137">
        <f t="shared" si="10"/>
        <v>0</v>
      </c>
      <c r="J69" s="137">
        <f t="shared" si="10"/>
        <v>0</v>
      </c>
      <c r="K69" s="137">
        <f t="shared" si="10"/>
        <v>0</v>
      </c>
      <c r="L69" s="137">
        <f t="shared" si="10"/>
        <v>0</v>
      </c>
      <c r="M69" s="137">
        <f t="shared" si="10"/>
        <v>0</v>
      </c>
      <c r="N69" s="137">
        <f t="shared" si="10"/>
        <v>7300000000</v>
      </c>
      <c r="O69" s="138">
        <f>SUM(C69:N69)</f>
        <v>7300000000</v>
      </c>
      <c r="P69" s="138"/>
      <c r="Q69" s="108"/>
      <c r="R69" s="138">
        <f>SUM(R64:R67)</f>
        <v>1216666666.6666667</v>
      </c>
      <c r="S69" s="108"/>
      <c r="T69" s="138">
        <f>SUM(T64:T67)</f>
        <v>40000000</v>
      </c>
    </row>
    <row r="70" spans="2:20" ht="35.1" customHeight="1" x14ac:dyDescent="0.2">
      <c r="B70" s="85"/>
      <c r="C70" s="86"/>
      <c r="D70" s="86"/>
      <c r="E70" s="86"/>
      <c r="F70" s="86"/>
      <c r="G70" s="86"/>
      <c r="H70" s="86"/>
      <c r="I70" s="86"/>
      <c r="J70" s="86"/>
      <c r="K70" s="86"/>
      <c r="L70" s="86"/>
      <c r="M70" s="86"/>
      <c r="N70" s="86"/>
      <c r="O70" s="86"/>
      <c r="P70" s="86"/>
      <c r="Q70" s="70"/>
      <c r="R70" s="86"/>
      <c r="S70" s="70"/>
      <c r="T70" s="86"/>
    </row>
    <row r="71" spans="2:20" ht="39.75" customHeight="1" x14ac:dyDescent="0.2">
      <c r="B71" s="111" t="s">
        <v>20</v>
      </c>
      <c r="C71" s="87"/>
      <c r="D71" s="87"/>
      <c r="E71" s="87"/>
      <c r="F71" s="87"/>
      <c r="G71" s="87"/>
      <c r="H71" s="87"/>
      <c r="I71" s="87"/>
      <c r="J71" s="87"/>
      <c r="K71" s="87"/>
      <c r="L71" s="87"/>
      <c r="M71" s="87"/>
      <c r="N71" s="87"/>
      <c r="O71" s="87"/>
      <c r="P71" s="87"/>
      <c r="Q71" s="70"/>
      <c r="R71" s="87"/>
      <c r="S71" s="70"/>
      <c r="T71" s="87"/>
    </row>
    <row r="72" spans="2:20" s="118" customFormat="1" ht="35.1" customHeight="1" x14ac:dyDescent="0.25">
      <c r="B72" s="139" t="s">
        <v>77</v>
      </c>
      <c r="C72" s="140"/>
      <c r="D72" s="140"/>
      <c r="E72" s="140"/>
      <c r="F72" s="140"/>
      <c r="G72" s="140"/>
      <c r="H72" s="140"/>
      <c r="I72" s="140"/>
      <c r="J72" s="140"/>
      <c r="K72" s="140"/>
      <c r="L72" s="140"/>
      <c r="M72" s="140"/>
      <c r="N72" s="140"/>
      <c r="O72" s="140"/>
      <c r="P72" s="140"/>
      <c r="Q72" s="108"/>
      <c r="R72" s="140"/>
      <c r="S72" s="108"/>
      <c r="T72" s="140"/>
    </row>
    <row r="73" spans="2:20" s="118" customFormat="1" ht="35.1" customHeight="1" x14ac:dyDescent="0.25">
      <c r="B73" s="141" t="s">
        <v>70</v>
      </c>
      <c r="C73" s="132">
        <v>11520000</v>
      </c>
      <c r="D73" s="132">
        <v>35390000</v>
      </c>
      <c r="E73" s="132">
        <v>28345000</v>
      </c>
      <c r="F73" s="132">
        <v>39380000</v>
      </c>
      <c r="G73" s="132">
        <v>30160000</v>
      </c>
      <c r="H73" s="132">
        <v>8850000</v>
      </c>
      <c r="I73" s="132">
        <v>0</v>
      </c>
      <c r="J73" s="132">
        <v>0</v>
      </c>
      <c r="K73" s="132">
        <v>0</v>
      </c>
      <c r="L73" s="132">
        <v>0</v>
      </c>
      <c r="M73" s="132">
        <v>0</v>
      </c>
      <c r="N73" s="132">
        <v>0</v>
      </c>
      <c r="O73" s="142">
        <f>SUM(C73:N73)</f>
        <v>153645000</v>
      </c>
      <c r="P73" s="143">
        <f>O73/$O$80</f>
        <v>0.14136413704726486</v>
      </c>
      <c r="Q73" s="108"/>
      <c r="R73" s="142">
        <f>O73/6</f>
        <v>25607500</v>
      </c>
      <c r="S73" s="108"/>
      <c r="T73" s="142">
        <f>O73/182.5</f>
        <v>841890.41095890407</v>
      </c>
    </row>
    <row r="74" spans="2:20" s="118" customFormat="1" ht="35.1" customHeight="1" x14ac:dyDescent="0.25">
      <c r="B74" s="141" t="s">
        <v>71</v>
      </c>
      <c r="C74" s="132">
        <v>6304760</v>
      </c>
      <c r="D74" s="132">
        <v>101801385</v>
      </c>
      <c r="E74" s="132">
        <v>79115214</v>
      </c>
      <c r="F74" s="132">
        <v>22047492</v>
      </c>
      <c r="G74" s="132">
        <v>151559848</v>
      </c>
      <c r="H74" s="132">
        <v>143347897</v>
      </c>
      <c r="I74" s="132">
        <v>0</v>
      </c>
      <c r="J74" s="132">
        <v>0</v>
      </c>
      <c r="K74" s="132">
        <v>0</v>
      </c>
      <c r="L74" s="132">
        <v>0</v>
      </c>
      <c r="M74" s="132">
        <v>0</v>
      </c>
      <c r="N74" s="132">
        <v>0</v>
      </c>
      <c r="O74" s="142">
        <f t="shared" ref="O74:O79" si="11">SUM(C74:N74)</f>
        <v>504176596</v>
      </c>
      <c r="P74" s="143">
        <f t="shared" ref="P74:P79" si="12">O74/$O$80</f>
        <v>0.46387770127871053</v>
      </c>
      <c r="Q74" s="108"/>
      <c r="R74" s="142">
        <f t="shared" ref="R74:R79" si="13">O74/6</f>
        <v>84029432.666666672</v>
      </c>
      <c r="S74" s="108"/>
      <c r="T74" s="142">
        <f t="shared" ref="T74:T79" si="14">O74/182.5</f>
        <v>2762611.4849315067</v>
      </c>
    </row>
    <row r="75" spans="2:20" s="118" customFormat="1" ht="35.1" customHeight="1" x14ac:dyDescent="0.25">
      <c r="B75" s="141" t="s">
        <v>72</v>
      </c>
      <c r="C75" s="132">
        <v>0</v>
      </c>
      <c r="D75" s="132">
        <v>33347074</v>
      </c>
      <c r="E75" s="132">
        <v>11252142</v>
      </c>
      <c r="F75" s="132">
        <v>11985641</v>
      </c>
      <c r="G75" s="132">
        <v>9101968</v>
      </c>
      <c r="H75" s="132">
        <v>40630167</v>
      </c>
      <c r="I75" s="132">
        <v>0</v>
      </c>
      <c r="J75" s="132">
        <v>0</v>
      </c>
      <c r="K75" s="132">
        <v>0</v>
      </c>
      <c r="L75" s="132">
        <v>0</v>
      </c>
      <c r="M75" s="132">
        <v>0</v>
      </c>
      <c r="N75" s="132">
        <v>0</v>
      </c>
      <c r="O75" s="142">
        <f t="shared" si="11"/>
        <v>106316992</v>
      </c>
      <c r="P75" s="143">
        <f t="shared" si="12"/>
        <v>9.7819062302977391E-2</v>
      </c>
      <c r="Q75" s="108"/>
      <c r="R75" s="142">
        <f t="shared" si="13"/>
        <v>17719498.666666668</v>
      </c>
      <c r="S75" s="108"/>
      <c r="T75" s="142">
        <f t="shared" si="14"/>
        <v>582558.86027397262</v>
      </c>
    </row>
    <row r="76" spans="2:20" s="118" customFormat="1" ht="35.1" customHeight="1" x14ac:dyDescent="0.25">
      <c r="B76" s="141" t="s">
        <v>73</v>
      </c>
      <c r="C76" s="144">
        <v>3500000</v>
      </c>
      <c r="D76" s="132">
        <v>4150000</v>
      </c>
      <c r="E76" s="132">
        <v>4600000</v>
      </c>
      <c r="F76" s="132">
        <v>2600000</v>
      </c>
      <c r="G76" s="132">
        <v>2400000</v>
      </c>
      <c r="H76" s="132">
        <v>0</v>
      </c>
      <c r="I76" s="132">
        <v>0</v>
      </c>
      <c r="J76" s="132">
        <v>0</v>
      </c>
      <c r="K76" s="132">
        <v>0</v>
      </c>
      <c r="L76" s="132">
        <v>0</v>
      </c>
      <c r="M76" s="132">
        <v>0</v>
      </c>
      <c r="N76" s="132">
        <v>0</v>
      </c>
      <c r="O76" s="142">
        <f t="shared" si="11"/>
        <v>17250000</v>
      </c>
      <c r="P76" s="143">
        <f t="shared" si="12"/>
        <v>1.5871205467573424E-2</v>
      </c>
      <c r="Q76" s="108"/>
      <c r="R76" s="142">
        <f t="shared" si="13"/>
        <v>2875000</v>
      </c>
      <c r="S76" s="108"/>
      <c r="T76" s="142">
        <f t="shared" si="14"/>
        <v>94520.547945205486</v>
      </c>
    </row>
    <row r="77" spans="2:20" s="118" customFormat="1" ht="35.1" customHeight="1" x14ac:dyDescent="0.25">
      <c r="B77" s="141" t="s">
        <v>74</v>
      </c>
      <c r="C77" s="144">
        <v>5373440</v>
      </c>
      <c r="D77" s="132">
        <v>25806345</v>
      </c>
      <c r="E77" s="132">
        <v>29691340</v>
      </c>
      <c r="F77" s="132">
        <v>15079040</v>
      </c>
      <c r="G77" s="132">
        <v>25772420</v>
      </c>
      <c r="H77" s="132">
        <v>4699764</v>
      </c>
      <c r="I77" s="132">
        <v>0</v>
      </c>
      <c r="J77" s="132">
        <v>0</v>
      </c>
      <c r="K77" s="132">
        <v>0</v>
      </c>
      <c r="L77" s="132">
        <v>0</v>
      </c>
      <c r="M77" s="132">
        <v>0</v>
      </c>
      <c r="N77" s="132">
        <v>0</v>
      </c>
      <c r="O77" s="142">
        <f t="shared" si="11"/>
        <v>106422349</v>
      </c>
      <c r="P77" s="143">
        <f t="shared" si="12"/>
        <v>9.7915998105554028E-2</v>
      </c>
      <c r="Q77" s="108"/>
      <c r="R77" s="142">
        <f t="shared" si="13"/>
        <v>17737058.166666668</v>
      </c>
      <c r="S77" s="108"/>
      <c r="T77" s="142">
        <f t="shared" si="14"/>
        <v>583136.15890410962</v>
      </c>
    </row>
    <row r="78" spans="2:20" s="118" customFormat="1" ht="35.1" customHeight="1" x14ac:dyDescent="0.25">
      <c r="B78" s="141" t="s">
        <v>75</v>
      </c>
      <c r="C78" s="144">
        <v>4597635</v>
      </c>
      <c r="D78" s="132">
        <v>21069951</v>
      </c>
      <c r="E78" s="132">
        <v>389000</v>
      </c>
      <c r="F78" s="132">
        <v>51800</v>
      </c>
      <c r="G78" s="132">
        <v>48570</v>
      </c>
      <c r="H78" s="132">
        <v>47000</v>
      </c>
      <c r="I78" s="132">
        <v>0</v>
      </c>
      <c r="J78" s="132">
        <v>0</v>
      </c>
      <c r="K78" s="132">
        <v>0</v>
      </c>
      <c r="L78" s="132">
        <v>0</v>
      </c>
      <c r="M78" s="132">
        <v>0</v>
      </c>
      <c r="N78" s="132">
        <v>0</v>
      </c>
      <c r="O78" s="142">
        <f t="shared" si="11"/>
        <v>26203956</v>
      </c>
      <c r="P78" s="143">
        <f t="shared" si="12"/>
        <v>2.4109470709521935E-2</v>
      </c>
      <c r="Q78" s="108"/>
      <c r="R78" s="142">
        <f t="shared" si="13"/>
        <v>4367326</v>
      </c>
      <c r="S78" s="108"/>
      <c r="T78" s="142">
        <f t="shared" si="14"/>
        <v>143583.32054794522</v>
      </c>
    </row>
    <row r="79" spans="2:20" s="118" customFormat="1" ht="35.1" customHeight="1" x14ac:dyDescent="0.25">
      <c r="B79" s="141" t="s">
        <v>76</v>
      </c>
      <c r="C79" s="144">
        <v>47361023</v>
      </c>
      <c r="D79" s="132">
        <v>13196205</v>
      </c>
      <c r="E79" s="132">
        <v>60912824</v>
      </c>
      <c r="F79" s="132">
        <v>48625612</v>
      </c>
      <c r="G79" s="132">
        <v>1012140</v>
      </c>
      <c r="H79" s="132">
        <v>1751267</v>
      </c>
      <c r="I79" s="132">
        <v>0</v>
      </c>
      <c r="J79" s="132">
        <v>0</v>
      </c>
      <c r="K79" s="132">
        <v>0</v>
      </c>
      <c r="L79" s="132">
        <v>0</v>
      </c>
      <c r="M79" s="132">
        <v>0</v>
      </c>
      <c r="N79" s="132">
        <v>0</v>
      </c>
      <c r="O79" s="142">
        <f t="shared" si="11"/>
        <v>172859071</v>
      </c>
      <c r="P79" s="143">
        <f t="shared" si="12"/>
        <v>0.15904242508839783</v>
      </c>
      <c r="Q79" s="108"/>
      <c r="R79" s="142">
        <f t="shared" si="13"/>
        <v>28809845.166666668</v>
      </c>
      <c r="S79" s="108"/>
      <c r="T79" s="142">
        <f t="shared" si="14"/>
        <v>947172.99178082193</v>
      </c>
    </row>
    <row r="80" spans="2:20" s="118" customFormat="1" ht="35.1" customHeight="1" x14ac:dyDescent="0.25">
      <c r="B80" s="145"/>
      <c r="C80" s="146">
        <f t="shared" ref="C80:O80" si="15">SUM(C73:C79)</f>
        <v>78656858</v>
      </c>
      <c r="D80" s="146">
        <f t="shared" si="15"/>
        <v>234760960</v>
      </c>
      <c r="E80" s="146">
        <f t="shared" si="15"/>
        <v>214305520</v>
      </c>
      <c r="F80" s="146">
        <f t="shared" si="15"/>
        <v>139769585</v>
      </c>
      <c r="G80" s="146">
        <f t="shared" si="15"/>
        <v>220054946</v>
      </c>
      <c r="H80" s="146">
        <f t="shared" si="15"/>
        <v>199326095</v>
      </c>
      <c r="I80" s="146">
        <f t="shared" si="15"/>
        <v>0</v>
      </c>
      <c r="J80" s="146">
        <f t="shared" si="15"/>
        <v>0</v>
      </c>
      <c r="K80" s="146">
        <f t="shared" si="15"/>
        <v>0</v>
      </c>
      <c r="L80" s="146">
        <f t="shared" si="15"/>
        <v>0</v>
      </c>
      <c r="M80" s="146">
        <f t="shared" si="15"/>
        <v>0</v>
      </c>
      <c r="N80" s="146">
        <f t="shared" si="15"/>
        <v>0</v>
      </c>
      <c r="O80" s="146">
        <f t="shared" si="15"/>
        <v>1086873964</v>
      </c>
      <c r="P80" s="146"/>
      <c r="Q80" s="108"/>
      <c r="R80" s="146">
        <f>SUM(R73:R79)</f>
        <v>181145660.66666666</v>
      </c>
      <c r="S80" s="108"/>
      <c r="T80" s="146">
        <f>SUM(T73:T79)</f>
        <v>5955473.7753424663</v>
      </c>
    </row>
    <row r="81" spans="2:20" ht="35.1" customHeight="1" x14ac:dyDescent="0.2">
      <c r="B81" s="112" t="s">
        <v>95</v>
      </c>
      <c r="C81" s="88"/>
      <c r="D81" s="88"/>
      <c r="E81" s="88"/>
      <c r="F81" s="88"/>
      <c r="G81" s="88"/>
      <c r="H81" s="88"/>
      <c r="I81" s="88"/>
      <c r="J81" s="88"/>
      <c r="K81" s="88"/>
      <c r="L81" s="88"/>
      <c r="M81" s="88"/>
      <c r="N81" s="88"/>
      <c r="O81" s="86"/>
      <c r="P81" s="86"/>
      <c r="Q81" s="70"/>
      <c r="R81" s="86"/>
      <c r="S81" s="70"/>
      <c r="T81" s="86"/>
    </row>
    <row r="82" spans="2:20" s="118" customFormat="1" ht="35.1" customHeight="1" x14ac:dyDescent="0.25">
      <c r="B82" s="145" t="s">
        <v>79</v>
      </c>
      <c r="C82" s="144">
        <v>1309108</v>
      </c>
      <c r="D82" s="132">
        <v>189608</v>
      </c>
      <c r="E82" s="132">
        <v>1356048</v>
      </c>
      <c r="F82" s="132">
        <v>1206049</v>
      </c>
      <c r="G82" s="132">
        <v>1462199</v>
      </c>
      <c r="H82" s="144">
        <v>1565001</v>
      </c>
      <c r="I82" s="132">
        <v>0</v>
      </c>
      <c r="J82" s="132">
        <v>0</v>
      </c>
      <c r="K82" s="132">
        <v>0</v>
      </c>
      <c r="L82" s="132">
        <v>0</v>
      </c>
      <c r="M82" s="132">
        <v>0</v>
      </c>
      <c r="N82" s="132">
        <v>0</v>
      </c>
      <c r="O82" s="142">
        <f t="shared" ref="O82:O83" si="16">SUM(C82:N82)</f>
        <v>7088013</v>
      </c>
      <c r="P82" s="142"/>
      <c r="Q82" s="108"/>
      <c r="R82" s="142">
        <f t="shared" ref="R82:R83" si="17">O82/12</f>
        <v>590667.75</v>
      </c>
      <c r="S82" s="108"/>
      <c r="T82" s="142">
        <f t="shared" ref="T82:T83" si="18">O82/365</f>
        <v>19419.213698630138</v>
      </c>
    </row>
    <row r="83" spans="2:20" s="118" customFormat="1" ht="35.1" customHeight="1" x14ac:dyDescent="0.25">
      <c r="B83" s="145" t="s">
        <v>96</v>
      </c>
      <c r="C83" s="144"/>
      <c r="D83" s="132">
        <v>0</v>
      </c>
      <c r="E83" s="132">
        <v>0</v>
      </c>
      <c r="F83" s="132">
        <v>0</v>
      </c>
      <c r="G83" s="132">
        <v>0</v>
      </c>
      <c r="H83" s="132">
        <v>0</v>
      </c>
      <c r="I83" s="132">
        <v>0</v>
      </c>
      <c r="J83" s="132">
        <v>0</v>
      </c>
      <c r="K83" s="132">
        <v>0</v>
      </c>
      <c r="L83" s="132">
        <v>0</v>
      </c>
      <c r="M83" s="132">
        <v>0</v>
      </c>
      <c r="N83" s="132">
        <v>0</v>
      </c>
      <c r="O83" s="142">
        <f t="shared" si="16"/>
        <v>0</v>
      </c>
      <c r="P83" s="142"/>
      <c r="Q83" s="108"/>
      <c r="R83" s="142">
        <f t="shared" si="17"/>
        <v>0</v>
      </c>
      <c r="S83" s="108"/>
      <c r="T83" s="142">
        <f t="shared" si="18"/>
        <v>0</v>
      </c>
    </row>
    <row r="84" spans="2:20" s="118" customFormat="1" ht="35.1" customHeight="1" x14ac:dyDescent="0.25">
      <c r="B84" s="145"/>
      <c r="C84" s="147">
        <f t="shared" ref="C84:O84" si="19">SUM(C82:C83)</f>
        <v>1309108</v>
      </c>
      <c r="D84" s="147">
        <f t="shared" si="19"/>
        <v>189608</v>
      </c>
      <c r="E84" s="147">
        <f t="shared" si="19"/>
        <v>1356048</v>
      </c>
      <c r="F84" s="147">
        <f t="shared" si="19"/>
        <v>1206049</v>
      </c>
      <c r="G84" s="147">
        <f t="shared" si="19"/>
        <v>1462199</v>
      </c>
      <c r="H84" s="147">
        <f t="shared" si="19"/>
        <v>1565001</v>
      </c>
      <c r="I84" s="147">
        <f t="shared" si="19"/>
        <v>0</v>
      </c>
      <c r="J84" s="147">
        <f t="shared" si="19"/>
        <v>0</v>
      </c>
      <c r="K84" s="147">
        <f t="shared" si="19"/>
        <v>0</v>
      </c>
      <c r="L84" s="147">
        <f t="shared" si="19"/>
        <v>0</v>
      </c>
      <c r="M84" s="147">
        <f t="shared" si="19"/>
        <v>0</v>
      </c>
      <c r="N84" s="147">
        <f t="shared" si="19"/>
        <v>0</v>
      </c>
      <c r="O84" s="147">
        <f t="shared" si="19"/>
        <v>7088013</v>
      </c>
      <c r="P84" s="147"/>
      <c r="Q84" s="108"/>
      <c r="R84" s="147">
        <f>SUM(R82:R83)</f>
        <v>590667.75</v>
      </c>
      <c r="S84" s="108"/>
      <c r="T84" s="147">
        <f>SUM(T82:T83)</f>
        <v>19419.213698630138</v>
      </c>
    </row>
    <row r="85" spans="2:20" s="148" customFormat="1" ht="35.1" customHeight="1" x14ac:dyDescent="0.25">
      <c r="B85" s="149" t="s">
        <v>0</v>
      </c>
      <c r="C85" s="150">
        <f t="shared" ref="C85:O85" si="20">+C60-C80-C84</f>
        <v>119119895.19999999</v>
      </c>
      <c r="D85" s="150">
        <f t="shared" si="20"/>
        <v>-34039024.800000012</v>
      </c>
      <c r="E85" s="150">
        <f t="shared" si="20"/>
        <v>-17562630.599999994</v>
      </c>
      <c r="F85" s="150">
        <f t="shared" si="20"/>
        <v>54345097.400000006</v>
      </c>
      <c r="G85" s="150">
        <f t="shared" si="20"/>
        <v>-25354006</v>
      </c>
      <c r="H85" s="150">
        <f t="shared" si="20"/>
        <v>-7481689.1999999881</v>
      </c>
      <c r="I85" s="150">
        <f t="shared" si="20"/>
        <v>0</v>
      </c>
      <c r="J85" s="150">
        <f t="shared" si="20"/>
        <v>0</v>
      </c>
      <c r="K85" s="150">
        <f t="shared" si="20"/>
        <v>0</v>
      </c>
      <c r="L85" s="150">
        <f t="shared" si="20"/>
        <v>0</v>
      </c>
      <c r="M85" s="150">
        <f t="shared" si="20"/>
        <v>0</v>
      </c>
      <c r="N85" s="150">
        <f t="shared" si="20"/>
        <v>0</v>
      </c>
      <c r="O85" s="150">
        <f t="shared" si="20"/>
        <v>89027642</v>
      </c>
      <c r="P85" s="150"/>
      <c r="Q85" s="151"/>
      <c r="R85" s="150">
        <f>+R60-R80-R84</f>
        <v>15428608.083333343</v>
      </c>
      <c r="S85" s="151"/>
      <c r="T85" s="150">
        <f>+T60-T80-T84</f>
        <v>137018.35890410849</v>
      </c>
    </row>
    <row r="86" spans="2:20" x14ac:dyDescent="0.2">
      <c r="B86" s="89"/>
      <c r="C86" s="90"/>
      <c r="D86" s="90"/>
      <c r="E86" s="90"/>
      <c r="F86" s="90"/>
      <c r="G86" s="90"/>
      <c r="H86" s="90"/>
      <c r="I86" s="90"/>
      <c r="J86" s="90"/>
      <c r="K86" s="90"/>
      <c r="L86" s="90"/>
      <c r="M86" s="90"/>
      <c r="N86" s="90"/>
      <c r="O86" s="90"/>
      <c r="P86" s="90"/>
    </row>
    <row r="181" spans="5:23" ht="19.5" x14ac:dyDescent="0.2">
      <c r="V181" s="96" t="s">
        <v>116</v>
      </c>
      <c r="W181" s="97">
        <v>242578326.91999999</v>
      </c>
    </row>
    <row r="182" spans="5:23" ht="19.5" x14ac:dyDescent="0.2">
      <c r="V182" s="96" t="s">
        <v>117</v>
      </c>
      <c r="W182" s="97">
        <v>59866615.890000001</v>
      </c>
    </row>
    <row r="183" spans="5:23" ht="19.5" x14ac:dyDescent="0.2">
      <c r="V183" s="96" t="s">
        <v>118</v>
      </c>
      <c r="W183" s="97">
        <v>5940735.4400000004</v>
      </c>
    </row>
    <row r="184" spans="5:23" ht="19.5" x14ac:dyDescent="0.2">
      <c r="V184" s="96" t="s">
        <v>119</v>
      </c>
      <c r="W184" s="97">
        <v>46560252.100000001</v>
      </c>
    </row>
    <row r="185" spans="5:23" ht="19.5" x14ac:dyDescent="0.2">
      <c r="V185" s="96" t="s">
        <v>120</v>
      </c>
      <c r="W185" s="97">
        <v>416007.41</v>
      </c>
    </row>
    <row r="186" spans="5:23" ht="19.5" x14ac:dyDescent="0.2">
      <c r="V186" s="96" t="s">
        <v>121</v>
      </c>
      <c r="W186" s="97">
        <v>45755283.740000002</v>
      </c>
    </row>
    <row r="187" spans="5:23" ht="39" x14ac:dyDescent="0.2">
      <c r="E187" s="61" t="s">
        <v>97</v>
      </c>
      <c r="F187" s="92">
        <f>D40</f>
        <v>7300000000</v>
      </c>
      <c r="V187" s="96" t="s">
        <v>122</v>
      </c>
      <c r="W187" s="97">
        <v>22472154.600000001</v>
      </c>
    </row>
    <row r="188" spans="5:23" ht="19.5" x14ac:dyDescent="0.2">
      <c r="E188" s="61" t="s">
        <v>86</v>
      </c>
      <c r="F188" s="92">
        <f>SUM(W181:W196)</f>
        <v>978208581.78000009</v>
      </c>
      <c r="V188" s="96" t="s">
        <v>123</v>
      </c>
      <c r="W188" s="97">
        <v>224008987.41999999</v>
      </c>
    </row>
    <row r="189" spans="5:23" ht="19.5" x14ac:dyDescent="0.2">
      <c r="E189" s="61" t="s">
        <v>98</v>
      </c>
      <c r="F189" s="92">
        <v>1073531864</v>
      </c>
      <c r="V189" s="98" t="s">
        <v>124</v>
      </c>
      <c r="W189" s="97">
        <v>175786188.00999999</v>
      </c>
    </row>
    <row r="190" spans="5:23" ht="39" x14ac:dyDescent="0.2">
      <c r="V190" s="96" t="s">
        <v>111</v>
      </c>
      <c r="W190" s="97">
        <v>1616963.61</v>
      </c>
    </row>
    <row r="191" spans="5:23" ht="19.5" x14ac:dyDescent="0.2">
      <c r="V191" s="96" t="s">
        <v>125</v>
      </c>
      <c r="W191" s="97">
        <v>58032</v>
      </c>
    </row>
    <row r="192" spans="5:23" ht="19.5" x14ac:dyDescent="0.2">
      <c r="E192" s="82" t="s">
        <v>83</v>
      </c>
      <c r="F192" s="84">
        <v>2650000000</v>
      </c>
      <c r="V192" s="96" t="s">
        <v>126</v>
      </c>
      <c r="W192" s="97">
        <v>53528</v>
      </c>
    </row>
    <row r="193" spans="5:23" ht="19.5" x14ac:dyDescent="0.2">
      <c r="E193" s="82" t="s">
        <v>80</v>
      </c>
      <c r="F193" s="84">
        <v>2150000000</v>
      </c>
      <c r="V193" s="96" t="s">
        <v>127</v>
      </c>
      <c r="W193" s="97">
        <v>269534.48</v>
      </c>
    </row>
    <row r="194" spans="5:23" ht="19.5" x14ac:dyDescent="0.2">
      <c r="E194" s="82" t="s">
        <v>81</v>
      </c>
      <c r="F194" s="84">
        <v>1250000000</v>
      </c>
      <c r="V194" s="96" t="s">
        <v>128</v>
      </c>
      <c r="W194" s="97">
        <v>90882954.159999996</v>
      </c>
    </row>
    <row r="195" spans="5:23" ht="39" x14ac:dyDescent="0.2">
      <c r="E195" s="82" t="s">
        <v>82</v>
      </c>
      <c r="F195" s="84">
        <v>1250000000</v>
      </c>
      <c r="V195" s="96" t="s">
        <v>129</v>
      </c>
      <c r="W195" s="97">
        <v>5548706</v>
      </c>
    </row>
    <row r="196" spans="5:23" ht="19.5" x14ac:dyDescent="0.2">
      <c r="V196" s="96" t="s">
        <v>130</v>
      </c>
      <c r="W196" s="97">
        <v>56394312</v>
      </c>
    </row>
    <row r="197" spans="5:23" ht="39" x14ac:dyDescent="0.2">
      <c r="V197" s="158" t="s">
        <v>115</v>
      </c>
      <c r="W197" s="159">
        <v>45837100</v>
      </c>
    </row>
    <row r="198" spans="5:23" ht="39" x14ac:dyDescent="0.2">
      <c r="V198" s="158" t="s">
        <v>114</v>
      </c>
      <c r="W198" s="159">
        <v>220000100</v>
      </c>
    </row>
    <row r="199" spans="5:23" ht="19.5" x14ac:dyDescent="0.2">
      <c r="V199" s="158" t="s">
        <v>113</v>
      </c>
      <c r="W199" s="159">
        <v>807694664</v>
      </c>
    </row>
  </sheetData>
  <mergeCells count="18">
    <mergeCell ref="I43:J43"/>
    <mergeCell ref="G36:T36"/>
    <mergeCell ref="I39:J39"/>
    <mergeCell ref="I40:J40"/>
    <mergeCell ref="I41:J41"/>
    <mergeCell ref="I42:J42"/>
    <mergeCell ref="G37:H37"/>
    <mergeCell ref="I37:J37"/>
    <mergeCell ref="I38:J38"/>
    <mergeCell ref="D40:E40"/>
    <mergeCell ref="D41:E41"/>
    <mergeCell ref="D42:E42"/>
    <mergeCell ref="D39:E39"/>
    <mergeCell ref="B36:E36"/>
    <mergeCell ref="B37:C37"/>
    <mergeCell ref="D37:E37"/>
    <mergeCell ref="B38:C38"/>
    <mergeCell ref="D38:E38"/>
  </mergeCells>
  <conditionalFormatting sqref="O73:O79">
    <cfRule type="dataBar" priority="12">
      <dataBar>
        <cfvo type="min"/>
        <cfvo type="max"/>
        <color rgb="FF638EC6"/>
      </dataBar>
      <extLst>
        <ext xmlns:x14="http://schemas.microsoft.com/office/spreadsheetml/2009/9/main" uri="{B025F937-C7B1-47D3-B67F-A62EFF666E3E}">
          <x14:id>{8A47751C-5768-4AF7-A4F7-BEEF6C2BB0BA}</x14:id>
        </ext>
      </extLst>
    </cfRule>
  </conditionalFormatting>
  <conditionalFormatting sqref="O64:O67">
    <cfRule type="dataBar" priority="11">
      <dataBar>
        <cfvo type="min"/>
        <cfvo type="max"/>
        <color rgb="FF638EC6"/>
      </dataBar>
      <extLst>
        <ext xmlns:x14="http://schemas.microsoft.com/office/spreadsheetml/2009/9/main" uri="{B025F937-C7B1-47D3-B67F-A62EFF666E3E}">
          <x14:id>{224BA5A0-9891-45F7-8812-6130456188D2}</x14:id>
        </ext>
      </extLst>
    </cfRule>
  </conditionalFormatting>
  <conditionalFormatting sqref="O52:O58">
    <cfRule type="dataBar" priority="10">
      <dataBar>
        <cfvo type="min"/>
        <cfvo type="max"/>
        <color rgb="FF638EC6"/>
      </dataBar>
      <extLst>
        <ext xmlns:x14="http://schemas.microsoft.com/office/spreadsheetml/2009/9/main" uri="{B025F937-C7B1-47D3-B67F-A62EFF666E3E}">
          <x14:id>{2F7A4B95-8AEE-4DA6-9E39-6ED065A8B216}</x14:id>
        </ext>
      </extLst>
    </cfRule>
  </conditionalFormatting>
  <conditionalFormatting sqref="C47:H47">
    <cfRule type="iconSet" priority="7">
      <iconSet iconSet="5Arrows">
        <cfvo type="percent" val="0"/>
        <cfvo type="percent" val="20"/>
        <cfvo type="percent" val="40"/>
        <cfvo type="percent" val="60"/>
        <cfvo type="percent" val="80"/>
      </iconSet>
    </cfRule>
  </conditionalFormatting>
  <conditionalFormatting sqref="O82:P83">
    <cfRule type="dataBar" priority="13">
      <dataBar>
        <cfvo type="min"/>
        <cfvo type="max"/>
        <color rgb="FF638EC6"/>
      </dataBar>
      <extLst>
        <ext xmlns:x14="http://schemas.microsoft.com/office/spreadsheetml/2009/9/main" uri="{B025F937-C7B1-47D3-B67F-A62EFF666E3E}">
          <x14:id>{20FC8485-3EB9-45F0-9CB8-E7C5FA3D3BB1}</x14:id>
        </ext>
      </extLst>
    </cfRule>
  </conditionalFormatting>
  <conditionalFormatting sqref="C46:H46">
    <cfRule type="iconSet" priority="6">
      <iconSet iconSet="5Arrows">
        <cfvo type="percent" val="0"/>
        <cfvo type="percent" val="20"/>
        <cfvo type="percent" val="40"/>
        <cfvo type="percent" val="60"/>
        <cfvo type="percent" val="80"/>
      </iconSet>
    </cfRule>
  </conditionalFormatting>
  <conditionalFormatting sqref="P38:P43">
    <cfRule type="dataBar" priority="4">
      <dataBar>
        <cfvo type="min"/>
        <cfvo type="max"/>
        <color rgb="FF638EC6"/>
      </dataBar>
      <extLst>
        <ext xmlns:x14="http://schemas.microsoft.com/office/spreadsheetml/2009/9/main" uri="{B025F937-C7B1-47D3-B67F-A62EFF666E3E}">
          <x14:id>{49B86FA3-75FF-4304-A22E-DE8506988ECC}</x14:id>
        </ext>
      </extLst>
    </cfRule>
  </conditionalFormatting>
  <conditionalFormatting sqref="R38:R43">
    <cfRule type="iconSet" priority="3">
      <iconSet iconSet="4Rating">
        <cfvo type="percent" val="0"/>
        <cfvo type="percent" val="25"/>
        <cfvo type="percent" val="50"/>
        <cfvo type="percent" val="75"/>
      </iconSet>
    </cfRule>
  </conditionalFormatting>
  <conditionalFormatting sqref="T38:T43">
    <cfRule type="iconSet" priority="1">
      <iconSet iconSet="5Quarters">
        <cfvo type="percent" val="0"/>
        <cfvo type="percent" val="20"/>
        <cfvo type="percent" val="40"/>
        <cfvo type="percent" val="60"/>
        <cfvo type="percent" val="80"/>
      </iconSet>
    </cfRule>
  </conditionalFormatting>
  <pageMargins left="0.31496062992125984" right="0.19685039370078741" top="0.19685039370078741" bottom="0.31496062992125984" header="0.51181102362204722" footer="0.51181102362204722"/>
  <pageSetup scale="43" orientation="landscape" horizontalDpi="4294967292" verticalDpi="4294967292" r:id="rId1"/>
  <rowBreaks count="1" manualBreakCount="1">
    <brk id="60" max="20" man="1"/>
  </rowBreaks>
  <drawing r:id="rId2"/>
  <extLst>
    <ext xmlns:x14="http://schemas.microsoft.com/office/spreadsheetml/2009/9/main" uri="{78C0D931-6437-407d-A8EE-F0AAD7539E65}">
      <x14:conditionalFormattings>
        <x14:conditionalFormatting xmlns:xm="http://schemas.microsoft.com/office/excel/2006/main">
          <x14:cfRule type="dataBar" id="{8A47751C-5768-4AF7-A4F7-BEEF6C2BB0BA}">
            <x14:dataBar minLength="0" maxLength="100" gradient="0">
              <x14:cfvo type="autoMin"/>
              <x14:cfvo type="autoMax"/>
              <x14:negativeFillColor rgb="FFFF0000"/>
              <x14:axisColor rgb="FF000000"/>
            </x14:dataBar>
          </x14:cfRule>
          <xm:sqref>O73:O79</xm:sqref>
        </x14:conditionalFormatting>
        <x14:conditionalFormatting xmlns:xm="http://schemas.microsoft.com/office/excel/2006/main">
          <x14:cfRule type="dataBar" id="{224BA5A0-9891-45F7-8812-6130456188D2}">
            <x14:dataBar minLength="0" maxLength="100" gradient="0">
              <x14:cfvo type="autoMin"/>
              <x14:cfvo type="autoMax"/>
              <x14:negativeFillColor rgb="FFFF0000"/>
              <x14:axisColor rgb="FF000000"/>
            </x14:dataBar>
          </x14:cfRule>
          <xm:sqref>O64:O67</xm:sqref>
        </x14:conditionalFormatting>
        <x14:conditionalFormatting xmlns:xm="http://schemas.microsoft.com/office/excel/2006/main">
          <x14:cfRule type="dataBar" id="{2F7A4B95-8AEE-4DA6-9E39-6ED065A8B216}">
            <x14:dataBar minLength="0" maxLength="100" gradient="0">
              <x14:cfvo type="autoMin"/>
              <x14:cfvo type="autoMax"/>
              <x14:negativeFillColor rgb="FFFF0000"/>
              <x14:axisColor rgb="FF000000"/>
            </x14:dataBar>
          </x14:cfRule>
          <xm:sqref>O52:O58</xm:sqref>
        </x14:conditionalFormatting>
        <x14:conditionalFormatting xmlns:xm="http://schemas.microsoft.com/office/excel/2006/main">
          <x14:cfRule type="dataBar" id="{20FC8485-3EB9-45F0-9CB8-E7C5FA3D3BB1}">
            <x14:dataBar minLength="0" maxLength="100" gradient="0">
              <x14:cfvo type="autoMin"/>
              <x14:cfvo type="autoMax"/>
              <x14:negativeFillColor rgb="FFFF0000"/>
              <x14:axisColor rgb="FF000000"/>
            </x14:dataBar>
          </x14:cfRule>
          <xm:sqref>O82:P83</xm:sqref>
        </x14:conditionalFormatting>
        <x14:conditionalFormatting xmlns:xm="http://schemas.microsoft.com/office/excel/2006/main">
          <x14:cfRule type="dataBar" id="{49B86FA3-75FF-4304-A22E-DE8506988ECC}">
            <x14:dataBar minLength="0" maxLength="100" gradient="0">
              <x14:cfvo type="autoMin"/>
              <x14:cfvo type="autoMax"/>
              <x14:negativeFillColor rgb="FFFF0000"/>
              <x14:axisColor rgb="FF000000"/>
            </x14:dataBar>
          </x14:cfRule>
          <xm:sqref>P38:P43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0F4EF-DAB4-4E7C-B449-6DFFE06079FC}">
  <sheetPr>
    <tabColor theme="4" tint="-0.249977111117893"/>
  </sheetPr>
  <dimension ref="A1:W199"/>
  <sheetViews>
    <sheetView showGridLines="0" view="pageBreakPreview" topLeftCell="A55" zoomScale="55" zoomScaleNormal="70" zoomScaleSheetLayoutView="55" workbookViewId="0">
      <selection activeCell="D90" sqref="D90"/>
    </sheetView>
  </sheetViews>
  <sheetFormatPr defaultColWidth="11" defaultRowHeight="15" x14ac:dyDescent="0.2"/>
  <cols>
    <col min="1" max="1" width="3.375" style="61" customWidth="1"/>
    <col min="2" max="2" width="35.875" style="61" customWidth="1"/>
    <col min="3" max="8" width="22.125" style="61" bestFit="1" customWidth="1"/>
    <col min="9" max="13" width="13.375" style="61" hidden="1" customWidth="1"/>
    <col min="14" max="14" width="16.875" style="61" hidden="1" customWidth="1"/>
    <col min="15" max="15" width="24" style="61" bestFit="1" customWidth="1"/>
    <col min="16" max="16" width="13.75" style="61" customWidth="1"/>
    <col min="17" max="17" width="3.375" style="61" customWidth="1"/>
    <col min="18" max="18" width="28.75" style="61" bestFit="1" customWidth="1"/>
    <col min="19" max="19" width="3.375" style="61" customWidth="1"/>
    <col min="20" max="20" width="28.75" style="61" bestFit="1" customWidth="1"/>
    <col min="21" max="21" width="3.5" style="61" customWidth="1"/>
    <col min="22" max="22" width="50.125" style="61" customWidth="1"/>
    <col min="23" max="23" width="20.125" style="61" bestFit="1" customWidth="1"/>
    <col min="24" max="16384" width="11" style="61"/>
  </cols>
  <sheetData>
    <row r="1" spans="1:22" ht="7.5" customHeight="1" x14ac:dyDescent="0.2"/>
    <row r="2" spans="1:22" ht="30" x14ac:dyDescent="0.4">
      <c r="B2" s="62" t="s">
        <v>87</v>
      </c>
    </row>
    <row r="3" spans="1:22" ht="28.5" customHeight="1" x14ac:dyDescent="0.45">
      <c r="B3" s="63" t="s">
        <v>88</v>
      </c>
      <c r="C3" s="64"/>
      <c r="D3" s="64"/>
      <c r="E3" s="64"/>
      <c r="F3" s="65"/>
      <c r="G3" s="65"/>
      <c r="H3" s="65"/>
      <c r="I3" s="65"/>
    </row>
    <row r="4" spans="1:22" ht="21" customHeight="1" x14ac:dyDescent="0.45">
      <c r="A4" s="65"/>
      <c r="B4" s="91" t="s">
        <v>89</v>
      </c>
      <c r="C4" s="66"/>
      <c r="D4" s="66"/>
      <c r="E4" s="66"/>
      <c r="F4" s="65"/>
      <c r="G4" s="65"/>
      <c r="H4" s="65"/>
      <c r="I4" s="65"/>
      <c r="J4" s="65"/>
      <c r="K4" s="65"/>
      <c r="L4" s="65"/>
      <c r="M4" s="65"/>
      <c r="N4" s="65"/>
      <c r="O4" s="65"/>
      <c r="P4" s="65"/>
      <c r="Q4" s="65"/>
      <c r="R4" s="65"/>
      <c r="S4" s="65"/>
      <c r="T4" s="65"/>
      <c r="U4" s="65"/>
    </row>
    <row r="5" spans="1:22" ht="9.75" customHeight="1" x14ac:dyDescent="0.2">
      <c r="A5" s="65"/>
      <c r="B5" s="65"/>
      <c r="C5" s="65"/>
      <c r="D5" s="65"/>
      <c r="E5" s="65"/>
      <c r="J5" s="65"/>
      <c r="K5" s="65"/>
      <c r="L5" s="65"/>
      <c r="M5" s="65"/>
      <c r="N5" s="65"/>
      <c r="O5" s="65"/>
      <c r="P5" s="65"/>
      <c r="Q5" s="65"/>
      <c r="R5" s="65"/>
      <c r="S5" s="65"/>
      <c r="T5" s="65"/>
      <c r="U5" s="65"/>
    </row>
    <row r="6" spans="1:22" ht="21.95" customHeight="1" x14ac:dyDescent="0.2">
      <c r="A6" s="65"/>
      <c r="B6" s="65"/>
      <c r="C6" s="65"/>
      <c r="D6" s="65"/>
      <c r="E6" s="65"/>
      <c r="J6" s="67"/>
      <c r="K6" s="65"/>
      <c r="L6" s="65"/>
      <c r="M6" s="65"/>
      <c r="N6" s="65"/>
      <c r="O6" s="65"/>
      <c r="P6" s="65"/>
      <c r="Q6" s="65"/>
      <c r="R6" s="65"/>
      <c r="S6" s="65"/>
      <c r="T6" s="65"/>
      <c r="U6" s="65"/>
    </row>
    <row r="7" spans="1:22" ht="21.95" customHeight="1" x14ac:dyDescent="0.2">
      <c r="A7" s="65"/>
      <c r="B7" s="65"/>
      <c r="C7" s="65"/>
      <c r="D7" s="65"/>
      <c r="E7" s="65"/>
      <c r="J7" s="67"/>
      <c r="K7" s="65"/>
      <c r="L7" s="65"/>
      <c r="M7" s="65"/>
      <c r="N7" s="65"/>
      <c r="O7" s="65"/>
      <c r="P7" s="65"/>
      <c r="Q7" s="65"/>
      <c r="R7" s="65"/>
      <c r="S7" s="65"/>
      <c r="T7" s="65"/>
      <c r="U7" s="65"/>
      <c r="V7" s="68"/>
    </row>
    <row r="8" spans="1:22" ht="21.95" customHeight="1" x14ac:dyDescent="0.2">
      <c r="A8" s="65"/>
      <c r="B8" s="65"/>
      <c r="C8" s="65"/>
      <c r="D8" s="65"/>
      <c r="E8" s="65"/>
      <c r="J8" s="67"/>
      <c r="K8" s="65"/>
      <c r="L8" s="65"/>
      <c r="M8" s="65"/>
      <c r="N8" s="65"/>
      <c r="O8" s="65"/>
      <c r="P8" s="65"/>
      <c r="Q8" s="65"/>
      <c r="R8" s="65"/>
      <c r="S8" s="65"/>
      <c r="T8" s="65"/>
      <c r="U8" s="65"/>
      <c r="V8" s="68"/>
    </row>
    <row r="9" spans="1:22" ht="21.95" customHeight="1" x14ac:dyDescent="0.2">
      <c r="A9" s="65"/>
      <c r="B9" s="65"/>
      <c r="C9" s="65"/>
      <c r="D9" s="65"/>
      <c r="E9" s="65"/>
      <c r="J9" s="67"/>
      <c r="K9" s="65"/>
      <c r="L9" s="65"/>
      <c r="M9" s="65"/>
      <c r="N9" s="65"/>
      <c r="O9" s="65"/>
      <c r="P9" s="65"/>
      <c r="Q9" s="65"/>
      <c r="R9" s="65"/>
      <c r="S9" s="65"/>
      <c r="T9" s="65"/>
      <c r="U9" s="65"/>
      <c r="V9" s="68"/>
    </row>
    <row r="10" spans="1:22" ht="21.95" customHeight="1" x14ac:dyDescent="0.2">
      <c r="A10" s="65"/>
      <c r="B10" s="65"/>
      <c r="C10" s="65"/>
      <c r="D10" s="65"/>
      <c r="E10" s="65"/>
      <c r="J10" s="67"/>
      <c r="K10" s="65"/>
      <c r="L10" s="65"/>
      <c r="M10" s="65"/>
      <c r="N10" s="65"/>
      <c r="O10" s="65"/>
      <c r="P10" s="65"/>
      <c r="Q10" s="65"/>
      <c r="R10" s="65"/>
      <c r="S10" s="65"/>
      <c r="T10" s="65"/>
      <c r="U10" s="65"/>
      <c r="V10" s="68"/>
    </row>
    <row r="11" spans="1:22" x14ac:dyDescent="0.2">
      <c r="A11" s="65"/>
      <c r="B11" s="65"/>
      <c r="C11" s="65"/>
      <c r="D11" s="65"/>
      <c r="E11" s="65"/>
      <c r="J11" s="67"/>
      <c r="K11" s="65"/>
      <c r="L11" s="65"/>
      <c r="M11" s="65"/>
      <c r="N11" s="65"/>
      <c r="O11" s="65"/>
      <c r="P11" s="65"/>
      <c r="Q11" s="65"/>
      <c r="R11" s="65"/>
      <c r="S11" s="65"/>
      <c r="T11" s="65"/>
      <c r="U11" s="65"/>
      <c r="V11" s="68"/>
    </row>
    <row r="12" spans="1:22" ht="15" customHeight="1" x14ac:dyDescent="0.2">
      <c r="A12" s="65"/>
      <c r="B12" s="65"/>
      <c r="C12" s="65"/>
      <c r="D12" s="65"/>
      <c r="E12" s="65"/>
      <c r="J12" s="67"/>
      <c r="K12" s="65"/>
      <c r="L12" s="65"/>
      <c r="M12" s="65"/>
      <c r="N12" s="65"/>
      <c r="O12" s="65"/>
      <c r="P12" s="65"/>
      <c r="Q12" s="65"/>
      <c r="R12" s="65"/>
      <c r="S12" s="65"/>
      <c r="T12" s="65"/>
      <c r="U12" s="65"/>
      <c r="V12" s="68"/>
    </row>
    <row r="13" spans="1:22" ht="23.1" customHeight="1" x14ac:dyDescent="0.2">
      <c r="A13" s="65"/>
      <c r="B13" s="65"/>
      <c r="C13" s="65"/>
      <c r="D13" s="65"/>
      <c r="E13" s="65"/>
      <c r="J13" s="67"/>
      <c r="K13" s="65"/>
      <c r="L13" s="65"/>
      <c r="M13" s="65"/>
      <c r="N13" s="65"/>
      <c r="O13" s="65"/>
      <c r="P13" s="65"/>
      <c r="Q13" s="65"/>
      <c r="R13" s="65"/>
      <c r="S13" s="65"/>
      <c r="T13" s="65"/>
      <c r="U13" s="65"/>
      <c r="V13" s="68"/>
    </row>
    <row r="14" spans="1:22" x14ac:dyDescent="0.2">
      <c r="A14" s="65"/>
      <c r="B14" s="65"/>
      <c r="C14" s="65"/>
      <c r="D14" s="65"/>
      <c r="E14" s="65"/>
      <c r="J14" s="67"/>
      <c r="K14" s="65"/>
      <c r="L14" s="65"/>
      <c r="M14" s="65"/>
      <c r="N14" s="65"/>
      <c r="O14" s="65"/>
      <c r="P14" s="65"/>
      <c r="Q14" s="65"/>
      <c r="R14" s="65"/>
      <c r="S14" s="65"/>
      <c r="T14" s="65"/>
      <c r="U14" s="65"/>
      <c r="V14" s="68"/>
    </row>
    <row r="15" spans="1:22" x14ac:dyDescent="0.2">
      <c r="A15" s="65"/>
      <c r="B15" s="65"/>
      <c r="C15" s="65"/>
      <c r="D15" s="65"/>
      <c r="E15" s="65"/>
      <c r="J15" s="65"/>
      <c r="K15" s="65"/>
      <c r="L15" s="65"/>
      <c r="M15" s="65"/>
      <c r="N15" s="65"/>
      <c r="O15" s="65"/>
      <c r="P15" s="65"/>
      <c r="Q15" s="65"/>
      <c r="R15" s="65"/>
      <c r="S15" s="65"/>
      <c r="T15" s="65"/>
      <c r="U15" s="65"/>
      <c r="V15" s="68"/>
    </row>
    <row r="16" spans="1:22" x14ac:dyDescent="0.2">
      <c r="A16" s="65"/>
      <c r="B16" s="65"/>
      <c r="C16" s="65"/>
      <c r="D16" s="65"/>
      <c r="E16" s="65"/>
      <c r="J16" s="65"/>
      <c r="K16" s="65"/>
      <c r="L16" s="65"/>
      <c r="M16" s="65"/>
      <c r="N16" s="65"/>
      <c r="O16" s="65"/>
      <c r="P16" s="65"/>
      <c r="Q16" s="65"/>
      <c r="R16" s="65"/>
      <c r="S16" s="65"/>
      <c r="T16" s="65"/>
      <c r="U16" s="65"/>
      <c r="V16" s="68"/>
    </row>
    <row r="17" spans="1:22" x14ac:dyDescent="0.2">
      <c r="A17" s="65"/>
      <c r="B17" s="65"/>
      <c r="C17" s="65"/>
      <c r="D17" s="65"/>
      <c r="E17" s="65"/>
      <c r="J17" s="65"/>
      <c r="K17" s="65"/>
      <c r="L17" s="65"/>
      <c r="M17" s="65"/>
      <c r="N17" s="65"/>
      <c r="O17" s="65"/>
      <c r="P17" s="65"/>
      <c r="Q17" s="65"/>
      <c r="R17" s="65"/>
      <c r="S17" s="65"/>
      <c r="T17" s="65"/>
      <c r="U17" s="65"/>
      <c r="V17" s="68"/>
    </row>
    <row r="18" spans="1:22" x14ac:dyDescent="0.2">
      <c r="A18" s="65"/>
      <c r="B18" s="65"/>
      <c r="C18" s="65"/>
      <c r="D18" s="65"/>
      <c r="E18" s="65"/>
      <c r="F18" s="65"/>
      <c r="G18" s="65"/>
      <c r="H18" s="65"/>
      <c r="I18" s="65"/>
      <c r="J18" s="65"/>
      <c r="K18" s="65"/>
      <c r="L18" s="65"/>
      <c r="M18" s="65"/>
      <c r="N18" s="65"/>
      <c r="O18" s="65"/>
      <c r="P18" s="65"/>
      <c r="Q18" s="65"/>
      <c r="R18" s="65"/>
      <c r="S18" s="65"/>
      <c r="T18" s="65"/>
      <c r="U18" s="65"/>
      <c r="V18" s="68"/>
    </row>
    <row r="19" spans="1:22" x14ac:dyDescent="0.2">
      <c r="A19" s="65"/>
      <c r="B19" s="65"/>
      <c r="C19" s="65"/>
      <c r="D19" s="65"/>
      <c r="E19" s="65"/>
      <c r="F19" s="65"/>
      <c r="G19" s="65"/>
      <c r="H19" s="65"/>
      <c r="I19" s="65"/>
      <c r="J19" s="65"/>
      <c r="K19" s="65"/>
      <c r="L19" s="65"/>
      <c r="M19" s="65"/>
      <c r="N19" s="65"/>
      <c r="O19" s="65"/>
      <c r="P19" s="65"/>
      <c r="Q19" s="65"/>
      <c r="R19" s="65"/>
      <c r="S19" s="65"/>
      <c r="T19" s="65"/>
      <c r="U19" s="65"/>
      <c r="V19" s="68"/>
    </row>
    <row r="20" spans="1:22" x14ac:dyDescent="0.2">
      <c r="A20" s="65"/>
      <c r="B20" s="65"/>
      <c r="C20" s="65"/>
      <c r="D20" s="65"/>
      <c r="E20" s="65"/>
      <c r="F20" s="65"/>
      <c r="G20" s="65"/>
      <c r="H20" s="65"/>
      <c r="I20" s="65"/>
      <c r="J20" s="65"/>
      <c r="K20" s="65"/>
      <c r="L20" s="65"/>
      <c r="M20" s="65"/>
      <c r="N20" s="65"/>
      <c r="O20" s="65"/>
      <c r="P20" s="65"/>
      <c r="Q20" s="65"/>
      <c r="R20" s="65"/>
      <c r="S20" s="65"/>
      <c r="T20" s="65"/>
      <c r="U20" s="65"/>
      <c r="V20" s="68"/>
    </row>
    <row r="21" spans="1:22" x14ac:dyDescent="0.2">
      <c r="A21" s="65"/>
      <c r="B21" s="65"/>
      <c r="C21" s="65"/>
      <c r="D21" s="65"/>
      <c r="E21" s="65"/>
      <c r="F21" s="65"/>
      <c r="G21" s="65"/>
      <c r="H21" s="65"/>
      <c r="I21" s="65"/>
      <c r="J21" s="65"/>
      <c r="K21" s="65"/>
      <c r="L21" s="65"/>
      <c r="M21" s="65"/>
      <c r="N21" s="65"/>
      <c r="O21" s="65"/>
      <c r="P21" s="65"/>
      <c r="Q21" s="65"/>
      <c r="R21" s="65"/>
      <c r="S21" s="65"/>
      <c r="T21" s="65"/>
      <c r="U21" s="65"/>
      <c r="V21" s="68"/>
    </row>
    <row r="22" spans="1:22" x14ac:dyDescent="0.2">
      <c r="A22" s="65"/>
      <c r="B22" s="65"/>
      <c r="C22" s="65"/>
      <c r="D22" s="65"/>
      <c r="E22" s="65"/>
      <c r="F22" s="65"/>
      <c r="G22" s="65"/>
      <c r="H22" s="65"/>
      <c r="I22" s="65"/>
      <c r="J22" s="65"/>
      <c r="K22" s="65"/>
      <c r="L22" s="65"/>
      <c r="M22" s="65"/>
      <c r="N22" s="65"/>
      <c r="O22" s="65"/>
      <c r="P22" s="65"/>
      <c r="Q22" s="65"/>
      <c r="R22" s="65"/>
      <c r="S22" s="65"/>
      <c r="T22" s="65"/>
      <c r="U22" s="65"/>
      <c r="V22" s="68"/>
    </row>
    <row r="23" spans="1:22" x14ac:dyDescent="0.2">
      <c r="A23" s="65"/>
      <c r="B23" s="65"/>
      <c r="C23" s="65"/>
      <c r="D23" s="65"/>
      <c r="E23" s="65"/>
      <c r="F23" s="65"/>
      <c r="G23" s="65"/>
      <c r="H23" s="65"/>
      <c r="I23" s="65"/>
      <c r="J23" s="65"/>
      <c r="K23" s="65"/>
      <c r="L23" s="65"/>
      <c r="M23" s="65"/>
      <c r="N23" s="65"/>
      <c r="O23" s="65"/>
      <c r="P23" s="65"/>
      <c r="Q23" s="65"/>
      <c r="R23" s="65"/>
      <c r="S23" s="65"/>
      <c r="T23" s="65"/>
      <c r="U23" s="65"/>
      <c r="V23" s="68"/>
    </row>
    <row r="24" spans="1:22" x14ac:dyDescent="0.2">
      <c r="A24" s="65"/>
      <c r="B24" s="65"/>
      <c r="C24" s="65"/>
      <c r="D24" s="65"/>
      <c r="E24" s="65"/>
      <c r="F24" s="65"/>
      <c r="G24" s="65"/>
      <c r="H24" s="65"/>
      <c r="I24" s="65"/>
      <c r="J24" s="65"/>
      <c r="K24" s="65"/>
      <c r="L24" s="65"/>
      <c r="M24" s="65"/>
      <c r="N24" s="65"/>
      <c r="O24" s="65"/>
      <c r="P24" s="65"/>
      <c r="Q24" s="65"/>
      <c r="R24" s="65"/>
      <c r="S24" s="65"/>
      <c r="T24" s="65"/>
      <c r="U24" s="65"/>
      <c r="V24" s="68"/>
    </row>
    <row r="25" spans="1:22" x14ac:dyDescent="0.2">
      <c r="A25" s="65"/>
      <c r="B25" s="65"/>
      <c r="C25" s="65"/>
      <c r="D25" s="65"/>
      <c r="E25" s="65"/>
      <c r="F25" s="65"/>
      <c r="G25" s="65"/>
      <c r="H25" s="65"/>
      <c r="I25" s="65"/>
      <c r="J25" s="65"/>
      <c r="K25" s="65"/>
      <c r="L25" s="65"/>
      <c r="M25" s="65"/>
      <c r="N25" s="65"/>
      <c r="O25" s="65"/>
      <c r="P25" s="65"/>
      <c r="Q25" s="65"/>
      <c r="R25" s="65"/>
      <c r="S25" s="65"/>
      <c r="T25" s="65"/>
      <c r="U25" s="65"/>
      <c r="V25" s="68"/>
    </row>
    <row r="26" spans="1:22" x14ac:dyDescent="0.2">
      <c r="A26" s="65"/>
      <c r="B26" s="65"/>
      <c r="C26" s="65"/>
      <c r="D26" s="65"/>
      <c r="E26" s="65"/>
      <c r="F26" s="65"/>
      <c r="G26" s="65"/>
      <c r="H26" s="65"/>
      <c r="I26" s="65"/>
      <c r="J26" s="65"/>
      <c r="K26" s="65"/>
      <c r="L26" s="65"/>
      <c r="M26" s="65"/>
      <c r="N26" s="65"/>
      <c r="O26" s="65"/>
      <c r="P26" s="65"/>
      <c r="Q26" s="65"/>
      <c r="R26" s="65"/>
      <c r="S26" s="65"/>
      <c r="T26" s="65"/>
      <c r="U26" s="65"/>
      <c r="V26" s="68"/>
    </row>
    <row r="27" spans="1:22" x14ac:dyDescent="0.2">
      <c r="A27" s="65"/>
      <c r="B27" s="65"/>
      <c r="C27" s="65"/>
      <c r="D27" s="65"/>
      <c r="E27" s="65"/>
      <c r="F27" s="65"/>
      <c r="G27" s="65"/>
      <c r="H27" s="65"/>
      <c r="I27" s="65"/>
      <c r="J27" s="65"/>
      <c r="K27" s="65"/>
      <c r="L27" s="65"/>
      <c r="M27" s="65"/>
      <c r="N27" s="65"/>
      <c r="O27" s="65"/>
      <c r="P27" s="65"/>
      <c r="Q27" s="65"/>
      <c r="R27" s="65"/>
      <c r="S27" s="65"/>
      <c r="T27" s="65"/>
      <c r="U27" s="65"/>
      <c r="V27" s="68"/>
    </row>
    <row r="28" spans="1:22" x14ac:dyDescent="0.2">
      <c r="A28" s="65"/>
      <c r="B28" s="65"/>
      <c r="C28" s="65"/>
      <c r="D28" s="65"/>
      <c r="E28" s="65"/>
      <c r="F28" s="65"/>
      <c r="G28" s="65"/>
      <c r="H28" s="65"/>
      <c r="I28" s="65"/>
      <c r="J28" s="65"/>
      <c r="K28" s="65"/>
      <c r="L28" s="65"/>
      <c r="M28" s="65"/>
      <c r="N28" s="65"/>
      <c r="O28" s="65"/>
      <c r="P28" s="65"/>
      <c r="Q28" s="65"/>
      <c r="R28" s="65"/>
      <c r="S28" s="65"/>
      <c r="T28" s="65"/>
      <c r="U28" s="65"/>
      <c r="V28" s="68"/>
    </row>
    <row r="29" spans="1:22" x14ac:dyDescent="0.2">
      <c r="A29" s="65"/>
      <c r="B29" s="65"/>
      <c r="C29" s="65"/>
      <c r="D29" s="65"/>
      <c r="E29" s="65"/>
      <c r="F29" s="65"/>
      <c r="G29" s="65"/>
      <c r="H29" s="65"/>
      <c r="I29" s="65"/>
      <c r="J29" s="65"/>
      <c r="K29" s="65"/>
      <c r="L29" s="65"/>
      <c r="M29" s="65"/>
      <c r="N29" s="65"/>
      <c r="O29" s="65"/>
      <c r="P29" s="65"/>
      <c r="Q29" s="65"/>
      <c r="R29" s="65"/>
      <c r="S29" s="65"/>
      <c r="T29" s="65"/>
      <c r="U29" s="65"/>
      <c r="V29" s="68"/>
    </row>
    <row r="30" spans="1:22" x14ac:dyDescent="0.2">
      <c r="A30" s="65"/>
      <c r="B30" s="65"/>
      <c r="C30" s="65"/>
      <c r="D30" s="65"/>
      <c r="E30" s="65"/>
      <c r="F30" s="65"/>
      <c r="G30" s="65"/>
      <c r="H30" s="65"/>
      <c r="I30" s="65"/>
      <c r="J30" s="65"/>
      <c r="K30" s="65"/>
      <c r="L30" s="65"/>
      <c r="M30" s="65"/>
      <c r="N30" s="65"/>
      <c r="O30" s="65"/>
      <c r="P30" s="65"/>
      <c r="Q30" s="65"/>
      <c r="R30" s="65"/>
      <c r="S30" s="65"/>
      <c r="T30" s="65"/>
      <c r="U30" s="65"/>
      <c r="V30" s="68"/>
    </row>
    <row r="31" spans="1:22" x14ac:dyDescent="0.2">
      <c r="A31" s="65"/>
      <c r="B31" s="65"/>
      <c r="C31" s="65"/>
      <c r="D31" s="65"/>
      <c r="E31" s="65"/>
      <c r="F31" s="65"/>
      <c r="G31" s="65"/>
      <c r="H31" s="65"/>
      <c r="I31" s="65"/>
      <c r="J31" s="65"/>
      <c r="K31" s="65"/>
      <c r="L31" s="65"/>
      <c r="M31" s="65"/>
      <c r="N31" s="65"/>
      <c r="O31" s="65"/>
      <c r="P31" s="65"/>
      <c r="Q31" s="65"/>
      <c r="R31" s="65"/>
      <c r="S31" s="65"/>
      <c r="T31" s="65"/>
      <c r="U31" s="65"/>
      <c r="V31" s="68"/>
    </row>
    <row r="32" spans="1:22" x14ac:dyDescent="0.2">
      <c r="A32" s="65"/>
      <c r="B32" s="65"/>
      <c r="C32" s="65"/>
      <c r="D32" s="65"/>
      <c r="E32" s="65"/>
      <c r="F32" s="65"/>
      <c r="G32" s="65"/>
      <c r="H32" s="65"/>
      <c r="I32" s="65"/>
      <c r="J32" s="65"/>
      <c r="K32" s="65"/>
      <c r="L32" s="65"/>
      <c r="M32" s="65"/>
      <c r="N32" s="65"/>
      <c r="O32" s="65"/>
      <c r="P32" s="65"/>
      <c r="Q32" s="65"/>
      <c r="R32" s="65"/>
      <c r="S32" s="65"/>
      <c r="T32" s="65"/>
      <c r="U32" s="65"/>
      <c r="V32" s="68"/>
    </row>
    <row r="33" spans="1:22" x14ac:dyDescent="0.2">
      <c r="A33" s="65"/>
      <c r="B33" s="65"/>
      <c r="C33" s="65"/>
      <c r="D33" s="65"/>
      <c r="E33" s="65"/>
      <c r="F33" s="65"/>
      <c r="G33" s="65"/>
      <c r="H33" s="65"/>
      <c r="I33" s="65"/>
      <c r="J33" s="65"/>
      <c r="K33" s="65"/>
      <c r="L33" s="65"/>
      <c r="M33" s="65"/>
      <c r="N33" s="65"/>
      <c r="O33" s="65"/>
      <c r="P33" s="65"/>
      <c r="Q33" s="65"/>
      <c r="R33" s="65"/>
      <c r="S33" s="65"/>
      <c r="T33" s="65"/>
      <c r="U33" s="65"/>
      <c r="V33" s="68"/>
    </row>
    <row r="34" spans="1:22" x14ac:dyDescent="0.2">
      <c r="A34" s="65"/>
      <c r="B34" s="65"/>
      <c r="C34" s="65"/>
      <c r="D34" s="65"/>
      <c r="E34" s="65"/>
      <c r="F34" s="65"/>
      <c r="G34" s="65"/>
      <c r="H34" s="65"/>
      <c r="I34" s="65"/>
      <c r="J34" s="65"/>
      <c r="K34" s="65"/>
      <c r="L34" s="65"/>
      <c r="M34" s="65"/>
      <c r="N34" s="65"/>
      <c r="O34" s="65"/>
      <c r="P34" s="65"/>
      <c r="Q34" s="65"/>
      <c r="R34" s="65"/>
      <c r="S34" s="65"/>
      <c r="T34" s="65"/>
      <c r="U34" s="65"/>
      <c r="V34" s="68"/>
    </row>
    <row r="35" spans="1:22" x14ac:dyDescent="0.2">
      <c r="A35" s="65"/>
      <c r="B35" s="65"/>
      <c r="C35" s="65"/>
      <c r="D35" s="65"/>
      <c r="E35" s="65"/>
      <c r="F35" s="65"/>
      <c r="G35" s="65"/>
      <c r="H35" s="65"/>
      <c r="I35" s="65"/>
      <c r="J35" s="65"/>
      <c r="K35" s="65"/>
      <c r="L35" s="65"/>
      <c r="M35" s="65"/>
      <c r="N35" s="65"/>
      <c r="O35" s="65"/>
      <c r="P35" s="65"/>
      <c r="Q35" s="65"/>
      <c r="R35" s="65"/>
      <c r="S35" s="65"/>
      <c r="T35" s="65"/>
      <c r="U35" s="65"/>
      <c r="V35" s="68"/>
    </row>
    <row r="36" spans="1:22" ht="25.5" x14ac:dyDescent="0.2">
      <c r="A36" s="65"/>
      <c r="B36" s="164" t="s">
        <v>112</v>
      </c>
      <c r="C36" s="164"/>
      <c r="D36" s="164"/>
      <c r="E36" s="164"/>
      <c r="F36" s="65"/>
      <c r="G36" s="169" t="s">
        <v>102</v>
      </c>
      <c r="H36" s="169"/>
      <c r="I36" s="169"/>
      <c r="J36" s="169"/>
      <c r="K36" s="169"/>
      <c r="L36" s="169"/>
      <c r="M36" s="169"/>
      <c r="N36" s="169"/>
      <c r="O36" s="169"/>
      <c r="P36" s="169"/>
      <c r="Q36" s="169"/>
      <c r="R36" s="169"/>
      <c r="S36" s="169"/>
      <c r="T36" s="169"/>
      <c r="U36" s="65"/>
      <c r="V36" s="68"/>
    </row>
    <row r="37" spans="1:22" ht="30" customHeight="1" x14ac:dyDescent="0.25">
      <c r="A37" s="65"/>
      <c r="B37" s="165" t="s">
        <v>99</v>
      </c>
      <c r="C37" s="165"/>
      <c r="D37" s="166">
        <f>O60</f>
        <v>1182989619</v>
      </c>
      <c r="E37" s="166"/>
      <c r="F37" s="65"/>
      <c r="G37" s="165" t="s">
        <v>105</v>
      </c>
      <c r="H37" s="165" t="s">
        <v>106</v>
      </c>
      <c r="I37" s="166">
        <f>'Cash Flow (2)'!T60</f>
        <v>6111911.3479452049</v>
      </c>
      <c r="J37" s="166"/>
      <c r="K37" s="100"/>
      <c r="L37" s="100"/>
      <c r="M37" s="100"/>
      <c r="N37" s="100"/>
      <c r="O37" s="101" t="s">
        <v>107</v>
      </c>
      <c r="P37" s="101" t="s">
        <v>108</v>
      </c>
      <c r="Q37" s="100"/>
      <c r="R37" s="101" t="s">
        <v>109</v>
      </c>
      <c r="S37" s="101"/>
      <c r="T37" s="101" t="s">
        <v>110</v>
      </c>
      <c r="U37" s="65"/>
      <c r="V37" s="68"/>
    </row>
    <row r="38" spans="1:22" ht="30" customHeight="1" x14ac:dyDescent="0.25">
      <c r="A38" s="65"/>
      <c r="B38" s="167" t="s">
        <v>100</v>
      </c>
      <c r="C38" s="167"/>
      <c r="D38" s="160">
        <f>O80+O84</f>
        <v>1093961977</v>
      </c>
      <c r="E38" s="160"/>
      <c r="F38" s="65"/>
      <c r="G38" s="154" t="s">
        <v>92</v>
      </c>
      <c r="H38" s="152">
        <v>45036</v>
      </c>
      <c r="I38" s="171">
        <f>+T80+T84</f>
        <v>5974892.9890410965</v>
      </c>
      <c r="J38" s="171"/>
      <c r="K38" s="153"/>
      <c r="L38" s="153"/>
      <c r="M38" s="153"/>
      <c r="N38" s="153"/>
      <c r="O38" s="152">
        <v>45402</v>
      </c>
      <c r="P38" s="155">
        <v>0.20749999999999999</v>
      </c>
      <c r="Q38" s="153"/>
      <c r="R38" s="156">
        <v>2000000000</v>
      </c>
      <c r="S38" s="153"/>
      <c r="T38" s="156">
        <f>R38*P38</f>
        <v>415000000</v>
      </c>
      <c r="U38" s="65"/>
      <c r="V38" s="68"/>
    </row>
    <row r="39" spans="1:22" ht="30" customHeight="1" x14ac:dyDescent="0.25">
      <c r="A39" s="65"/>
      <c r="B39" s="157" t="s">
        <v>101</v>
      </c>
      <c r="C39" s="157"/>
      <c r="D39" s="163">
        <f>D37-D38</f>
        <v>89027642</v>
      </c>
      <c r="E39" s="163"/>
      <c r="F39" s="65"/>
      <c r="G39" s="154" t="s">
        <v>92</v>
      </c>
      <c r="H39" s="152">
        <v>45106</v>
      </c>
      <c r="I39" s="170">
        <f>I37-I38</f>
        <v>137018.35890410841</v>
      </c>
      <c r="J39" s="170"/>
      <c r="K39" s="153"/>
      <c r="L39" s="153"/>
      <c r="M39" s="153"/>
      <c r="N39" s="153"/>
      <c r="O39" s="152">
        <v>45472</v>
      </c>
      <c r="P39" s="155">
        <v>0.22</v>
      </c>
      <c r="Q39" s="153"/>
      <c r="R39" s="156">
        <v>650000000</v>
      </c>
      <c r="S39" s="153"/>
      <c r="T39" s="156">
        <f t="shared" ref="T39:T43" si="0">R39*P39</f>
        <v>143000000</v>
      </c>
      <c r="U39" s="65"/>
      <c r="V39" s="68"/>
    </row>
    <row r="40" spans="1:22" ht="30" customHeight="1" x14ac:dyDescent="0.25">
      <c r="A40" s="65"/>
      <c r="B40" s="157" t="s">
        <v>102</v>
      </c>
      <c r="C40" s="157"/>
      <c r="D40" s="160">
        <f>R45</f>
        <v>7300000000</v>
      </c>
      <c r="E40" s="160"/>
      <c r="F40" s="65"/>
      <c r="G40" s="154" t="s">
        <v>80</v>
      </c>
      <c r="H40" s="152">
        <v>44966</v>
      </c>
      <c r="I40" s="171">
        <f>T69</f>
        <v>40000000</v>
      </c>
      <c r="J40" s="171"/>
      <c r="K40" s="153"/>
      <c r="L40" s="153"/>
      <c r="M40" s="153"/>
      <c r="N40" s="153"/>
      <c r="O40" s="152">
        <v>45331</v>
      </c>
      <c r="P40" s="155">
        <v>0.17849999999999999</v>
      </c>
      <c r="Q40" s="153"/>
      <c r="R40" s="156">
        <v>1500000000</v>
      </c>
      <c r="S40" s="153"/>
      <c r="T40" s="156">
        <f t="shared" si="0"/>
        <v>267750000</v>
      </c>
      <c r="U40" s="65"/>
      <c r="V40" s="68"/>
    </row>
    <row r="41" spans="1:22" ht="30" customHeight="1" x14ac:dyDescent="0.25">
      <c r="A41" s="65"/>
      <c r="B41" s="157" t="s">
        <v>103</v>
      </c>
      <c r="C41" s="157"/>
      <c r="D41" s="161">
        <f>D39/D37</f>
        <v>7.5256486253240745E-2</v>
      </c>
      <c r="E41" s="161"/>
      <c r="F41" s="65"/>
      <c r="G41" s="154" t="s">
        <v>80</v>
      </c>
      <c r="H41" s="152">
        <v>45106</v>
      </c>
      <c r="I41" s="171">
        <f>T70</f>
        <v>0</v>
      </c>
      <c r="J41" s="171"/>
      <c r="K41" s="153"/>
      <c r="L41" s="153"/>
      <c r="M41" s="153"/>
      <c r="N41" s="153"/>
      <c r="O41" s="152">
        <v>45472</v>
      </c>
      <c r="P41" s="155">
        <v>0.22</v>
      </c>
      <c r="Q41" s="153"/>
      <c r="R41" s="156">
        <v>650000000</v>
      </c>
      <c r="S41" s="153"/>
      <c r="T41" s="156">
        <f t="shared" si="0"/>
        <v>143000000</v>
      </c>
      <c r="U41" s="65"/>
      <c r="V41" s="68"/>
    </row>
    <row r="42" spans="1:22" ht="30" customHeight="1" x14ac:dyDescent="0.25">
      <c r="A42" s="65"/>
      <c r="B42" s="157" t="s">
        <v>104</v>
      </c>
      <c r="C42" s="157"/>
      <c r="D42" s="162">
        <f>(O52-O80)/O52</f>
        <v>-3.7233995583006572E-2</v>
      </c>
      <c r="E42" s="162"/>
      <c r="F42" s="65"/>
      <c r="G42" s="154" t="s">
        <v>82</v>
      </c>
      <c r="H42" s="152">
        <v>45001</v>
      </c>
      <c r="I42" s="172">
        <f>(T52-T80)/T52</f>
        <v>-3.7233995583006635E-2</v>
      </c>
      <c r="J42" s="172"/>
      <c r="K42" s="153"/>
      <c r="L42" s="153"/>
      <c r="M42" s="153"/>
      <c r="N42" s="153"/>
      <c r="O42" s="152">
        <v>45367</v>
      </c>
      <c r="P42" s="155">
        <v>0.2039</v>
      </c>
      <c r="Q42" s="153"/>
      <c r="R42" s="156">
        <v>1250000000</v>
      </c>
      <c r="S42" s="153"/>
      <c r="T42" s="156">
        <f t="shared" si="0"/>
        <v>254875000</v>
      </c>
      <c r="U42" s="65"/>
      <c r="V42" s="68"/>
    </row>
    <row r="43" spans="1:22" ht="30" customHeight="1" x14ac:dyDescent="0.25">
      <c r="A43" s="65"/>
      <c r="B43" s="93"/>
      <c r="C43" s="93"/>
      <c r="D43" s="95"/>
      <c r="E43" s="95"/>
      <c r="F43" s="65"/>
      <c r="G43" s="154" t="s">
        <v>81</v>
      </c>
      <c r="H43" s="152">
        <v>44966</v>
      </c>
      <c r="I43" s="168">
        <f>I41/I39</f>
        <v>0</v>
      </c>
      <c r="J43" s="168"/>
      <c r="K43" s="153"/>
      <c r="L43" s="153"/>
      <c r="M43" s="153"/>
      <c r="N43" s="153"/>
      <c r="O43" s="152">
        <v>45331</v>
      </c>
      <c r="P43" s="155">
        <v>0.17519999999999999</v>
      </c>
      <c r="Q43" s="153"/>
      <c r="R43" s="156">
        <v>1250000000</v>
      </c>
      <c r="S43" s="153"/>
      <c r="T43" s="156">
        <f t="shared" si="0"/>
        <v>219000000</v>
      </c>
      <c r="U43" s="65"/>
      <c r="V43" s="68"/>
    </row>
    <row r="44" spans="1:22" x14ac:dyDescent="0.2">
      <c r="A44" s="65"/>
      <c r="B44" s="65"/>
      <c r="C44" s="65"/>
      <c r="D44" s="65"/>
      <c r="E44" s="65"/>
      <c r="F44" s="65"/>
      <c r="G44" s="94"/>
      <c r="H44" s="94"/>
      <c r="I44" s="94"/>
      <c r="J44" s="94"/>
      <c r="K44" s="94"/>
      <c r="L44" s="94"/>
      <c r="M44" s="94"/>
      <c r="N44" s="94"/>
      <c r="O44" s="94"/>
      <c r="P44" s="94"/>
      <c r="Q44" s="94"/>
      <c r="R44" s="94"/>
      <c r="S44" s="94"/>
      <c r="T44" s="94"/>
      <c r="U44" s="65"/>
      <c r="V44" s="68"/>
    </row>
    <row r="45" spans="1:22" ht="19.5" x14ac:dyDescent="0.2">
      <c r="A45" s="65"/>
      <c r="B45" s="65"/>
      <c r="C45" s="65"/>
      <c r="D45" s="65"/>
      <c r="E45" s="65"/>
      <c r="F45" s="65"/>
      <c r="G45" s="65"/>
      <c r="H45" s="65"/>
      <c r="I45" s="65"/>
      <c r="J45" s="65"/>
      <c r="K45" s="65"/>
      <c r="L45" s="65"/>
      <c r="M45" s="65"/>
      <c r="N45" s="65"/>
      <c r="O45" s="65"/>
      <c r="P45" s="65"/>
      <c r="Q45" s="65"/>
      <c r="R45" s="102">
        <f>SUM(R38:R44)</f>
        <v>7300000000</v>
      </c>
      <c r="S45" s="65"/>
      <c r="T45" s="102">
        <f>SUM(T38:T44)</f>
        <v>1442625000</v>
      </c>
      <c r="U45" s="65"/>
      <c r="V45" s="68"/>
    </row>
    <row r="46" spans="1:22" ht="30" customHeight="1" x14ac:dyDescent="0.25">
      <c r="A46" s="65"/>
      <c r="B46" s="103" t="s">
        <v>84</v>
      </c>
      <c r="C46" s="104">
        <v>0</v>
      </c>
      <c r="D46" s="104">
        <v>0</v>
      </c>
      <c r="E46" s="104">
        <v>0</v>
      </c>
      <c r="F46" s="104">
        <v>0</v>
      </c>
      <c r="G46" s="104">
        <v>0</v>
      </c>
      <c r="H46" s="104">
        <v>0</v>
      </c>
      <c r="I46" s="105"/>
      <c r="J46" s="105"/>
      <c r="K46" s="105"/>
      <c r="L46" s="105"/>
      <c r="M46" s="105"/>
      <c r="N46" s="105"/>
      <c r="O46" s="106"/>
      <c r="P46" s="69"/>
      <c r="Q46" s="65"/>
      <c r="R46" s="65"/>
      <c r="S46" s="65"/>
      <c r="T46" s="65"/>
      <c r="U46" s="65"/>
      <c r="V46" s="68"/>
    </row>
    <row r="47" spans="1:22" ht="30" customHeight="1" x14ac:dyDescent="0.25">
      <c r="B47" s="107" t="s">
        <v>85</v>
      </c>
      <c r="C47" s="104">
        <v>0</v>
      </c>
      <c r="D47" s="104">
        <v>0</v>
      </c>
      <c r="E47" s="104">
        <v>0</v>
      </c>
      <c r="F47" s="104">
        <v>0</v>
      </c>
      <c r="G47" s="104">
        <v>0</v>
      </c>
      <c r="H47" s="104">
        <v>0</v>
      </c>
      <c r="I47" s="108"/>
      <c r="J47" s="108"/>
      <c r="K47" s="108"/>
      <c r="L47" s="108"/>
      <c r="M47" s="108"/>
      <c r="N47" s="108"/>
      <c r="O47" s="106">
        <f>+F188+F189</f>
        <v>2051740445.7800002</v>
      </c>
      <c r="P47" s="69"/>
      <c r="R47" s="69"/>
      <c r="T47" s="69"/>
      <c r="V47" s="68"/>
    </row>
    <row r="48" spans="1:22" ht="8.25" customHeight="1" x14ac:dyDescent="0.2">
      <c r="B48" s="71"/>
      <c r="C48" s="72"/>
      <c r="D48" s="72"/>
      <c r="E48" s="72"/>
      <c r="F48" s="72"/>
      <c r="G48" s="72"/>
      <c r="H48" s="72"/>
      <c r="I48" s="72"/>
      <c r="J48" s="72"/>
      <c r="K48" s="72"/>
      <c r="L48" s="72"/>
      <c r="M48" s="72"/>
      <c r="N48" s="72"/>
      <c r="O48" s="69"/>
      <c r="P48" s="69"/>
    </row>
    <row r="49" spans="2:20" s="70" customFormat="1" ht="47.25" customHeight="1" x14ac:dyDescent="0.25">
      <c r="B49" s="73"/>
      <c r="C49" s="113">
        <v>44927</v>
      </c>
      <c r="D49" s="113">
        <v>44958</v>
      </c>
      <c r="E49" s="113">
        <v>44986</v>
      </c>
      <c r="F49" s="113">
        <v>45017</v>
      </c>
      <c r="G49" s="113">
        <v>45047</v>
      </c>
      <c r="H49" s="113">
        <v>45078</v>
      </c>
      <c r="I49" s="114" t="s">
        <v>9</v>
      </c>
      <c r="J49" s="114" t="s">
        <v>8</v>
      </c>
      <c r="K49" s="114" t="s">
        <v>4</v>
      </c>
      <c r="L49" s="114" t="s">
        <v>5</v>
      </c>
      <c r="M49" s="114" t="s">
        <v>6</v>
      </c>
      <c r="N49" s="114" t="s">
        <v>7</v>
      </c>
      <c r="O49" s="115" t="s">
        <v>90</v>
      </c>
      <c r="P49" s="117" t="s">
        <v>91</v>
      </c>
      <c r="Q49" s="116"/>
      <c r="R49" s="115" t="s">
        <v>56</v>
      </c>
      <c r="S49" s="116"/>
      <c r="T49" s="115" t="s">
        <v>57</v>
      </c>
    </row>
    <row r="50" spans="2:20" ht="39.75" customHeight="1" x14ac:dyDescent="0.2">
      <c r="B50" s="109" t="s">
        <v>13</v>
      </c>
      <c r="C50" s="74"/>
      <c r="D50" s="74"/>
      <c r="E50" s="74"/>
      <c r="F50" s="74"/>
      <c r="G50" s="74"/>
      <c r="H50" s="74"/>
      <c r="I50" s="74"/>
      <c r="J50" s="74"/>
      <c r="K50" s="74"/>
      <c r="L50" s="74"/>
      <c r="M50" s="74"/>
      <c r="N50" s="74"/>
      <c r="O50" s="75"/>
      <c r="P50" s="75"/>
      <c r="Q50" s="76"/>
      <c r="R50" s="75"/>
      <c r="S50" s="76"/>
      <c r="T50" s="75"/>
    </row>
    <row r="51" spans="2:20" x14ac:dyDescent="0.2">
      <c r="B51" s="77"/>
      <c r="C51" s="78"/>
      <c r="D51" s="78"/>
      <c r="E51" s="78"/>
      <c r="F51" s="78"/>
      <c r="G51" s="78"/>
      <c r="H51" s="78"/>
      <c r="I51" s="78"/>
      <c r="J51" s="78"/>
      <c r="K51" s="78"/>
      <c r="L51" s="78"/>
      <c r="M51" s="78"/>
      <c r="N51" s="78"/>
      <c r="O51" s="79"/>
      <c r="P51" s="79"/>
      <c r="Q51" s="76"/>
      <c r="R51" s="79"/>
      <c r="S51" s="76"/>
      <c r="T51" s="79"/>
    </row>
    <row r="52" spans="2:20" s="118" customFormat="1" ht="35.1" customHeight="1" x14ac:dyDescent="0.25">
      <c r="B52" s="119" t="s">
        <v>63</v>
      </c>
      <c r="C52" s="120">
        <v>174266817</v>
      </c>
      <c r="D52" s="120">
        <v>174693783</v>
      </c>
      <c r="E52" s="120">
        <v>174697349</v>
      </c>
      <c r="F52" s="120">
        <v>175480060</v>
      </c>
      <c r="G52" s="120">
        <v>174360007</v>
      </c>
      <c r="H52" s="120">
        <v>174360007</v>
      </c>
      <c r="I52" s="121"/>
      <c r="J52" s="121"/>
      <c r="K52" s="121"/>
      <c r="L52" s="121"/>
      <c r="M52" s="121"/>
      <c r="N52" s="121"/>
      <c r="O52" s="122">
        <f>SUM(C52:N52)</f>
        <v>1047858023</v>
      </c>
      <c r="P52" s="123">
        <f>O52/$O$60</f>
        <v>0.88577110582404861</v>
      </c>
      <c r="Q52" s="108"/>
      <c r="R52" s="124">
        <f>O52/6</f>
        <v>174643003.83333334</v>
      </c>
      <c r="S52" s="108"/>
      <c r="T52" s="125">
        <f>O52/182.5</f>
        <v>5741687.7972602742</v>
      </c>
    </row>
    <row r="53" spans="2:20" s="118" customFormat="1" ht="35.1" customHeight="1" x14ac:dyDescent="0.25">
      <c r="B53" s="119" t="s">
        <v>66</v>
      </c>
      <c r="C53" s="120">
        <v>256741</v>
      </c>
      <c r="D53" s="120">
        <v>253038</v>
      </c>
      <c r="E53" s="120">
        <v>249634</v>
      </c>
      <c r="F53" s="120">
        <v>249634</v>
      </c>
      <c r="G53" s="120">
        <v>244372</v>
      </c>
      <c r="H53" s="120">
        <v>232944</v>
      </c>
      <c r="I53" s="121"/>
      <c r="J53" s="121"/>
      <c r="K53" s="121"/>
      <c r="L53" s="121"/>
      <c r="M53" s="121"/>
      <c r="N53" s="121"/>
      <c r="O53" s="125">
        <f t="shared" ref="O53:O58" si="1">SUM(C53:N53)</f>
        <v>1486363</v>
      </c>
      <c r="P53" s="123">
        <f t="shared" ref="P53:P59" si="2">O53/$O$60</f>
        <v>1.256446359399541E-3</v>
      </c>
      <c r="Q53" s="108"/>
      <c r="R53" s="124">
        <f t="shared" ref="R53:R58" si="3">O53/6</f>
        <v>247727.16666666666</v>
      </c>
      <c r="S53" s="108"/>
      <c r="T53" s="125">
        <f t="shared" ref="T53:T58" si="4">O53/365</f>
        <v>4072.2273972602738</v>
      </c>
    </row>
    <row r="54" spans="2:20" s="118" customFormat="1" ht="35.1" customHeight="1" x14ac:dyDescent="0.25">
      <c r="B54" s="119" t="s">
        <v>67</v>
      </c>
      <c r="C54" s="120">
        <v>0</v>
      </c>
      <c r="D54" s="120">
        <v>89338</v>
      </c>
      <c r="E54" s="120">
        <v>26714</v>
      </c>
      <c r="F54" s="120">
        <v>93089</v>
      </c>
      <c r="G54" s="120">
        <v>136121</v>
      </c>
      <c r="H54" s="120">
        <v>0</v>
      </c>
      <c r="I54" s="121"/>
      <c r="J54" s="121"/>
      <c r="K54" s="121"/>
      <c r="L54" s="121"/>
      <c r="M54" s="121"/>
      <c r="N54" s="121"/>
      <c r="O54" s="125">
        <f t="shared" si="1"/>
        <v>345262</v>
      </c>
      <c r="P54" s="123">
        <f t="shared" si="2"/>
        <v>2.9185547738944275E-4</v>
      </c>
      <c r="Q54" s="108"/>
      <c r="R54" s="124">
        <f t="shared" si="3"/>
        <v>57543.666666666664</v>
      </c>
      <c r="S54" s="108"/>
      <c r="T54" s="125">
        <f t="shared" si="4"/>
        <v>945.92328767123286</v>
      </c>
    </row>
    <row r="55" spans="2:20" s="118" customFormat="1" ht="35.1" customHeight="1" x14ac:dyDescent="0.25">
      <c r="B55" s="119" t="s">
        <v>64</v>
      </c>
      <c r="C55" s="120">
        <f>110986516*20%</f>
        <v>22197303.200000003</v>
      </c>
      <c r="D55" s="120">
        <f>117551921*20%</f>
        <v>23510384.200000003</v>
      </c>
      <c r="E55" s="120">
        <f>103726202*20%</f>
        <v>20745240.400000002</v>
      </c>
      <c r="F55" s="120">
        <f>86239742*20%</f>
        <v>17247948.400000002</v>
      </c>
      <c r="G55" s="120">
        <f>95788195*20%</f>
        <v>19157639</v>
      </c>
      <c r="H55" s="120">
        <f>82757279*20%</f>
        <v>16551455.800000001</v>
      </c>
      <c r="I55" s="121"/>
      <c r="J55" s="121"/>
      <c r="K55" s="121"/>
      <c r="L55" s="121"/>
      <c r="M55" s="121"/>
      <c r="N55" s="121"/>
      <c r="O55" s="125">
        <f>SUM(C55:N55)</f>
        <v>119409971.00000001</v>
      </c>
      <c r="P55" s="123">
        <f t="shared" si="2"/>
        <v>0.10093915371881215</v>
      </c>
      <c r="Q55" s="108"/>
      <c r="R55" s="124">
        <f t="shared" si="3"/>
        <v>19901661.833333336</v>
      </c>
      <c r="S55" s="108"/>
      <c r="T55" s="125">
        <f t="shared" si="4"/>
        <v>327150.60547945212</v>
      </c>
    </row>
    <row r="56" spans="2:20" s="118" customFormat="1" ht="35.1" customHeight="1" x14ac:dyDescent="0.25">
      <c r="B56" s="119" t="s">
        <v>65</v>
      </c>
      <c r="C56" s="120">
        <v>915000</v>
      </c>
      <c r="D56" s="120">
        <v>915000</v>
      </c>
      <c r="E56" s="120">
        <v>930000</v>
      </c>
      <c r="F56" s="120">
        <v>800000</v>
      </c>
      <c r="G56" s="120">
        <v>815000</v>
      </c>
      <c r="H56" s="120">
        <v>815000</v>
      </c>
      <c r="I56" s="121"/>
      <c r="J56" s="121"/>
      <c r="K56" s="121"/>
      <c r="L56" s="121"/>
      <c r="M56" s="121"/>
      <c r="N56" s="121"/>
      <c r="O56" s="125">
        <f t="shared" si="1"/>
        <v>5190000</v>
      </c>
      <c r="P56" s="123">
        <f t="shared" si="2"/>
        <v>4.387189808467795E-3</v>
      </c>
      <c r="Q56" s="108"/>
      <c r="R56" s="124">
        <f t="shared" si="3"/>
        <v>865000</v>
      </c>
      <c r="S56" s="108"/>
      <c r="T56" s="125">
        <f t="shared" si="4"/>
        <v>14219.17808219178</v>
      </c>
    </row>
    <row r="57" spans="2:20" s="118" customFormat="1" ht="35.1" customHeight="1" x14ac:dyDescent="0.25">
      <c r="B57" s="119" t="s">
        <v>68</v>
      </c>
      <c r="C57" s="121"/>
      <c r="D57" s="121"/>
      <c r="E57" s="121"/>
      <c r="F57" s="121"/>
      <c r="G57" s="121"/>
      <c r="H57" s="121"/>
      <c r="I57" s="121"/>
      <c r="J57" s="121"/>
      <c r="K57" s="121"/>
      <c r="L57" s="121"/>
      <c r="M57" s="121"/>
      <c r="N57" s="121"/>
      <c r="O57" s="125">
        <f t="shared" si="1"/>
        <v>0</v>
      </c>
      <c r="P57" s="123">
        <f t="shared" si="2"/>
        <v>0</v>
      </c>
      <c r="Q57" s="108"/>
      <c r="R57" s="124">
        <f t="shared" si="3"/>
        <v>0</v>
      </c>
      <c r="S57" s="108"/>
      <c r="T57" s="125">
        <f t="shared" si="4"/>
        <v>0</v>
      </c>
    </row>
    <row r="58" spans="2:20" s="118" customFormat="1" ht="35.1" customHeight="1" x14ac:dyDescent="0.25">
      <c r="B58" s="126" t="s">
        <v>94</v>
      </c>
      <c r="C58" s="121">
        <v>1450000</v>
      </c>
      <c r="D58" s="121">
        <v>1450000</v>
      </c>
      <c r="E58" s="121">
        <v>1450000</v>
      </c>
      <c r="F58" s="121">
        <v>1450000</v>
      </c>
      <c r="G58" s="121">
        <v>1450000</v>
      </c>
      <c r="H58" s="121">
        <v>1450000</v>
      </c>
      <c r="I58" s="121"/>
      <c r="J58" s="121"/>
      <c r="K58" s="121"/>
      <c r="L58" s="121"/>
      <c r="M58" s="121"/>
      <c r="N58" s="121"/>
      <c r="O58" s="125">
        <f t="shared" si="1"/>
        <v>8700000</v>
      </c>
      <c r="P58" s="123">
        <f t="shared" si="2"/>
        <v>7.3542488118824309E-3</v>
      </c>
      <c r="Q58" s="108"/>
      <c r="R58" s="124">
        <f t="shared" si="3"/>
        <v>1450000</v>
      </c>
      <c r="S58" s="108"/>
      <c r="T58" s="125">
        <f t="shared" si="4"/>
        <v>23835.616438356163</v>
      </c>
    </row>
    <row r="59" spans="2:20" s="118" customFormat="1" ht="22.5" customHeight="1" x14ac:dyDescent="0.25">
      <c r="B59" s="126"/>
      <c r="C59" s="127"/>
      <c r="D59" s="127"/>
      <c r="E59" s="127"/>
      <c r="F59" s="127"/>
      <c r="G59" s="127"/>
      <c r="H59" s="127"/>
      <c r="I59" s="127"/>
      <c r="J59" s="127"/>
      <c r="K59" s="127"/>
      <c r="L59" s="127"/>
      <c r="M59" s="127"/>
      <c r="N59" s="127"/>
      <c r="O59" s="127"/>
      <c r="P59" s="123">
        <f t="shared" si="2"/>
        <v>0</v>
      </c>
      <c r="Q59" s="108"/>
      <c r="R59" s="127"/>
      <c r="S59" s="108"/>
      <c r="T59" s="127"/>
    </row>
    <row r="60" spans="2:20" s="118" customFormat="1" ht="35.1" customHeight="1" x14ac:dyDescent="0.25">
      <c r="B60" s="128" t="s">
        <v>0</v>
      </c>
      <c r="C60" s="129">
        <f t="shared" ref="C60:N60" si="5">SUM(C52:C58)</f>
        <v>199085861.19999999</v>
      </c>
      <c r="D60" s="129">
        <f t="shared" si="5"/>
        <v>200911543.19999999</v>
      </c>
      <c r="E60" s="129">
        <f t="shared" si="5"/>
        <v>198098937.40000001</v>
      </c>
      <c r="F60" s="129">
        <f t="shared" si="5"/>
        <v>195320731.40000001</v>
      </c>
      <c r="G60" s="129">
        <f t="shared" si="5"/>
        <v>196163139</v>
      </c>
      <c r="H60" s="129">
        <f t="shared" si="5"/>
        <v>193409406.80000001</v>
      </c>
      <c r="I60" s="129">
        <f t="shared" si="5"/>
        <v>0</v>
      </c>
      <c r="J60" s="129">
        <f t="shared" si="5"/>
        <v>0</v>
      </c>
      <c r="K60" s="129">
        <f t="shared" si="5"/>
        <v>0</v>
      </c>
      <c r="L60" s="129">
        <f t="shared" si="5"/>
        <v>0</v>
      </c>
      <c r="M60" s="129">
        <f t="shared" si="5"/>
        <v>0</v>
      </c>
      <c r="N60" s="129">
        <f t="shared" si="5"/>
        <v>0</v>
      </c>
      <c r="O60" s="130">
        <f>SUM(C60:N60)</f>
        <v>1182989619</v>
      </c>
      <c r="P60" s="130"/>
      <c r="Q60" s="108"/>
      <c r="R60" s="130">
        <f>SUM(R52:R58)</f>
        <v>197164936.5</v>
      </c>
      <c r="S60" s="108"/>
      <c r="T60" s="130">
        <f>SUM(T52:T58)</f>
        <v>6111911.3479452049</v>
      </c>
    </row>
    <row r="61" spans="2:20" ht="35.1" customHeight="1" x14ac:dyDescent="0.2">
      <c r="B61" s="73"/>
      <c r="C61" s="80"/>
      <c r="D61" s="80"/>
      <c r="E61" s="80"/>
      <c r="F61" s="80"/>
      <c r="G61" s="80"/>
      <c r="H61" s="80"/>
      <c r="I61" s="80"/>
      <c r="J61" s="80"/>
      <c r="K61" s="80"/>
      <c r="L61" s="80"/>
      <c r="M61" s="80"/>
      <c r="N61" s="80"/>
      <c r="O61" s="80"/>
      <c r="P61" s="80"/>
      <c r="Q61" s="70"/>
      <c r="R61" s="80"/>
      <c r="S61" s="70"/>
      <c r="T61" s="80"/>
    </row>
    <row r="62" spans="2:20" ht="35.1" customHeight="1" x14ac:dyDescent="0.2">
      <c r="B62" s="110" t="s">
        <v>62</v>
      </c>
      <c r="C62" s="81"/>
      <c r="D62" s="81"/>
      <c r="E62" s="81"/>
      <c r="F62" s="81"/>
      <c r="G62" s="81"/>
      <c r="H62" s="81"/>
      <c r="I62" s="81"/>
      <c r="J62" s="81"/>
      <c r="K62" s="81"/>
      <c r="L62" s="81"/>
      <c r="M62" s="81"/>
      <c r="N62" s="81"/>
      <c r="O62" s="81"/>
      <c r="P62" s="81"/>
      <c r="Q62" s="70"/>
      <c r="R62" s="81"/>
      <c r="S62" s="70"/>
      <c r="T62" s="81"/>
    </row>
    <row r="63" spans="2:20" ht="35.1" customHeight="1" x14ac:dyDescent="0.2">
      <c r="B63" s="82"/>
      <c r="C63" s="83"/>
      <c r="D63" s="83"/>
      <c r="E63" s="83"/>
      <c r="F63" s="83"/>
      <c r="G63" s="83"/>
      <c r="H63" s="83"/>
      <c r="I63" s="83"/>
      <c r="J63" s="83"/>
      <c r="K63" s="83"/>
      <c r="L63" s="83"/>
      <c r="M63" s="83"/>
      <c r="N63" s="83"/>
      <c r="O63" s="83"/>
      <c r="P63" s="83"/>
      <c r="Q63" s="70"/>
      <c r="R63" s="83"/>
      <c r="S63" s="70"/>
      <c r="T63" s="83"/>
    </row>
    <row r="64" spans="2:20" s="118" customFormat="1" ht="35.1" customHeight="1" x14ac:dyDescent="0.25">
      <c r="B64" s="131" t="s">
        <v>92</v>
      </c>
      <c r="C64" s="132">
        <v>0</v>
      </c>
      <c r="D64" s="132">
        <v>0</v>
      </c>
      <c r="E64" s="132">
        <v>0</v>
      </c>
      <c r="F64" s="132">
        <v>0</v>
      </c>
      <c r="G64" s="132">
        <v>0</v>
      </c>
      <c r="H64" s="132">
        <v>0</v>
      </c>
      <c r="I64" s="132">
        <v>0</v>
      </c>
      <c r="J64" s="132">
        <v>0</v>
      </c>
      <c r="K64" s="132">
        <v>0</v>
      </c>
      <c r="L64" s="132">
        <v>0</v>
      </c>
      <c r="M64" s="132">
        <v>0</v>
      </c>
      <c r="N64" s="132">
        <v>2650000000</v>
      </c>
      <c r="O64" s="133">
        <f t="shared" ref="O64:O67" si="6">SUM(C64:N64)</f>
        <v>2650000000</v>
      </c>
      <c r="P64" s="123">
        <f>O64/$O$69</f>
        <v>0.36301369863013699</v>
      </c>
      <c r="Q64" s="108"/>
      <c r="R64" s="134">
        <f>O64/6</f>
        <v>441666666.66666669</v>
      </c>
      <c r="S64" s="108"/>
      <c r="T64" s="133">
        <f>O64/182.5</f>
        <v>14520547.94520548</v>
      </c>
    </row>
    <row r="65" spans="2:20" s="118" customFormat="1" ht="35.1" customHeight="1" x14ac:dyDescent="0.25">
      <c r="B65" s="131" t="s">
        <v>93</v>
      </c>
      <c r="C65" s="132">
        <v>0</v>
      </c>
      <c r="D65" s="132">
        <v>0</v>
      </c>
      <c r="E65" s="132">
        <v>0</v>
      </c>
      <c r="F65" s="132">
        <v>0</v>
      </c>
      <c r="G65" s="132">
        <v>0</v>
      </c>
      <c r="H65" s="132">
        <v>0</v>
      </c>
      <c r="I65" s="132">
        <v>0</v>
      </c>
      <c r="J65" s="132">
        <v>0</v>
      </c>
      <c r="K65" s="132">
        <v>0</v>
      </c>
      <c r="L65" s="132">
        <v>0</v>
      </c>
      <c r="M65" s="132">
        <v>0</v>
      </c>
      <c r="N65" s="132">
        <v>2150000000</v>
      </c>
      <c r="O65" s="133">
        <f t="shared" si="6"/>
        <v>2150000000</v>
      </c>
      <c r="P65" s="123">
        <f t="shared" ref="P65:P67" si="7">O65/$O$69</f>
        <v>0.29452054794520549</v>
      </c>
      <c r="Q65" s="108"/>
      <c r="R65" s="134">
        <f t="shared" ref="R65:R67" si="8">O65/6</f>
        <v>358333333.33333331</v>
      </c>
      <c r="S65" s="108"/>
      <c r="T65" s="133">
        <f t="shared" ref="T65:T67" si="9">O65/182.5</f>
        <v>11780821.91780822</v>
      </c>
    </row>
    <row r="66" spans="2:20" s="118" customFormat="1" ht="35.1" customHeight="1" x14ac:dyDescent="0.25">
      <c r="B66" s="131" t="s">
        <v>81</v>
      </c>
      <c r="C66" s="132">
        <v>0</v>
      </c>
      <c r="D66" s="132">
        <v>0</v>
      </c>
      <c r="E66" s="132">
        <v>0</v>
      </c>
      <c r="F66" s="132">
        <v>0</v>
      </c>
      <c r="G66" s="132">
        <v>0</v>
      </c>
      <c r="H66" s="132">
        <v>0</v>
      </c>
      <c r="I66" s="132">
        <v>0</v>
      </c>
      <c r="J66" s="132">
        <v>0</v>
      </c>
      <c r="K66" s="132">
        <v>0</v>
      </c>
      <c r="L66" s="132">
        <v>0</v>
      </c>
      <c r="M66" s="132">
        <v>0</v>
      </c>
      <c r="N66" s="132">
        <v>1250000000</v>
      </c>
      <c r="O66" s="133">
        <f t="shared" si="6"/>
        <v>1250000000</v>
      </c>
      <c r="P66" s="123">
        <f t="shared" si="7"/>
        <v>0.17123287671232876</v>
      </c>
      <c r="Q66" s="108"/>
      <c r="R66" s="134">
        <f t="shared" si="8"/>
        <v>208333333.33333334</v>
      </c>
      <c r="S66" s="108"/>
      <c r="T66" s="133">
        <f t="shared" si="9"/>
        <v>6849315.0684931511</v>
      </c>
    </row>
    <row r="67" spans="2:20" s="118" customFormat="1" ht="35.1" customHeight="1" x14ac:dyDescent="0.25">
      <c r="B67" s="131" t="s">
        <v>82</v>
      </c>
      <c r="C67" s="132">
        <v>0</v>
      </c>
      <c r="D67" s="132">
        <v>0</v>
      </c>
      <c r="E67" s="132">
        <v>0</v>
      </c>
      <c r="F67" s="132">
        <v>0</v>
      </c>
      <c r="G67" s="132">
        <v>0</v>
      </c>
      <c r="H67" s="132">
        <v>0</v>
      </c>
      <c r="I67" s="132">
        <v>0</v>
      </c>
      <c r="J67" s="132">
        <v>0</v>
      </c>
      <c r="K67" s="132">
        <v>0</v>
      </c>
      <c r="L67" s="132">
        <v>0</v>
      </c>
      <c r="M67" s="132">
        <v>0</v>
      </c>
      <c r="N67" s="132">
        <v>1250000000</v>
      </c>
      <c r="O67" s="133">
        <f t="shared" si="6"/>
        <v>1250000000</v>
      </c>
      <c r="P67" s="123">
        <f t="shared" si="7"/>
        <v>0.17123287671232876</v>
      </c>
      <c r="Q67" s="108"/>
      <c r="R67" s="134">
        <f t="shared" si="8"/>
        <v>208333333.33333334</v>
      </c>
      <c r="S67" s="108"/>
      <c r="T67" s="133">
        <f t="shared" si="9"/>
        <v>6849315.0684931511</v>
      </c>
    </row>
    <row r="68" spans="2:20" s="118" customFormat="1" ht="35.1" customHeight="1" x14ac:dyDescent="0.25">
      <c r="B68" s="131"/>
      <c r="C68" s="135"/>
      <c r="D68" s="135"/>
      <c r="E68" s="135"/>
      <c r="F68" s="135"/>
      <c r="G68" s="135"/>
      <c r="H68" s="135"/>
      <c r="I68" s="135"/>
      <c r="J68" s="135"/>
      <c r="K68" s="135"/>
      <c r="L68" s="135"/>
      <c r="M68" s="135"/>
      <c r="N68" s="135"/>
      <c r="O68" s="135"/>
      <c r="P68" s="135"/>
      <c r="Q68" s="108"/>
      <c r="R68" s="135"/>
      <c r="S68" s="108"/>
      <c r="T68" s="135"/>
    </row>
    <row r="69" spans="2:20" s="118" customFormat="1" ht="35.1" customHeight="1" x14ac:dyDescent="0.25">
      <c r="B69" s="136" t="s">
        <v>0</v>
      </c>
      <c r="C69" s="137">
        <f t="shared" ref="C69:N69" si="10">SUM(C64:C67)</f>
        <v>0</v>
      </c>
      <c r="D69" s="137">
        <f t="shared" si="10"/>
        <v>0</v>
      </c>
      <c r="E69" s="137">
        <f t="shared" si="10"/>
        <v>0</v>
      </c>
      <c r="F69" s="137">
        <f t="shared" si="10"/>
        <v>0</v>
      </c>
      <c r="G69" s="137">
        <f t="shared" si="10"/>
        <v>0</v>
      </c>
      <c r="H69" s="137">
        <f t="shared" si="10"/>
        <v>0</v>
      </c>
      <c r="I69" s="137">
        <f t="shared" si="10"/>
        <v>0</v>
      </c>
      <c r="J69" s="137">
        <f t="shared" si="10"/>
        <v>0</v>
      </c>
      <c r="K69" s="137">
        <f t="shared" si="10"/>
        <v>0</v>
      </c>
      <c r="L69" s="137">
        <f t="shared" si="10"/>
        <v>0</v>
      </c>
      <c r="M69" s="137">
        <f t="shared" si="10"/>
        <v>0</v>
      </c>
      <c r="N69" s="137">
        <f t="shared" si="10"/>
        <v>7300000000</v>
      </c>
      <c r="O69" s="138">
        <f>SUM(C69:N69)</f>
        <v>7300000000</v>
      </c>
      <c r="P69" s="138"/>
      <c r="Q69" s="108"/>
      <c r="R69" s="138">
        <f>SUM(R64:R67)</f>
        <v>1216666666.6666667</v>
      </c>
      <c r="S69" s="108"/>
      <c r="T69" s="138">
        <f>SUM(T64:T67)</f>
        <v>40000000</v>
      </c>
    </row>
    <row r="70" spans="2:20" ht="35.1" customHeight="1" x14ac:dyDescent="0.2">
      <c r="B70" s="85"/>
      <c r="C70" s="86"/>
      <c r="D70" s="86"/>
      <c r="E70" s="86"/>
      <c r="F70" s="86"/>
      <c r="G70" s="86"/>
      <c r="H70" s="86"/>
      <c r="I70" s="86"/>
      <c r="J70" s="86"/>
      <c r="K70" s="86"/>
      <c r="L70" s="86"/>
      <c r="M70" s="86"/>
      <c r="N70" s="86"/>
      <c r="O70" s="86"/>
      <c r="P70" s="86"/>
      <c r="Q70" s="70"/>
      <c r="R70" s="86"/>
      <c r="S70" s="70"/>
      <c r="T70" s="86"/>
    </row>
    <row r="71" spans="2:20" ht="39.75" customHeight="1" x14ac:dyDescent="0.2">
      <c r="B71" s="111" t="s">
        <v>20</v>
      </c>
      <c r="C71" s="87"/>
      <c r="D71" s="87"/>
      <c r="E71" s="87"/>
      <c r="F71" s="87"/>
      <c r="G71" s="87"/>
      <c r="H71" s="87"/>
      <c r="I71" s="87"/>
      <c r="J71" s="87"/>
      <c r="K71" s="87"/>
      <c r="L71" s="87"/>
      <c r="M71" s="87"/>
      <c r="N71" s="87"/>
      <c r="O71" s="87"/>
      <c r="P71" s="87"/>
      <c r="Q71" s="70"/>
      <c r="R71" s="87"/>
      <c r="S71" s="70"/>
      <c r="T71" s="87"/>
    </row>
    <row r="72" spans="2:20" s="118" customFormat="1" ht="35.1" customHeight="1" x14ac:dyDescent="0.25">
      <c r="B72" s="139" t="s">
        <v>77</v>
      </c>
      <c r="C72" s="140"/>
      <c r="D72" s="140"/>
      <c r="E72" s="140"/>
      <c r="F72" s="140"/>
      <c r="G72" s="140"/>
      <c r="H72" s="140"/>
      <c r="I72" s="140"/>
      <c r="J72" s="140"/>
      <c r="K72" s="140"/>
      <c r="L72" s="140"/>
      <c r="M72" s="140"/>
      <c r="N72" s="140"/>
      <c r="O72" s="140"/>
      <c r="P72" s="140"/>
      <c r="Q72" s="108"/>
      <c r="R72" s="140"/>
      <c r="S72" s="108"/>
      <c r="T72" s="140"/>
    </row>
    <row r="73" spans="2:20" s="118" customFormat="1" ht="35.1" customHeight="1" x14ac:dyDescent="0.25">
      <c r="B73" s="141" t="s">
        <v>70</v>
      </c>
      <c r="C73" s="132">
        <v>11520000</v>
      </c>
      <c r="D73" s="132">
        <v>35390000</v>
      </c>
      <c r="E73" s="132">
        <v>28345000</v>
      </c>
      <c r="F73" s="132">
        <v>39380000</v>
      </c>
      <c r="G73" s="132">
        <v>30160000</v>
      </c>
      <c r="H73" s="132">
        <v>8850000</v>
      </c>
      <c r="I73" s="132">
        <v>0</v>
      </c>
      <c r="J73" s="132">
        <v>0</v>
      </c>
      <c r="K73" s="132">
        <v>0</v>
      </c>
      <c r="L73" s="132">
        <v>0</v>
      </c>
      <c r="M73" s="132">
        <v>0</v>
      </c>
      <c r="N73" s="132">
        <v>0</v>
      </c>
      <c r="O73" s="142">
        <f>SUM(C73:N73)</f>
        <v>153645000</v>
      </c>
      <c r="P73" s="143">
        <f>O73/$O$80</f>
        <v>0.14136413704726486</v>
      </c>
      <c r="Q73" s="108"/>
      <c r="R73" s="142">
        <f>O73/6</f>
        <v>25607500</v>
      </c>
      <c r="S73" s="108"/>
      <c r="T73" s="142">
        <f>O73/182.5</f>
        <v>841890.41095890407</v>
      </c>
    </row>
    <row r="74" spans="2:20" s="118" customFormat="1" ht="35.1" customHeight="1" x14ac:dyDescent="0.25">
      <c r="B74" s="141" t="s">
        <v>71</v>
      </c>
      <c r="C74" s="132">
        <v>6304760</v>
      </c>
      <c r="D74" s="132">
        <v>101801385</v>
      </c>
      <c r="E74" s="132">
        <v>79115214</v>
      </c>
      <c r="F74" s="132">
        <v>22047492</v>
      </c>
      <c r="G74" s="132">
        <v>151559848</v>
      </c>
      <c r="H74" s="132">
        <v>143347897</v>
      </c>
      <c r="I74" s="132">
        <v>0</v>
      </c>
      <c r="J74" s="132">
        <v>0</v>
      </c>
      <c r="K74" s="132">
        <v>0</v>
      </c>
      <c r="L74" s="132">
        <v>0</v>
      </c>
      <c r="M74" s="132">
        <v>0</v>
      </c>
      <c r="N74" s="132">
        <v>0</v>
      </c>
      <c r="O74" s="142">
        <f t="shared" ref="O74:O79" si="11">SUM(C74:N74)</f>
        <v>504176596</v>
      </c>
      <c r="P74" s="143">
        <f t="shared" ref="P74:P79" si="12">O74/$O$80</f>
        <v>0.46387770127871053</v>
      </c>
      <c r="Q74" s="108"/>
      <c r="R74" s="142">
        <f t="shared" ref="R74:R79" si="13">O74/6</f>
        <v>84029432.666666672</v>
      </c>
      <c r="S74" s="108"/>
      <c r="T74" s="142">
        <f t="shared" ref="T74:T79" si="14">O74/182.5</f>
        <v>2762611.4849315067</v>
      </c>
    </row>
    <row r="75" spans="2:20" s="118" customFormat="1" ht="35.1" customHeight="1" x14ac:dyDescent="0.25">
      <c r="B75" s="141" t="s">
        <v>72</v>
      </c>
      <c r="C75" s="132">
        <v>0</v>
      </c>
      <c r="D75" s="132">
        <v>33347074</v>
      </c>
      <c r="E75" s="132">
        <v>11252142</v>
      </c>
      <c r="F75" s="132">
        <v>11985641</v>
      </c>
      <c r="G75" s="132">
        <v>9101968</v>
      </c>
      <c r="H75" s="132">
        <v>40630167</v>
      </c>
      <c r="I75" s="132">
        <v>0</v>
      </c>
      <c r="J75" s="132">
        <v>0</v>
      </c>
      <c r="K75" s="132">
        <v>0</v>
      </c>
      <c r="L75" s="132">
        <v>0</v>
      </c>
      <c r="M75" s="132">
        <v>0</v>
      </c>
      <c r="N75" s="132">
        <v>0</v>
      </c>
      <c r="O75" s="142">
        <f t="shared" si="11"/>
        <v>106316992</v>
      </c>
      <c r="P75" s="143">
        <f t="shared" si="12"/>
        <v>9.7819062302977391E-2</v>
      </c>
      <c r="Q75" s="108"/>
      <c r="R75" s="142">
        <f t="shared" si="13"/>
        <v>17719498.666666668</v>
      </c>
      <c r="S75" s="108"/>
      <c r="T75" s="142">
        <f t="shared" si="14"/>
        <v>582558.86027397262</v>
      </c>
    </row>
    <row r="76" spans="2:20" s="118" customFormat="1" ht="35.1" customHeight="1" x14ac:dyDescent="0.25">
      <c r="B76" s="141" t="s">
        <v>73</v>
      </c>
      <c r="C76" s="144">
        <v>3500000</v>
      </c>
      <c r="D76" s="132">
        <v>4150000</v>
      </c>
      <c r="E76" s="132">
        <v>4600000</v>
      </c>
      <c r="F76" s="132">
        <v>2600000</v>
      </c>
      <c r="G76" s="132">
        <v>2400000</v>
      </c>
      <c r="H76" s="132">
        <v>0</v>
      </c>
      <c r="I76" s="132">
        <v>0</v>
      </c>
      <c r="J76" s="132">
        <v>0</v>
      </c>
      <c r="K76" s="132">
        <v>0</v>
      </c>
      <c r="L76" s="132">
        <v>0</v>
      </c>
      <c r="M76" s="132">
        <v>0</v>
      </c>
      <c r="N76" s="132">
        <v>0</v>
      </c>
      <c r="O76" s="142">
        <f t="shared" si="11"/>
        <v>17250000</v>
      </c>
      <c r="P76" s="143">
        <f t="shared" si="12"/>
        <v>1.5871205467573424E-2</v>
      </c>
      <c r="Q76" s="108"/>
      <c r="R76" s="142">
        <f t="shared" si="13"/>
        <v>2875000</v>
      </c>
      <c r="S76" s="108"/>
      <c r="T76" s="142">
        <f t="shared" si="14"/>
        <v>94520.547945205486</v>
      </c>
    </row>
    <row r="77" spans="2:20" s="118" customFormat="1" ht="35.1" customHeight="1" x14ac:dyDescent="0.25">
      <c r="B77" s="141" t="s">
        <v>74</v>
      </c>
      <c r="C77" s="144">
        <v>5373440</v>
      </c>
      <c r="D77" s="132">
        <v>25806345</v>
      </c>
      <c r="E77" s="132">
        <v>29691340</v>
      </c>
      <c r="F77" s="132">
        <v>15079040</v>
      </c>
      <c r="G77" s="132">
        <v>25772420</v>
      </c>
      <c r="H77" s="132">
        <v>4699764</v>
      </c>
      <c r="I77" s="132">
        <v>0</v>
      </c>
      <c r="J77" s="132">
        <v>0</v>
      </c>
      <c r="K77" s="132">
        <v>0</v>
      </c>
      <c r="L77" s="132">
        <v>0</v>
      </c>
      <c r="M77" s="132">
        <v>0</v>
      </c>
      <c r="N77" s="132">
        <v>0</v>
      </c>
      <c r="O77" s="142">
        <f t="shared" si="11"/>
        <v>106422349</v>
      </c>
      <c r="P77" s="143">
        <f t="shared" si="12"/>
        <v>9.7915998105554028E-2</v>
      </c>
      <c r="Q77" s="108"/>
      <c r="R77" s="142">
        <f t="shared" si="13"/>
        <v>17737058.166666668</v>
      </c>
      <c r="S77" s="108"/>
      <c r="T77" s="142">
        <f t="shared" si="14"/>
        <v>583136.15890410962</v>
      </c>
    </row>
    <row r="78" spans="2:20" s="118" customFormat="1" ht="35.1" customHeight="1" x14ac:dyDescent="0.25">
      <c r="B78" s="141" t="s">
        <v>75</v>
      </c>
      <c r="C78" s="144">
        <v>4597635</v>
      </c>
      <c r="D78" s="132">
        <v>21069951</v>
      </c>
      <c r="E78" s="132">
        <v>389000</v>
      </c>
      <c r="F78" s="132">
        <v>51800</v>
      </c>
      <c r="G78" s="132">
        <v>48570</v>
      </c>
      <c r="H78" s="132">
        <v>47000</v>
      </c>
      <c r="I78" s="132">
        <v>0</v>
      </c>
      <c r="J78" s="132">
        <v>0</v>
      </c>
      <c r="K78" s="132">
        <v>0</v>
      </c>
      <c r="L78" s="132">
        <v>0</v>
      </c>
      <c r="M78" s="132">
        <v>0</v>
      </c>
      <c r="N78" s="132">
        <v>0</v>
      </c>
      <c r="O78" s="142">
        <f t="shared" si="11"/>
        <v>26203956</v>
      </c>
      <c r="P78" s="143">
        <f t="shared" si="12"/>
        <v>2.4109470709521935E-2</v>
      </c>
      <c r="Q78" s="108"/>
      <c r="R78" s="142">
        <f t="shared" si="13"/>
        <v>4367326</v>
      </c>
      <c r="S78" s="108"/>
      <c r="T78" s="142">
        <f t="shared" si="14"/>
        <v>143583.32054794522</v>
      </c>
    </row>
    <row r="79" spans="2:20" s="118" customFormat="1" ht="35.1" customHeight="1" x14ac:dyDescent="0.25">
      <c r="B79" s="141" t="s">
        <v>76</v>
      </c>
      <c r="C79" s="144">
        <v>47361023</v>
      </c>
      <c r="D79" s="132">
        <v>13196205</v>
      </c>
      <c r="E79" s="132">
        <v>60912824</v>
      </c>
      <c r="F79" s="132">
        <v>48625612</v>
      </c>
      <c r="G79" s="132">
        <v>1012140</v>
      </c>
      <c r="H79" s="132">
        <v>1751267</v>
      </c>
      <c r="I79" s="132">
        <v>0</v>
      </c>
      <c r="J79" s="132">
        <v>0</v>
      </c>
      <c r="K79" s="132">
        <v>0</v>
      </c>
      <c r="L79" s="132">
        <v>0</v>
      </c>
      <c r="M79" s="132">
        <v>0</v>
      </c>
      <c r="N79" s="132">
        <v>0</v>
      </c>
      <c r="O79" s="142">
        <f t="shared" si="11"/>
        <v>172859071</v>
      </c>
      <c r="P79" s="143">
        <f t="shared" si="12"/>
        <v>0.15904242508839783</v>
      </c>
      <c r="Q79" s="108"/>
      <c r="R79" s="142">
        <f t="shared" si="13"/>
        <v>28809845.166666668</v>
      </c>
      <c r="S79" s="108"/>
      <c r="T79" s="142">
        <f t="shared" si="14"/>
        <v>947172.99178082193</v>
      </c>
    </row>
    <row r="80" spans="2:20" s="118" customFormat="1" ht="35.1" customHeight="1" x14ac:dyDescent="0.25">
      <c r="B80" s="145"/>
      <c r="C80" s="146">
        <f t="shared" ref="C80:O80" si="15">SUM(C73:C79)</f>
        <v>78656858</v>
      </c>
      <c r="D80" s="146">
        <f t="shared" si="15"/>
        <v>234760960</v>
      </c>
      <c r="E80" s="146">
        <f t="shared" si="15"/>
        <v>214305520</v>
      </c>
      <c r="F80" s="146">
        <f t="shared" si="15"/>
        <v>139769585</v>
      </c>
      <c r="G80" s="146">
        <f t="shared" si="15"/>
        <v>220054946</v>
      </c>
      <c r="H80" s="146">
        <f t="shared" si="15"/>
        <v>199326095</v>
      </c>
      <c r="I80" s="146">
        <f t="shared" si="15"/>
        <v>0</v>
      </c>
      <c r="J80" s="146">
        <f t="shared" si="15"/>
        <v>0</v>
      </c>
      <c r="K80" s="146">
        <f t="shared" si="15"/>
        <v>0</v>
      </c>
      <c r="L80" s="146">
        <f t="shared" si="15"/>
        <v>0</v>
      </c>
      <c r="M80" s="146">
        <f t="shared" si="15"/>
        <v>0</v>
      </c>
      <c r="N80" s="146">
        <f t="shared" si="15"/>
        <v>0</v>
      </c>
      <c r="O80" s="146">
        <f t="shared" si="15"/>
        <v>1086873964</v>
      </c>
      <c r="P80" s="146"/>
      <c r="Q80" s="108"/>
      <c r="R80" s="146">
        <f>SUM(R73:R79)</f>
        <v>181145660.66666666</v>
      </c>
      <c r="S80" s="108"/>
      <c r="T80" s="146">
        <f>SUM(T73:T79)</f>
        <v>5955473.7753424663</v>
      </c>
    </row>
    <row r="81" spans="2:20" ht="35.1" customHeight="1" x14ac:dyDescent="0.2">
      <c r="B81" s="112" t="s">
        <v>95</v>
      </c>
      <c r="C81" s="88"/>
      <c r="D81" s="88"/>
      <c r="E81" s="88"/>
      <c r="F81" s="88"/>
      <c r="G81" s="88"/>
      <c r="H81" s="88"/>
      <c r="I81" s="88"/>
      <c r="J81" s="88"/>
      <c r="K81" s="88"/>
      <c r="L81" s="88"/>
      <c r="M81" s="88"/>
      <c r="N81" s="88"/>
      <c r="O81" s="86"/>
      <c r="P81" s="86"/>
      <c r="Q81" s="70"/>
      <c r="R81" s="86"/>
      <c r="S81" s="70"/>
      <c r="T81" s="86"/>
    </row>
    <row r="82" spans="2:20" s="118" customFormat="1" ht="35.1" customHeight="1" x14ac:dyDescent="0.25">
      <c r="B82" s="145" t="s">
        <v>79</v>
      </c>
      <c r="C82" s="144">
        <v>1309108</v>
      </c>
      <c r="D82" s="132">
        <v>189608</v>
      </c>
      <c r="E82" s="132">
        <v>1356048</v>
      </c>
      <c r="F82" s="132">
        <v>1206049</v>
      </c>
      <c r="G82" s="132">
        <v>1462199</v>
      </c>
      <c r="H82" s="144">
        <v>1565001</v>
      </c>
      <c r="I82" s="132">
        <v>0</v>
      </c>
      <c r="J82" s="132">
        <v>0</v>
      </c>
      <c r="K82" s="132">
        <v>0</v>
      </c>
      <c r="L82" s="132">
        <v>0</v>
      </c>
      <c r="M82" s="132">
        <v>0</v>
      </c>
      <c r="N82" s="132">
        <v>0</v>
      </c>
      <c r="O82" s="142">
        <f t="shared" ref="O82:O83" si="16">SUM(C82:N82)</f>
        <v>7088013</v>
      </c>
      <c r="P82" s="142"/>
      <c r="Q82" s="108"/>
      <c r="R82" s="142">
        <f t="shared" ref="R82:R83" si="17">O82/12</f>
        <v>590667.75</v>
      </c>
      <c r="S82" s="108"/>
      <c r="T82" s="142">
        <f t="shared" ref="T82:T83" si="18">O82/365</f>
        <v>19419.213698630138</v>
      </c>
    </row>
    <row r="83" spans="2:20" s="118" customFormat="1" ht="35.1" customHeight="1" x14ac:dyDescent="0.25">
      <c r="B83" s="145" t="s">
        <v>96</v>
      </c>
      <c r="C83" s="144"/>
      <c r="D83" s="132">
        <v>0</v>
      </c>
      <c r="E83" s="132">
        <v>0</v>
      </c>
      <c r="F83" s="132">
        <v>0</v>
      </c>
      <c r="G83" s="132">
        <v>0</v>
      </c>
      <c r="H83" s="132">
        <v>0</v>
      </c>
      <c r="I83" s="132">
        <v>0</v>
      </c>
      <c r="J83" s="132">
        <v>0</v>
      </c>
      <c r="K83" s="132">
        <v>0</v>
      </c>
      <c r="L83" s="132">
        <v>0</v>
      </c>
      <c r="M83" s="132">
        <v>0</v>
      </c>
      <c r="N83" s="132">
        <v>0</v>
      </c>
      <c r="O83" s="142">
        <f t="shared" si="16"/>
        <v>0</v>
      </c>
      <c r="P83" s="142"/>
      <c r="Q83" s="108"/>
      <c r="R83" s="142">
        <f t="shared" si="17"/>
        <v>0</v>
      </c>
      <c r="S83" s="108"/>
      <c r="T83" s="142">
        <f t="shared" si="18"/>
        <v>0</v>
      </c>
    </row>
    <row r="84" spans="2:20" s="118" customFormat="1" ht="35.1" customHeight="1" x14ac:dyDescent="0.25">
      <c r="B84" s="145"/>
      <c r="C84" s="147">
        <f t="shared" ref="C84:O84" si="19">SUM(C82:C83)</f>
        <v>1309108</v>
      </c>
      <c r="D84" s="147">
        <f t="shared" si="19"/>
        <v>189608</v>
      </c>
      <c r="E84" s="147">
        <f t="shared" si="19"/>
        <v>1356048</v>
      </c>
      <c r="F84" s="147">
        <f t="shared" si="19"/>
        <v>1206049</v>
      </c>
      <c r="G84" s="147">
        <f t="shared" si="19"/>
        <v>1462199</v>
      </c>
      <c r="H84" s="147">
        <f t="shared" si="19"/>
        <v>1565001</v>
      </c>
      <c r="I84" s="147">
        <f t="shared" si="19"/>
        <v>0</v>
      </c>
      <c r="J84" s="147">
        <f t="shared" si="19"/>
        <v>0</v>
      </c>
      <c r="K84" s="147">
        <f t="shared" si="19"/>
        <v>0</v>
      </c>
      <c r="L84" s="147">
        <f t="shared" si="19"/>
        <v>0</v>
      </c>
      <c r="M84" s="147">
        <f t="shared" si="19"/>
        <v>0</v>
      </c>
      <c r="N84" s="147">
        <f t="shared" si="19"/>
        <v>0</v>
      </c>
      <c r="O84" s="147">
        <f t="shared" si="19"/>
        <v>7088013</v>
      </c>
      <c r="P84" s="147"/>
      <c r="Q84" s="108"/>
      <c r="R84" s="147">
        <f>SUM(R82:R83)</f>
        <v>590667.75</v>
      </c>
      <c r="S84" s="108"/>
      <c r="T84" s="147">
        <f>SUM(T82:T83)</f>
        <v>19419.213698630138</v>
      </c>
    </row>
    <row r="85" spans="2:20" s="148" customFormat="1" ht="35.1" customHeight="1" x14ac:dyDescent="0.25">
      <c r="B85" s="149" t="s">
        <v>0</v>
      </c>
      <c r="C85" s="150">
        <f t="shared" ref="C85:O85" si="20">+C60-C80-C84</f>
        <v>119119895.19999999</v>
      </c>
      <c r="D85" s="150">
        <f t="shared" si="20"/>
        <v>-34039024.800000012</v>
      </c>
      <c r="E85" s="150">
        <f t="shared" si="20"/>
        <v>-17562630.599999994</v>
      </c>
      <c r="F85" s="150">
        <f t="shared" si="20"/>
        <v>54345097.400000006</v>
      </c>
      <c r="G85" s="150">
        <f t="shared" si="20"/>
        <v>-25354006</v>
      </c>
      <c r="H85" s="150">
        <f t="shared" si="20"/>
        <v>-7481689.1999999881</v>
      </c>
      <c r="I85" s="150">
        <f t="shared" si="20"/>
        <v>0</v>
      </c>
      <c r="J85" s="150">
        <f t="shared" si="20"/>
        <v>0</v>
      </c>
      <c r="K85" s="150">
        <f t="shared" si="20"/>
        <v>0</v>
      </c>
      <c r="L85" s="150">
        <f t="shared" si="20"/>
        <v>0</v>
      </c>
      <c r="M85" s="150">
        <f t="shared" si="20"/>
        <v>0</v>
      </c>
      <c r="N85" s="150">
        <f t="shared" si="20"/>
        <v>0</v>
      </c>
      <c r="O85" s="150">
        <f t="shared" si="20"/>
        <v>89027642</v>
      </c>
      <c r="P85" s="150"/>
      <c r="Q85" s="151"/>
      <c r="R85" s="150">
        <f>+R60-R80-R84</f>
        <v>15428608.083333343</v>
      </c>
      <c r="S85" s="151"/>
      <c r="T85" s="150">
        <f>+T60-T80-T84</f>
        <v>137018.35890410849</v>
      </c>
    </row>
    <row r="86" spans="2:20" x14ac:dyDescent="0.2">
      <c r="B86" s="89"/>
      <c r="C86" s="90"/>
      <c r="D86" s="90"/>
      <c r="E86" s="90"/>
      <c r="F86" s="90"/>
      <c r="G86" s="90"/>
      <c r="H86" s="90"/>
      <c r="I86" s="90"/>
      <c r="J86" s="90"/>
      <c r="K86" s="90"/>
      <c r="L86" s="90"/>
      <c r="M86" s="90"/>
      <c r="N86" s="90"/>
      <c r="O86" s="90"/>
      <c r="P86" s="90"/>
    </row>
    <row r="181" spans="5:23" ht="19.5" x14ac:dyDescent="0.2">
      <c r="V181" s="96" t="s">
        <v>116</v>
      </c>
      <c r="W181" s="97">
        <v>242578326.91999999</v>
      </c>
    </row>
    <row r="182" spans="5:23" ht="19.5" x14ac:dyDescent="0.2">
      <c r="V182" s="96" t="s">
        <v>117</v>
      </c>
      <c r="W182" s="97">
        <v>59866615.890000001</v>
      </c>
    </row>
    <row r="183" spans="5:23" ht="19.5" x14ac:dyDescent="0.2">
      <c r="V183" s="96" t="s">
        <v>118</v>
      </c>
      <c r="W183" s="97">
        <v>5940735.4400000004</v>
      </c>
    </row>
    <row r="184" spans="5:23" ht="19.5" x14ac:dyDescent="0.2">
      <c r="V184" s="96" t="s">
        <v>119</v>
      </c>
      <c r="W184" s="97">
        <v>46560252.100000001</v>
      </c>
    </row>
    <row r="185" spans="5:23" ht="19.5" x14ac:dyDescent="0.2">
      <c r="V185" s="96" t="s">
        <v>120</v>
      </c>
      <c r="W185" s="97">
        <v>416007.41</v>
      </c>
    </row>
    <row r="186" spans="5:23" ht="19.5" x14ac:dyDescent="0.2">
      <c r="V186" s="96" t="s">
        <v>121</v>
      </c>
      <c r="W186" s="97">
        <v>45755283.740000002</v>
      </c>
    </row>
    <row r="187" spans="5:23" ht="39" x14ac:dyDescent="0.2">
      <c r="E187" s="61" t="s">
        <v>97</v>
      </c>
      <c r="F187" s="92">
        <f>D40</f>
        <v>7300000000</v>
      </c>
      <c r="V187" s="96" t="s">
        <v>122</v>
      </c>
      <c r="W187" s="97">
        <v>22472154.600000001</v>
      </c>
    </row>
    <row r="188" spans="5:23" ht="19.5" x14ac:dyDescent="0.2">
      <c r="E188" s="61" t="s">
        <v>86</v>
      </c>
      <c r="F188" s="92">
        <f>SUM(W181:W196)</f>
        <v>978208581.78000009</v>
      </c>
      <c r="V188" s="96" t="s">
        <v>123</v>
      </c>
      <c r="W188" s="97">
        <v>224008987.41999999</v>
      </c>
    </row>
    <row r="189" spans="5:23" ht="19.5" x14ac:dyDescent="0.2">
      <c r="E189" s="61" t="s">
        <v>98</v>
      </c>
      <c r="F189" s="92">
        <v>1073531864</v>
      </c>
      <c r="V189" s="98" t="s">
        <v>124</v>
      </c>
      <c r="W189" s="97">
        <v>175786188.00999999</v>
      </c>
    </row>
    <row r="190" spans="5:23" ht="39" x14ac:dyDescent="0.2">
      <c r="V190" s="96" t="s">
        <v>111</v>
      </c>
      <c r="W190" s="97">
        <v>1616963.61</v>
      </c>
    </row>
    <row r="191" spans="5:23" ht="19.5" x14ac:dyDescent="0.2">
      <c r="V191" s="96" t="s">
        <v>125</v>
      </c>
      <c r="W191" s="97">
        <v>58032</v>
      </c>
    </row>
    <row r="192" spans="5:23" ht="19.5" x14ac:dyDescent="0.2">
      <c r="E192" s="82" t="s">
        <v>83</v>
      </c>
      <c r="F192" s="84">
        <v>2650000000</v>
      </c>
      <c r="V192" s="96" t="s">
        <v>126</v>
      </c>
      <c r="W192" s="97">
        <v>53528</v>
      </c>
    </row>
    <row r="193" spans="5:23" ht="19.5" x14ac:dyDescent="0.2">
      <c r="E193" s="82" t="s">
        <v>80</v>
      </c>
      <c r="F193" s="84">
        <v>2150000000</v>
      </c>
      <c r="V193" s="96" t="s">
        <v>127</v>
      </c>
      <c r="W193" s="97">
        <v>269534.48</v>
      </c>
    </row>
    <row r="194" spans="5:23" ht="19.5" x14ac:dyDescent="0.2">
      <c r="E194" s="82" t="s">
        <v>81</v>
      </c>
      <c r="F194" s="84">
        <v>1250000000</v>
      </c>
      <c r="V194" s="96" t="s">
        <v>128</v>
      </c>
      <c r="W194" s="97">
        <v>90882954.159999996</v>
      </c>
    </row>
    <row r="195" spans="5:23" ht="39" x14ac:dyDescent="0.2">
      <c r="E195" s="82" t="s">
        <v>82</v>
      </c>
      <c r="F195" s="84">
        <v>1250000000</v>
      </c>
      <c r="V195" s="96" t="s">
        <v>129</v>
      </c>
      <c r="W195" s="97">
        <v>5548706</v>
      </c>
    </row>
    <row r="196" spans="5:23" ht="19.5" x14ac:dyDescent="0.2">
      <c r="V196" s="96" t="s">
        <v>130</v>
      </c>
      <c r="W196" s="97">
        <v>56394312</v>
      </c>
    </row>
    <row r="197" spans="5:23" ht="39" x14ac:dyDescent="0.2">
      <c r="V197" s="158" t="s">
        <v>115</v>
      </c>
      <c r="W197" s="159">
        <v>45837100</v>
      </c>
    </row>
    <row r="198" spans="5:23" ht="39" x14ac:dyDescent="0.2">
      <c r="V198" s="158" t="s">
        <v>114</v>
      </c>
      <c r="W198" s="159">
        <v>220000100</v>
      </c>
    </row>
    <row r="199" spans="5:23" ht="19.5" x14ac:dyDescent="0.2">
      <c r="V199" s="158" t="s">
        <v>113</v>
      </c>
      <c r="W199" s="159">
        <v>807694664</v>
      </c>
    </row>
  </sheetData>
  <mergeCells count="18">
    <mergeCell ref="D41:E41"/>
    <mergeCell ref="I41:J41"/>
    <mergeCell ref="D42:E42"/>
    <mergeCell ref="I42:J42"/>
    <mergeCell ref="I43:J43"/>
    <mergeCell ref="B38:C38"/>
    <mergeCell ref="D38:E38"/>
    <mergeCell ref="I38:J38"/>
    <mergeCell ref="D39:E39"/>
    <mergeCell ref="I39:J39"/>
    <mergeCell ref="D40:E40"/>
    <mergeCell ref="I40:J40"/>
    <mergeCell ref="B36:E36"/>
    <mergeCell ref="G36:T36"/>
    <mergeCell ref="B37:C37"/>
    <mergeCell ref="D37:E37"/>
    <mergeCell ref="G37:H37"/>
    <mergeCell ref="I37:J37"/>
  </mergeCells>
  <conditionalFormatting sqref="O73:O79">
    <cfRule type="dataBar" priority="8">
      <dataBar>
        <cfvo type="min"/>
        <cfvo type="max"/>
        <color rgb="FF638EC6"/>
      </dataBar>
      <extLst>
        <ext xmlns:x14="http://schemas.microsoft.com/office/spreadsheetml/2009/9/main" uri="{B025F937-C7B1-47D3-B67F-A62EFF666E3E}">
          <x14:id>{57C10BC8-7F8C-463D-9686-BD41BB7E7535}</x14:id>
        </ext>
      </extLst>
    </cfRule>
  </conditionalFormatting>
  <conditionalFormatting sqref="O64:O67">
    <cfRule type="dataBar" priority="7">
      <dataBar>
        <cfvo type="min"/>
        <cfvo type="max"/>
        <color rgb="FF638EC6"/>
      </dataBar>
      <extLst>
        <ext xmlns:x14="http://schemas.microsoft.com/office/spreadsheetml/2009/9/main" uri="{B025F937-C7B1-47D3-B67F-A62EFF666E3E}">
          <x14:id>{130AED25-90B6-4223-AE92-57D29EDA45D6}</x14:id>
        </ext>
      </extLst>
    </cfRule>
  </conditionalFormatting>
  <conditionalFormatting sqref="O52:O58">
    <cfRule type="dataBar" priority="6">
      <dataBar>
        <cfvo type="min"/>
        <cfvo type="max"/>
        <color rgb="FF638EC6"/>
      </dataBar>
      <extLst>
        <ext xmlns:x14="http://schemas.microsoft.com/office/spreadsheetml/2009/9/main" uri="{B025F937-C7B1-47D3-B67F-A62EFF666E3E}">
          <x14:id>{C9F0DEAE-317D-4538-BA3A-EA7719A49BCF}</x14:id>
        </ext>
      </extLst>
    </cfRule>
  </conditionalFormatting>
  <conditionalFormatting sqref="C47:H47">
    <cfRule type="iconSet" priority="5">
      <iconSet iconSet="5Arrows">
        <cfvo type="percent" val="0"/>
        <cfvo type="percent" val="20"/>
        <cfvo type="percent" val="40"/>
        <cfvo type="percent" val="60"/>
        <cfvo type="percent" val="80"/>
      </iconSet>
    </cfRule>
  </conditionalFormatting>
  <conditionalFormatting sqref="O82:P83">
    <cfRule type="dataBar" priority="9">
      <dataBar>
        <cfvo type="min"/>
        <cfvo type="max"/>
        <color rgb="FF638EC6"/>
      </dataBar>
      <extLst>
        <ext xmlns:x14="http://schemas.microsoft.com/office/spreadsheetml/2009/9/main" uri="{B025F937-C7B1-47D3-B67F-A62EFF666E3E}">
          <x14:id>{A7BE111C-D1E7-4677-9E67-EEC97DB3DC4A}</x14:id>
        </ext>
      </extLst>
    </cfRule>
  </conditionalFormatting>
  <conditionalFormatting sqref="C46:H46">
    <cfRule type="iconSet" priority="4">
      <iconSet iconSet="5Arrows">
        <cfvo type="percent" val="0"/>
        <cfvo type="percent" val="20"/>
        <cfvo type="percent" val="40"/>
        <cfvo type="percent" val="60"/>
        <cfvo type="percent" val="80"/>
      </iconSet>
    </cfRule>
  </conditionalFormatting>
  <conditionalFormatting sqref="P38:P43">
    <cfRule type="dataBar" priority="3">
      <dataBar>
        <cfvo type="min"/>
        <cfvo type="max"/>
        <color rgb="FF638EC6"/>
      </dataBar>
      <extLst>
        <ext xmlns:x14="http://schemas.microsoft.com/office/spreadsheetml/2009/9/main" uri="{B025F937-C7B1-47D3-B67F-A62EFF666E3E}">
          <x14:id>{737D4437-F863-47AA-9FB5-DFB2073E4500}</x14:id>
        </ext>
      </extLst>
    </cfRule>
  </conditionalFormatting>
  <conditionalFormatting sqref="R38:R43">
    <cfRule type="iconSet" priority="2">
      <iconSet iconSet="4Rating">
        <cfvo type="percent" val="0"/>
        <cfvo type="percent" val="25"/>
        <cfvo type="percent" val="50"/>
        <cfvo type="percent" val="75"/>
      </iconSet>
    </cfRule>
  </conditionalFormatting>
  <conditionalFormatting sqref="T38:T43">
    <cfRule type="iconSet" priority="1">
      <iconSet iconSet="5Quarters">
        <cfvo type="percent" val="0"/>
        <cfvo type="percent" val="20"/>
        <cfvo type="percent" val="40"/>
        <cfvo type="percent" val="60"/>
        <cfvo type="percent" val="80"/>
      </iconSet>
    </cfRule>
  </conditionalFormatting>
  <pageMargins left="0.31496062992125984" right="0.19685039370078741" top="0.19685039370078741" bottom="0.31496062992125984" header="0.51181102362204722" footer="0.51181102362204722"/>
  <pageSetup scale="43" orientation="landscape" horizontalDpi="4294967292" verticalDpi="4294967292" r:id="rId1"/>
  <rowBreaks count="1" manualBreakCount="1">
    <brk id="60" max="20" man="1"/>
  </rowBreaks>
  <drawing r:id="rId2"/>
  <extLst>
    <ext xmlns:x14="http://schemas.microsoft.com/office/spreadsheetml/2009/9/main" uri="{78C0D931-6437-407d-A8EE-F0AAD7539E65}">
      <x14:conditionalFormattings>
        <x14:conditionalFormatting xmlns:xm="http://schemas.microsoft.com/office/excel/2006/main">
          <x14:cfRule type="dataBar" id="{57C10BC8-7F8C-463D-9686-BD41BB7E7535}">
            <x14:dataBar minLength="0" maxLength="100" gradient="0">
              <x14:cfvo type="autoMin"/>
              <x14:cfvo type="autoMax"/>
              <x14:negativeFillColor rgb="FFFF0000"/>
              <x14:axisColor rgb="FF000000"/>
            </x14:dataBar>
          </x14:cfRule>
          <xm:sqref>O73:O79</xm:sqref>
        </x14:conditionalFormatting>
        <x14:conditionalFormatting xmlns:xm="http://schemas.microsoft.com/office/excel/2006/main">
          <x14:cfRule type="dataBar" id="{130AED25-90B6-4223-AE92-57D29EDA45D6}">
            <x14:dataBar minLength="0" maxLength="100" gradient="0">
              <x14:cfvo type="autoMin"/>
              <x14:cfvo type="autoMax"/>
              <x14:negativeFillColor rgb="FFFF0000"/>
              <x14:axisColor rgb="FF000000"/>
            </x14:dataBar>
          </x14:cfRule>
          <xm:sqref>O64:O67</xm:sqref>
        </x14:conditionalFormatting>
        <x14:conditionalFormatting xmlns:xm="http://schemas.microsoft.com/office/excel/2006/main">
          <x14:cfRule type="dataBar" id="{C9F0DEAE-317D-4538-BA3A-EA7719A49BCF}">
            <x14:dataBar minLength="0" maxLength="100" gradient="0">
              <x14:cfvo type="autoMin"/>
              <x14:cfvo type="autoMax"/>
              <x14:negativeFillColor rgb="FFFF0000"/>
              <x14:axisColor rgb="FF000000"/>
            </x14:dataBar>
          </x14:cfRule>
          <xm:sqref>O52:O58</xm:sqref>
        </x14:conditionalFormatting>
        <x14:conditionalFormatting xmlns:xm="http://schemas.microsoft.com/office/excel/2006/main">
          <x14:cfRule type="dataBar" id="{A7BE111C-D1E7-4677-9E67-EEC97DB3DC4A}">
            <x14:dataBar minLength="0" maxLength="100" gradient="0">
              <x14:cfvo type="autoMin"/>
              <x14:cfvo type="autoMax"/>
              <x14:negativeFillColor rgb="FFFF0000"/>
              <x14:axisColor rgb="FF000000"/>
            </x14:dataBar>
          </x14:cfRule>
          <xm:sqref>O82:P83</xm:sqref>
        </x14:conditionalFormatting>
        <x14:conditionalFormatting xmlns:xm="http://schemas.microsoft.com/office/excel/2006/main">
          <x14:cfRule type="dataBar" id="{737D4437-F863-47AA-9FB5-DFB2073E4500}">
            <x14:dataBar minLength="0" maxLength="100" gradient="0">
              <x14:cfvo type="autoMin"/>
              <x14:cfvo type="autoMax"/>
              <x14:negativeFillColor rgb="FFFF0000"/>
              <x14:axisColor rgb="FF000000"/>
            </x14:dataBar>
          </x14:cfRule>
          <xm:sqref>P38:P43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F4774-4D8C-4833-993E-0DDE1D3E817A}">
  <dimension ref="A2:L11"/>
  <sheetViews>
    <sheetView topLeftCell="A2" workbookViewId="0">
      <selection activeCell="C5" sqref="C5"/>
    </sheetView>
  </sheetViews>
  <sheetFormatPr defaultRowHeight="15.75" x14ac:dyDescent="0.25"/>
  <cols>
    <col min="1" max="1" width="42" style="182" bestFit="1" customWidth="1"/>
    <col min="2" max="3" width="10.75" style="182" bestFit="1" customWidth="1"/>
    <col min="4" max="5" width="14.75" style="182" bestFit="1" customWidth="1"/>
    <col min="6" max="8" width="9" style="182"/>
    <col min="9" max="9" width="14.375" style="182" bestFit="1" customWidth="1"/>
    <col min="10" max="10" width="9" style="182"/>
    <col min="11" max="11" width="16.25" style="182" bestFit="1" customWidth="1"/>
    <col min="12" max="12" width="13.75" style="182" bestFit="1" customWidth="1"/>
    <col min="13" max="16384" width="9" style="182"/>
  </cols>
  <sheetData>
    <row r="2" spans="1:12" x14ac:dyDescent="0.25">
      <c r="A2" s="185" t="s">
        <v>136</v>
      </c>
      <c r="B2" s="185" t="s">
        <v>137</v>
      </c>
      <c r="C2" s="185" t="s">
        <v>138</v>
      </c>
      <c r="D2" s="185" t="s">
        <v>139</v>
      </c>
      <c r="E2" s="185" t="s">
        <v>140</v>
      </c>
      <c r="J2" s="189"/>
      <c r="K2" s="187"/>
    </row>
    <row r="3" spans="1:12" x14ac:dyDescent="0.25">
      <c r="A3" s="184" t="s">
        <v>144</v>
      </c>
      <c r="B3" s="189">
        <v>18101.142857142855</v>
      </c>
      <c r="C3" s="182">
        <v>6136</v>
      </c>
      <c r="D3" s="183">
        <v>969678598.28571427</v>
      </c>
      <c r="E3" s="183">
        <v>176607468</v>
      </c>
      <c r="I3" s="182" t="s">
        <v>143</v>
      </c>
      <c r="J3" s="189">
        <f>21853+15609</f>
        <v>37462</v>
      </c>
      <c r="K3" s="183">
        <f>1242184580+887274700</f>
        <v>2129459280</v>
      </c>
    </row>
    <row r="4" spans="1:12" x14ac:dyDescent="0.25">
      <c r="A4" s="184"/>
      <c r="B4" s="189"/>
      <c r="D4" s="183"/>
      <c r="E4" s="183"/>
      <c r="I4" s="182">
        <v>2022</v>
      </c>
      <c r="J4" s="182">
        <v>18743</v>
      </c>
      <c r="K4" s="183">
        <v>730546966</v>
      </c>
      <c r="L4" s="187"/>
    </row>
    <row r="5" spans="1:12" x14ac:dyDescent="0.25">
      <c r="A5" s="184"/>
      <c r="D5" s="183"/>
      <c r="E5" s="183"/>
      <c r="L5" s="192">
        <f>K3-K4</f>
        <v>1398912314</v>
      </c>
    </row>
    <row r="6" spans="1:12" x14ac:dyDescent="0.25">
      <c r="A6" s="184"/>
      <c r="D6" s="183"/>
      <c r="E6" s="183"/>
      <c r="L6" s="188">
        <f>+L5/K4</f>
        <v>1.9148834764991687</v>
      </c>
    </row>
    <row r="7" spans="1:12" x14ac:dyDescent="0.25">
      <c r="A7" s="184"/>
      <c r="D7" s="183"/>
      <c r="E7" s="183"/>
      <c r="K7" s="188"/>
    </row>
    <row r="8" spans="1:12" x14ac:dyDescent="0.25">
      <c r="A8" s="184"/>
      <c r="D8" s="183"/>
      <c r="E8" s="183"/>
    </row>
    <row r="9" spans="1:12" x14ac:dyDescent="0.25">
      <c r="A9" s="184"/>
      <c r="D9" s="183"/>
      <c r="E9" s="183"/>
    </row>
    <row r="10" spans="1:12" x14ac:dyDescent="0.25">
      <c r="A10" s="185" t="s">
        <v>135</v>
      </c>
      <c r="B10" s="185">
        <v>21853</v>
      </c>
      <c r="C10" s="185">
        <v>18743</v>
      </c>
      <c r="D10" s="186">
        <v>1242184580</v>
      </c>
      <c r="E10" s="186">
        <v>730546966</v>
      </c>
    </row>
    <row r="11" spans="1:12" x14ac:dyDescent="0.25">
      <c r="B11" s="189">
        <f>AVERAGE(B3:B9)</f>
        <v>18101.142857142855</v>
      </c>
      <c r="C11" s="189">
        <f t="shared" ref="C11:E11" si="0">AVERAGE(C3:C9)</f>
        <v>6136</v>
      </c>
      <c r="D11" s="183">
        <f t="shared" si="0"/>
        <v>969678598.28571427</v>
      </c>
      <c r="E11" s="183">
        <f t="shared" si="0"/>
        <v>176607468</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7AC8A-6FC4-4356-A2CA-D12F614E356E}">
  <sheetPr>
    <tabColor theme="4" tint="-0.249977111117893"/>
  </sheetPr>
  <dimension ref="A1:X122"/>
  <sheetViews>
    <sheetView showGridLines="0" tabSelected="1" view="pageBreakPreview" topLeftCell="A28" zoomScale="40" zoomScaleNormal="70" zoomScaleSheetLayoutView="40" workbookViewId="0">
      <selection activeCell="W37" sqref="W37"/>
    </sheetView>
  </sheetViews>
  <sheetFormatPr defaultColWidth="11" defaultRowHeight="15" x14ac:dyDescent="0.2"/>
  <cols>
    <col min="1" max="1" width="3.375" style="61" customWidth="1"/>
    <col min="2" max="2" width="35.875" style="61" customWidth="1"/>
    <col min="3" max="8" width="22.125" style="61" bestFit="1" customWidth="1"/>
    <col min="9" max="13" width="13.375" style="61" hidden="1" customWidth="1"/>
    <col min="14" max="14" width="16.875" style="61" hidden="1" customWidth="1"/>
    <col min="15" max="15" width="24" style="61" bestFit="1" customWidth="1"/>
    <col min="16" max="16" width="13.75" style="61" customWidth="1"/>
    <col min="17" max="17" width="3.375" style="61" customWidth="1"/>
    <col min="18" max="18" width="28.75" style="61" bestFit="1" customWidth="1"/>
    <col min="19" max="19" width="3.375" style="61" customWidth="1"/>
    <col min="20" max="20" width="28.75" style="61" bestFit="1" customWidth="1"/>
    <col min="21" max="21" width="3.5" style="61" customWidth="1"/>
    <col min="22" max="22" width="50.125" style="61" customWidth="1"/>
    <col min="23" max="23" width="20.125" style="61" bestFit="1" customWidth="1"/>
    <col min="24" max="16384" width="11" style="61"/>
  </cols>
  <sheetData>
    <row r="1" spans="1:22" ht="7.5" customHeight="1" x14ac:dyDescent="0.2"/>
    <row r="2" spans="1:22" ht="30" x14ac:dyDescent="0.4">
      <c r="B2" s="62" t="s">
        <v>87</v>
      </c>
    </row>
    <row r="3" spans="1:22" ht="28.5" customHeight="1" x14ac:dyDescent="0.45">
      <c r="B3" s="63" t="s">
        <v>141</v>
      </c>
      <c r="C3" s="64"/>
      <c r="D3" s="64"/>
      <c r="E3" s="64"/>
      <c r="F3" s="65"/>
      <c r="G3" s="65"/>
      <c r="H3" s="65"/>
      <c r="I3" s="65"/>
    </row>
    <row r="4" spans="1:22" ht="21" customHeight="1" x14ac:dyDescent="0.45">
      <c r="A4" s="65"/>
      <c r="B4" s="91"/>
      <c r="C4" s="66"/>
      <c r="D4" s="66"/>
      <c r="E4" s="66"/>
      <c r="F4" s="65"/>
      <c r="G4" s="65"/>
      <c r="H4" s="65"/>
      <c r="I4" s="65"/>
      <c r="J4" s="65"/>
      <c r="K4" s="65"/>
      <c r="L4" s="65"/>
      <c r="M4" s="65"/>
      <c r="N4" s="65"/>
      <c r="O4" s="65"/>
      <c r="P4" s="65"/>
      <c r="Q4" s="65"/>
      <c r="R4" s="65"/>
      <c r="S4" s="65"/>
      <c r="T4" s="65"/>
      <c r="U4" s="65"/>
    </row>
    <row r="5" spans="1:22" ht="9.75" customHeight="1" x14ac:dyDescent="0.2">
      <c r="A5" s="65"/>
      <c r="B5" s="65"/>
      <c r="C5" s="65"/>
      <c r="D5" s="65"/>
      <c r="E5" s="65"/>
      <c r="J5" s="65"/>
      <c r="K5" s="65"/>
      <c r="L5" s="65"/>
      <c r="M5" s="65"/>
      <c r="N5" s="65"/>
      <c r="O5" s="65"/>
      <c r="P5" s="65"/>
      <c r="Q5" s="65"/>
      <c r="R5" s="65"/>
      <c r="S5" s="65"/>
      <c r="T5" s="65"/>
      <c r="U5" s="65"/>
    </row>
    <row r="6" spans="1:22" ht="21.95" customHeight="1" x14ac:dyDescent="0.2">
      <c r="A6" s="65"/>
      <c r="B6" s="65"/>
      <c r="C6" s="65"/>
      <c r="D6" s="65"/>
      <c r="E6" s="65"/>
      <c r="J6" s="67"/>
      <c r="K6" s="65"/>
      <c r="L6" s="65"/>
      <c r="M6" s="65"/>
      <c r="N6" s="65"/>
      <c r="O6" s="65"/>
      <c r="P6" s="65"/>
      <c r="Q6" s="65"/>
      <c r="R6" s="65"/>
      <c r="S6" s="65"/>
      <c r="T6" s="65"/>
      <c r="U6" s="65"/>
    </row>
    <row r="7" spans="1:22" ht="21.95" customHeight="1" x14ac:dyDescent="0.2">
      <c r="A7" s="65"/>
      <c r="B7" s="65"/>
      <c r="C7" s="65"/>
      <c r="D7" s="65"/>
      <c r="E7" s="65"/>
      <c r="J7" s="67"/>
      <c r="K7" s="65"/>
      <c r="L7" s="65"/>
      <c r="M7" s="65"/>
      <c r="N7" s="65"/>
      <c r="O7" s="65"/>
      <c r="P7" s="65"/>
      <c r="Q7" s="65"/>
      <c r="R7" s="65"/>
      <c r="S7" s="65"/>
      <c r="T7" s="65"/>
      <c r="U7" s="65"/>
      <c r="V7" s="68"/>
    </row>
    <row r="8" spans="1:22" ht="21.95" customHeight="1" x14ac:dyDescent="0.2">
      <c r="A8" s="65"/>
      <c r="B8" s="65"/>
      <c r="C8" s="65"/>
      <c r="D8" s="65"/>
      <c r="E8" s="65"/>
      <c r="J8" s="67"/>
      <c r="K8" s="65"/>
      <c r="L8" s="65"/>
      <c r="M8" s="65"/>
      <c r="N8" s="65"/>
      <c r="O8" s="65"/>
      <c r="P8" s="65"/>
      <c r="Q8" s="65"/>
      <c r="R8" s="65"/>
      <c r="S8" s="65"/>
      <c r="T8" s="65"/>
      <c r="U8" s="65"/>
      <c r="V8" s="68"/>
    </row>
    <row r="9" spans="1:22" ht="21.95" customHeight="1" x14ac:dyDescent="0.2">
      <c r="A9" s="65"/>
      <c r="B9" s="65"/>
      <c r="C9" s="65"/>
      <c r="D9" s="65"/>
      <c r="E9" s="65"/>
      <c r="J9" s="67"/>
      <c r="K9" s="65"/>
      <c r="L9" s="65"/>
      <c r="M9" s="65"/>
      <c r="N9" s="65"/>
      <c r="O9" s="65"/>
      <c r="P9" s="65"/>
      <c r="Q9" s="65"/>
      <c r="R9" s="65"/>
      <c r="S9" s="65"/>
      <c r="T9" s="65"/>
      <c r="U9" s="65"/>
      <c r="V9" s="68"/>
    </row>
    <row r="10" spans="1:22" ht="21.95" customHeight="1" x14ac:dyDescent="0.2">
      <c r="A10" s="65"/>
      <c r="B10" s="65"/>
      <c r="C10" s="65"/>
      <c r="D10" s="65"/>
      <c r="E10" s="65"/>
      <c r="J10" s="67"/>
      <c r="K10" s="65"/>
      <c r="L10" s="65"/>
      <c r="M10" s="65"/>
      <c r="N10" s="65"/>
      <c r="O10" s="65"/>
      <c r="P10" s="65"/>
      <c r="Q10" s="65"/>
      <c r="R10" s="65"/>
      <c r="S10" s="65"/>
      <c r="T10" s="65"/>
      <c r="U10" s="65"/>
      <c r="V10" s="68"/>
    </row>
    <row r="11" spans="1:22" x14ac:dyDescent="0.2">
      <c r="A11" s="65"/>
      <c r="B11" s="65"/>
      <c r="C11" s="65"/>
      <c r="D11" s="65"/>
      <c r="E11" s="65"/>
      <c r="J11" s="67"/>
      <c r="K11" s="65"/>
      <c r="L11" s="65"/>
      <c r="M11" s="65"/>
      <c r="N11" s="65"/>
      <c r="O11" s="65"/>
      <c r="P11" s="65"/>
      <c r="Q11" s="65"/>
      <c r="R11" s="65"/>
      <c r="S11" s="65"/>
      <c r="T11" s="65"/>
      <c r="U11" s="65"/>
      <c r="V11" s="68"/>
    </row>
    <row r="12" spans="1:22" ht="15" customHeight="1" x14ac:dyDescent="0.2">
      <c r="A12" s="65"/>
      <c r="B12" s="65"/>
      <c r="C12" s="65"/>
      <c r="D12" s="65"/>
      <c r="E12" s="65"/>
      <c r="J12" s="67"/>
      <c r="K12" s="65"/>
      <c r="L12" s="65"/>
      <c r="M12" s="65"/>
      <c r="N12" s="65"/>
      <c r="O12" s="65"/>
      <c r="P12" s="65"/>
      <c r="Q12" s="65"/>
      <c r="R12" s="65"/>
      <c r="S12" s="65"/>
      <c r="T12" s="65"/>
      <c r="U12" s="65"/>
      <c r="V12" s="68"/>
    </row>
    <row r="13" spans="1:22" ht="23.1" customHeight="1" x14ac:dyDescent="0.2">
      <c r="A13" s="65"/>
      <c r="B13" s="65"/>
      <c r="C13" s="65"/>
      <c r="D13" s="65"/>
      <c r="E13" s="65"/>
      <c r="J13" s="67"/>
      <c r="K13" s="65"/>
      <c r="L13" s="65"/>
      <c r="M13" s="65"/>
      <c r="N13" s="65"/>
      <c r="O13" s="65"/>
      <c r="P13" s="65"/>
      <c r="Q13" s="65"/>
      <c r="R13" s="65"/>
      <c r="S13" s="65"/>
      <c r="T13" s="65"/>
      <c r="U13" s="65"/>
      <c r="V13" s="68"/>
    </row>
    <row r="14" spans="1:22" x14ac:dyDescent="0.2">
      <c r="A14" s="65"/>
      <c r="B14" s="65"/>
      <c r="C14" s="65"/>
      <c r="D14" s="65"/>
      <c r="E14" s="65"/>
      <c r="J14" s="67"/>
      <c r="K14" s="65"/>
      <c r="L14" s="65"/>
      <c r="M14" s="65"/>
      <c r="N14" s="65"/>
      <c r="O14" s="65"/>
      <c r="P14" s="65"/>
      <c r="Q14" s="65"/>
      <c r="R14" s="65"/>
      <c r="S14" s="65"/>
      <c r="T14" s="65"/>
      <c r="U14" s="65"/>
      <c r="V14" s="68"/>
    </row>
    <row r="15" spans="1:22" x14ac:dyDescent="0.2">
      <c r="A15" s="65"/>
      <c r="B15" s="65"/>
      <c r="C15" s="65"/>
      <c r="D15" s="65"/>
      <c r="E15" s="65"/>
      <c r="J15" s="65"/>
      <c r="K15" s="65"/>
      <c r="L15" s="65"/>
      <c r="M15" s="65"/>
      <c r="N15" s="65"/>
      <c r="O15" s="65"/>
      <c r="P15" s="65"/>
      <c r="Q15" s="65"/>
      <c r="R15" s="65"/>
      <c r="S15" s="65"/>
      <c r="T15" s="65"/>
      <c r="U15" s="65"/>
      <c r="V15" s="68"/>
    </row>
    <row r="16" spans="1:22" x14ac:dyDescent="0.2">
      <c r="A16" s="65"/>
      <c r="B16" s="65"/>
      <c r="C16" s="65"/>
      <c r="D16" s="65"/>
      <c r="E16" s="65"/>
      <c r="J16" s="65"/>
      <c r="K16" s="65"/>
      <c r="L16" s="65"/>
      <c r="M16" s="65"/>
      <c r="N16" s="65"/>
      <c r="O16" s="65"/>
      <c r="P16" s="65"/>
      <c r="Q16" s="65"/>
      <c r="R16" s="65"/>
      <c r="S16" s="65"/>
      <c r="T16" s="65"/>
      <c r="U16" s="65"/>
      <c r="V16" s="68"/>
    </row>
    <row r="17" spans="1:22" x14ac:dyDescent="0.2">
      <c r="A17" s="65"/>
      <c r="B17" s="65"/>
      <c r="C17" s="65"/>
      <c r="D17" s="65"/>
      <c r="E17" s="65"/>
      <c r="J17" s="65"/>
      <c r="K17" s="65"/>
      <c r="L17" s="65"/>
      <c r="M17" s="65"/>
      <c r="N17" s="65"/>
      <c r="O17" s="65"/>
      <c r="P17" s="65"/>
      <c r="Q17" s="65"/>
      <c r="R17" s="65"/>
      <c r="S17" s="65"/>
      <c r="T17" s="65"/>
      <c r="U17" s="65"/>
      <c r="V17" s="68"/>
    </row>
    <row r="18" spans="1:22" x14ac:dyDescent="0.2">
      <c r="A18" s="65"/>
      <c r="B18" s="65"/>
      <c r="C18" s="65"/>
      <c r="D18" s="65"/>
      <c r="E18" s="65"/>
      <c r="F18" s="65"/>
      <c r="G18" s="65"/>
      <c r="H18" s="65"/>
      <c r="I18" s="65"/>
      <c r="J18" s="65"/>
      <c r="K18" s="65"/>
      <c r="L18" s="65"/>
      <c r="M18" s="65"/>
      <c r="N18" s="65"/>
      <c r="O18" s="65"/>
      <c r="P18" s="65"/>
      <c r="Q18" s="65"/>
      <c r="R18" s="65"/>
      <c r="S18" s="65"/>
      <c r="T18" s="65"/>
      <c r="U18" s="65"/>
      <c r="V18" s="68"/>
    </row>
    <row r="19" spans="1:22" x14ac:dyDescent="0.2">
      <c r="A19" s="65"/>
      <c r="B19" s="65"/>
      <c r="C19" s="65"/>
      <c r="D19" s="65"/>
      <c r="E19" s="65"/>
      <c r="F19" s="65"/>
      <c r="G19" s="65"/>
      <c r="H19" s="65"/>
      <c r="I19" s="65"/>
      <c r="J19" s="65"/>
      <c r="K19" s="65"/>
      <c r="L19" s="65"/>
      <c r="M19" s="65"/>
      <c r="N19" s="65"/>
      <c r="O19" s="65"/>
      <c r="P19" s="65"/>
      <c r="Q19" s="65"/>
      <c r="R19" s="65"/>
      <c r="S19" s="65"/>
      <c r="T19" s="65"/>
      <c r="U19" s="65"/>
      <c r="V19" s="68"/>
    </row>
    <row r="20" spans="1:22" x14ac:dyDescent="0.2">
      <c r="A20" s="65"/>
      <c r="B20" s="65"/>
      <c r="C20" s="65"/>
      <c r="D20" s="65"/>
      <c r="E20" s="65"/>
      <c r="F20" s="65"/>
      <c r="G20" s="65"/>
      <c r="H20" s="65"/>
      <c r="I20" s="65"/>
      <c r="J20" s="65"/>
      <c r="K20" s="65"/>
      <c r="L20" s="65"/>
      <c r="M20" s="65"/>
      <c r="N20" s="65"/>
      <c r="O20" s="65"/>
      <c r="P20" s="65"/>
      <c r="Q20" s="65"/>
      <c r="R20" s="65"/>
      <c r="S20" s="65"/>
      <c r="T20" s="65"/>
      <c r="U20" s="65"/>
      <c r="V20" s="68"/>
    </row>
    <row r="21" spans="1:22" x14ac:dyDescent="0.2">
      <c r="A21" s="65"/>
      <c r="B21" s="65"/>
      <c r="C21" s="65"/>
      <c r="D21" s="65"/>
      <c r="E21" s="65"/>
      <c r="F21" s="65"/>
      <c r="G21" s="65"/>
      <c r="H21" s="65"/>
      <c r="I21" s="65"/>
      <c r="J21" s="65"/>
      <c r="K21" s="65"/>
      <c r="L21" s="65"/>
      <c r="M21" s="65"/>
      <c r="N21" s="65"/>
      <c r="O21" s="65"/>
      <c r="P21" s="65"/>
      <c r="Q21" s="65"/>
      <c r="R21" s="65"/>
      <c r="S21" s="65"/>
      <c r="T21" s="65"/>
      <c r="U21" s="65"/>
      <c r="V21" s="68"/>
    </row>
    <row r="22" spans="1:22" x14ac:dyDescent="0.2">
      <c r="A22" s="65"/>
      <c r="B22" s="65"/>
      <c r="C22" s="65"/>
      <c r="D22" s="65"/>
      <c r="E22" s="65"/>
      <c r="F22" s="65"/>
      <c r="G22" s="65"/>
      <c r="H22" s="65"/>
      <c r="I22" s="65"/>
      <c r="J22" s="65"/>
      <c r="K22" s="65"/>
      <c r="L22" s="65"/>
      <c r="M22" s="65"/>
      <c r="N22" s="65"/>
      <c r="O22" s="65"/>
      <c r="P22" s="65"/>
      <c r="Q22" s="65"/>
      <c r="R22" s="65"/>
      <c r="S22" s="65"/>
      <c r="T22" s="65"/>
      <c r="U22" s="65"/>
      <c r="V22" s="68"/>
    </row>
    <row r="23" spans="1:22" x14ac:dyDescent="0.2">
      <c r="A23" s="65"/>
      <c r="B23" s="65"/>
      <c r="C23" s="65"/>
      <c r="D23" s="65"/>
      <c r="E23" s="65"/>
      <c r="F23" s="65"/>
      <c r="G23" s="65"/>
      <c r="H23" s="65"/>
      <c r="I23" s="65"/>
      <c r="J23" s="65"/>
      <c r="K23" s="65"/>
      <c r="L23" s="65"/>
      <c r="M23" s="65"/>
      <c r="N23" s="65"/>
      <c r="O23" s="65"/>
      <c r="P23" s="65"/>
      <c r="Q23" s="65"/>
      <c r="R23" s="65"/>
      <c r="S23" s="65"/>
      <c r="T23" s="65"/>
      <c r="U23" s="65"/>
      <c r="V23" s="68"/>
    </row>
    <row r="24" spans="1:22" x14ac:dyDescent="0.2">
      <c r="A24" s="65"/>
      <c r="B24" s="65"/>
      <c r="C24" s="65"/>
      <c r="D24" s="65"/>
      <c r="E24" s="65"/>
      <c r="F24" s="65"/>
      <c r="G24" s="65"/>
      <c r="H24" s="65"/>
      <c r="I24" s="65"/>
      <c r="J24" s="65"/>
      <c r="K24" s="65"/>
      <c r="L24" s="65"/>
      <c r="M24" s="65"/>
      <c r="N24" s="65"/>
      <c r="O24" s="65"/>
      <c r="P24" s="65"/>
      <c r="Q24" s="65"/>
      <c r="R24" s="65"/>
      <c r="S24" s="65"/>
      <c r="T24" s="65"/>
      <c r="U24" s="65"/>
      <c r="V24" s="68"/>
    </row>
    <row r="25" spans="1:22" x14ac:dyDescent="0.2">
      <c r="A25" s="65"/>
      <c r="B25" s="65"/>
      <c r="C25" s="65"/>
      <c r="D25" s="65"/>
      <c r="E25" s="65"/>
      <c r="F25" s="65"/>
      <c r="G25" s="65"/>
      <c r="H25" s="65"/>
      <c r="I25" s="65"/>
      <c r="J25" s="65"/>
      <c r="K25" s="65"/>
      <c r="L25" s="65"/>
      <c r="M25" s="65"/>
      <c r="N25" s="65"/>
      <c r="O25" s="65"/>
      <c r="P25" s="65"/>
      <c r="Q25" s="65"/>
      <c r="R25" s="65"/>
      <c r="S25" s="65"/>
      <c r="T25" s="65"/>
      <c r="U25" s="65"/>
      <c r="V25" s="68"/>
    </row>
    <row r="26" spans="1:22" x14ac:dyDescent="0.2">
      <c r="A26" s="65"/>
      <c r="B26" s="65"/>
      <c r="C26" s="65"/>
      <c r="D26" s="65"/>
      <c r="E26" s="65"/>
      <c r="F26" s="65"/>
      <c r="G26" s="65"/>
      <c r="H26" s="65"/>
      <c r="I26" s="65"/>
      <c r="J26" s="65"/>
      <c r="K26" s="65"/>
      <c r="L26" s="65"/>
      <c r="M26" s="65"/>
      <c r="N26" s="65"/>
      <c r="O26" s="65"/>
      <c r="P26" s="65"/>
      <c r="Q26" s="65"/>
      <c r="R26" s="65"/>
      <c r="S26" s="65"/>
      <c r="T26" s="65"/>
      <c r="U26" s="65"/>
      <c r="V26" s="68"/>
    </row>
    <row r="27" spans="1:22" x14ac:dyDescent="0.2">
      <c r="A27" s="65"/>
      <c r="B27" s="65"/>
      <c r="C27" s="65"/>
      <c r="D27" s="65"/>
      <c r="E27" s="65"/>
      <c r="F27" s="65"/>
      <c r="G27" s="65"/>
      <c r="H27" s="65"/>
      <c r="I27" s="65"/>
      <c r="J27" s="65"/>
      <c r="K27" s="65"/>
      <c r="L27" s="65"/>
      <c r="M27" s="65"/>
      <c r="N27" s="65"/>
      <c r="O27" s="65"/>
      <c r="P27" s="65"/>
      <c r="Q27" s="65"/>
      <c r="R27" s="65"/>
      <c r="S27" s="65"/>
      <c r="T27" s="65"/>
      <c r="U27" s="65"/>
      <c r="V27" s="68"/>
    </row>
    <row r="28" spans="1:22" x14ac:dyDescent="0.2">
      <c r="A28" s="65"/>
      <c r="B28" s="65"/>
      <c r="C28" s="65"/>
      <c r="D28" s="65"/>
      <c r="E28" s="65"/>
      <c r="F28" s="65"/>
      <c r="G28" s="65"/>
      <c r="H28" s="65"/>
      <c r="I28" s="65"/>
      <c r="J28" s="65"/>
      <c r="K28" s="65"/>
      <c r="L28" s="65"/>
      <c r="M28" s="65"/>
      <c r="N28" s="65"/>
      <c r="O28" s="65"/>
      <c r="P28" s="65"/>
      <c r="Q28" s="65"/>
      <c r="R28" s="65"/>
      <c r="S28" s="65"/>
      <c r="T28" s="65"/>
      <c r="U28" s="65"/>
      <c r="V28" s="68"/>
    </row>
    <row r="29" spans="1:22" x14ac:dyDescent="0.2">
      <c r="A29" s="65"/>
      <c r="B29" s="65"/>
      <c r="C29" s="65"/>
      <c r="D29" s="65"/>
      <c r="E29" s="65"/>
      <c r="J29" s="67"/>
      <c r="K29" s="65"/>
      <c r="L29" s="65"/>
      <c r="M29" s="65"/>
      <c r="N29" s="65"/>
      <c r="O29" s="65"/>
      <c r="P29" s="65"/>
      <c r="Q29" s="65"/>
      <c r="R29" s="65"/>
      <c r="S29" s="65"/>
      <c r="T29" s="65"/>
      <c r="U29" s="65"/>
      <c r="V29" s="68"/>
    </row>
    <row r="30" spans="1:22" x14ac:dyDescent="0.2">
      <c r="A30" s="65"/>
      <c r="B30" s="65"/>
      <c r="C30" s="65"/>
      <c r="D30" s="65"/>
      <c r="E30" s="65"/>
      <c r="J30" s="67"/>
      <c r="K30" s="65"/>
      <c r="L30" s="65"/>
      <c r="M30" s="65"/>
      <c r="N30" s="65"/>
      <c r="O30" s="65"/>
      <c r="P30" s="65"/>
      <c r="Q30" s="65"/>
      <c r="R30" s="65"/>
      <c r="S30" s="65"/>
      <c r="T30" s="65"/>
      <c r="U30" s="65"/>
      <c r="V30" s="68"/>
    </row>
    <row r="31" spans="1:22" x14ac:dyDescent="0.2">
      <c r="A31" s="65"/>
      <c r="B31" s="65"/>
      <c r="C31" s="65"/>
      <c r="D31" s="65"/>
      <c r="E31" s="65"/>
      <c r="J31" s="65"/>
      <c r="K31" s="65"/>
      <c r="L31" s="65"/>
      <c r="M31" s="65"/>
      <c r="N31" s="65"/>
      <c r="O31" s="65"/>
      <c r="P31" s="65"/>
      <c r="Q31" s="65"/>
      <c r="R31" s="65"/>
      <c r="S31" s="65"/>
      <c r="T31" s="65"/>
      <c r="U31" s="65"/>
      <c r="V31" s="68"/>
    </row>
    <row r="32" spans="1:22" x14ac:dyDescent="0.2">
      <c r="A32" s="65"/>
      <c r="B32" s="65"/>
      <c r="C32" s="65"/>
      <c r="D32" s="65"/>
      <c r="E32" s="65"/>
      <c r="J32" s="65"/>
      <c r="K32" s="65"/>
      <c r="L32" s="65"/>
      <c r="M32" s="65"/>
      <c r="N32" s="65"/>
      <c r="O32" s="65"/>
      <c r="P32" s="65"/>
      <c r="Q32" s="65"/>
      <c r="R32" s="65"/>
      <c r="S32" s="65"/>
      <c r="T32" s="65"/>
      <c r="U32" s="65"/>
      <c r="V32" s="68"/>
    </row>
    <row r="33" spans="1:22" x14ac:dyDescent="0.2">
      <c r="A33" s="65"/>
      <c r="B33" s="65"/>
      <c r="C33" s="65"/>
      <c r="D33" s="65"/>
      <c r="E33" s="65"/>
      <c r="J33" s="65"/>
      <c r="K33" s="65"/>
      <c r="L33" s="65"/>
      <c r="M33" s="65"/>
      <c r="N33" s="65"/>
      <c r="O33" s="65"/>
      <c r="P33" s="65"/>
      <c r="Q33" s="65"/>
      <c r="R33" s="65"/>
      <c r="S33" s="65"/>
      <c r="T33" s="65"/>
      <c r="U33" s="65"/>
      <c r="V33" s="68"/>
    </row>
    <row r="34" spans="1:22" x14ac:dyDescent="0.2">
      <c r="A34" s="65"/>
      <c r="B34" s="65"/>
      <c r="C34" s="65"/>
      <c r="D34" s="65"/>
      <c r="E34" s="65"/>
      <c r="F34" s="65"/>
      <c r="G34" s="65"/>
      <c r="H34" s="65"/>
      <c r="I34" s="65"/>
      <c r="J34" s="65"/>
      <c r="K34" s="65"/>
      <c r="L34" s="65"/>
      <c r="M34" s="65"/>
      <c r="N34" s="65"/>
      <c r="O34" s="65"/>
      <c r="P34" s="65"/>
      <c r="Q34" s="65"/>
      <c r="R34" s="65"/>
      <c r="S34" s="65"/>
      <c r="T34" s="65"/>
      <c r="U34" s="65"/>
      <c r="V34" s="68"/>
    </row>
    <row r="35" spans="1:22" x14ac:dyDescent="0.2">
      <c r="A35" s="65"/>
      <c r="B35" s="65"/>
      <c r="C35" s="65"/>
      <c r="D35" s="65"/>
      <c r="E35" s="65"/>
      <c r="F35" s="65"/>
      <c r="G35" s="65"/>
      <c r="H35" s="65"/>
      <c r="I35" s="65"/>
      <c r="J35" s="65"/>
      <c r="K35" s="65"/>
      <c r="L35" s="65"/>
      <c r="M35" s="65"/>
      <c r="N35" s="65"/>
      <c r="O35" s="65"/>
      <c r="P35" s="65"/>
      <c r="Q35" s="65"/>
      <c r="R35" s="65"/>
      <c r="S35" s="65"/>
      <c r="T35" s="65"/>
      <c r="U35" s="65"/>
      <c r="V35" s="68"/>
    </row>
    <row r="36" spans="1:22" x14ac:dyDescent="0.2">
      <c r="A36" s="65"/>
      <c r="B36" s="65"/>
      <c r="C36" s="65"/>
      <c r="D36" s="65"/>
      <c r="E36" s="65"/>
      <c r="F36" s="65"/>
      <c r="G36" s="65"/>
      <c r="H36" s="65"/>
      <c r="I36" s="65"/>
      <c r="J36" s="65"/>
      <c r="K36" s="65"/>
      <c r="L36" s="65"/>
      <c r="M36" s="65"/>
      <c r="N36" s="65"/>
      <c r="O36" s="65"/>
      <c r="P36" s="65"/>
      <c r="Q36" s="65"/>
      <c r="R36" s="65"/>
      <c r="S36" s="65"/>
      <c r="T36" s="65"/>
      <c r="U36" s="65"/>
      <c r="V36" s="68"/>
    </row>
    <row r="37" spans="1:22" ht="30" customHeight="1" x14ac:dyDescent="0.2">
      <c r="A37" s="65"/>
      <c r="B37" s="65"/>
      <c r="C37" s="65"/>
      <c r="D37" s="65"/>
      <c r="E37" s="65"/>
      <c r="F37" s="65"/>
      <c r="G37" s="65"/>
      <c r="H37" s="65"/>
      <c r="I37" s="65"/>
      <c r="J37" s="65"/>
      <c r="K37" s="65"/>
      <c r="L37" s="65"/>
      <c r="M37" s="65"/>
      <c r="N37" s="65"/>
      <c r="O37" s="65"/>
      <c r="P37" s="65"/>
      <c r="Q37" s="65"/>
      <c r="R37" s="65"/>
      <c r="S37" s="65"/>
      <c r="T37" s="65"/>
      <c r="U37" s="65"/>
      <c r="V37" s="68"/>
    </row>
    <row r="38" spans="1:22" ht="30" customHeight="1" x14ac:dyDescent="0.2">
      <c r="A38" s="65"/>
      <c r="B38" s="65"/>
      <c r="C38" s="65"/>
      <c r="D38" s="65"/>
      <c r="E38" s="65"/>
      <c r="F38" s="65"/>
      <c r="G38" s="65"/>
      <c r="H38" s="65"/>
      <c r="I38" s="65"/>
      <c r="J38" s="65"/>
      <c r="K38" s="65"/>
      <c r="L38" s="65"/>
      <c r="M38" s="65"/>
      <c r="N38" s="65"/>
      <c r="O38" s="65"/>
      <c r="P38" s="65"/>
      <c r="Q38" s="65"/>
      <c r="R38" s="65"/>
      <c r="S38" s="65"/>
      <c r="T38" s="65"/>
      <c r="U38" s="65"/>
      <c r="V38" s="68"/>
    </row>
    <row r="39" spans="1:22" ht="30" customHeight="1" x14ac:dyDescent="0.2">
      <c r="A39" s="65"/>
      <c r="B39" s="65"/>
      <c r="C39" s="65"/>
      <c r="D39" s="65"/>
      <c r="E39" s="65"/>
      <c r="F39" s="65"/>
      <c r="G39" s="65"/>
      <c r="H39" s="65"/>
      <c r="I39" s="65"/>
      <c r="J39" s="65"/>
      <c r="K39" s="65"/>
      <c r="L39" s="65"/>
      <c r="M39" s="65"/>
      <c r="N39" s="65"/>
      <c r="O39" s="65"/>
      <c r="P39" s="65"/>
      <c r="Q39" s="65"/>
      <c r="R39" s="65"/>
      <c r="S39" s="65"/>
      <c r="T39" s="65"/>
      <c r="U39" s="65"/>
      <c r="V39" s="68"/>
    </row>
    <row r="57" spans="24:24" ht="27" x14ac:dyDescent="0.35">
      <c r="X57" s="190"/>
    </row>
    <row r="68" spans="23:23" ht="30" x14ac:dyDescent="0.4">
      <c r="W68" s="191"/>
    </row>
    <row r="104" spans="5:23" ht="19.5" x14ac:dyDescent="0.2">
      <c r="V104" s="96" t="s">
        <v>116</v>
      </c>
      <c r="W104" s="97">
        <v>242578326.91999999</v>
      </c>
    </row>
    <row r="105" spans="5:23" ht="19.5" x14ac:dyDescent="0.2">
      <c r="V105" s="96" t="s">
        <v>117</v>
      </c>
      <c r="W105" s="97">
        <v>59866615.890000001</v>
      </c>
    </row>
    <row r="106" spans="5:23" ht="19.5" x14ac:dyDescent="0.2">
      <c r="V106" s="96" t="s">
        <v>118</v>
      </c>
      <c r="W106" s="97">
        <v>5940735.4400000004</v>
      </c>
    </row>
    <row r="107" spans="5:23" ht="19.5" x14ac:dyDescent="0.2">
      <c r="V107" s="96" t="s">
        <v>119</v>
      </c>
      <c r="W107" s="97">
        <v>46560252.100000001</v>
      </c>
    </row>
    <row r="108" spans="5:23" ht="19.5" x14ac:dyDescent="0.2">
      <c r="V108" s="96" t="s">
        <v>120</v>
      </c>
      <c r="W108" s="97">
        <v>416007.41</v>
      </c>
    </row>
    <row r="109" spans="5:23" ht="19.5" x14ac:dyDescent="0.2">
      <c r="V109" s="96" t="s">
        <v>121</v>
      </c>
      <c r="W109" s="97">
        <v>45755283.740000002</v>
      </c>
    </row>
    <row r="110" spans="5:23" ht="39" x14ac:dyDescent="0.2">
      <c r="E110" s="61" t="s">
        <v>97</v>
      </c>
      <c r="F110" s="92" t="e">
        <f>#REF!</f>
        <v>#REF!</v>
      </c>
      <c r="V110" s="96" t="s">
        <v>122</v>
      </c>
      <c r="W110" s="97">
        <v>22472154.600000001</v>
      </c>
    </row>
    <row r="111" spans="5:23" ht="19.5" x14ac:dyDescent="0.2">
      <c r="E111" s="61" t="s">
        <v>86</v>
      </c>
      <c r="F111" s="92">
        <f>SUM(W104:W119)</f>
        <v>978208581.78000009</v>
      </c>
      <c r="V111" s="96" t="s">
        <v>123</v>
      </c>
      <c r="W111" s="97">
        <v>224008987.41999999</v>
      </c>
    </row>
    <row r="112" spans="5:23" ht="19.5" x14ac:dyDescent="0.2">
      <c r="E112" s="61" t="s">
        <v>98</v>
      </c>
      <c r="F112" s="92">
        <v>1073531864</v>
      </c>
      <c r="V112" s="98" t="s">
        <v>124</v>
      </c>
      <c r="W112" s="97">
        <v>175786188.00999999</v>
      </c>
    </row>
    <row r="113" spans="5:23" ht="39" x14ac:dyDescent="0.2">
      <c r="V113" s="96" t="s">
        <v>111</v>
      </c>
      <c r="W113" s="97">
        <v>1616963.61</v>
      </c>
    </row>
    <row r="114" spans="5:23" ht="19.5" x14ac:dyDescent="0.2">
      <c r="V114" s="96" t="s">
        <v>125</v>
      </c>
      <c r="W114" s="97">
        <v>58032</v>
      </c>
    </row>
    <row r="115" spans="5:23" ht="19.5" x14ac:dyDescent="0.2">
      <c r="E115" s="82" t="s">
        <v>83</v>
      </c>
      <c r="F115" s="84">
        <v>2650000000</v>
      </c>
      <c r="V115" s="96" t="s">
        <v>126</v>
      </c>
      <c r="W115" s="97">
        <v>53528</v>
      </c>
    </row>
    <row r="116" spans="5:23" ht="19.5" x14ac:dyDescent="0.2">
      <c r="E116" s="82" t="s">
        <v>80</v>
      </c>
      <c r="F116" s="84">
        <v>2150000000</v>
      </c>
      <c r="V116" s="96" t="s">
        <v>127</v>
      </c>
      <c r="W116" s="97">
        <v>269534.48</v>
      </c>
    </row>
    <row r="117" spans="5:23" ht="19.5" x14ac:dyDescent="0.2">
      <c r="E117" s="82" t="s">
        <v>81</v>
      </c>
      <c r="F117" s="84">
        <v>1250000000</v>
      </c>
      <c r="V117" s="96" t="s">
        <v>128</v>
      </c>
      <c r="W117" s="97">
        <v>90882954.159999996</v>
      </c>
    </row>
    <row r="118" spans="5:23" ht="39" x14ac:dyDescent="0.2">
      <c r="E118" s="82" t="s">
        <v>82</v>
      </c>
      <c r="F118" s="84">
        <v>1250000000</v>
      </c>
      <c r="V118" s="96" t="s">
        <v>129</v>
      </c>
      <c r="W118" s="97">
        <v>5548706</v>
      </c>
    </row>
    <row r="119" spans="5:23" ht="19.5" x14ac:dyDescent="0.2">
      <c r="V119" s="96" t="s">
        <v>130</v>
      </c>
      <c r="W119" s="97">
        <v>56394312</v>
      </c>
    </row>
    <row r="120" spans="5:23" ht="39" x14ac:dyDescent="0.2">
      <c r="V120" s="158" t="s">
        <v>115</v>
      </c>
      <c r="W120" s="159">
        <v>45837100</v>
      </c>
    </row>
    <row r="121" spans="5:23" ht="39" x14ac:dyDescent="0.2">
      <c r="V121" s="158" t="s">
        <v>114</v>
      </c>
      <c r="W121" s="159">
        <v>220000100</v>
      </c>
    </row>
    <row r="122" spans="5:23" ht="19.5" x14ac:dyDescent="0.2">
      <c r="V122" s="158" t="s">
        <v>113</v>
      </c>
      <c r="W122" s="159">
        <v>807694664</v>
      </c>
    </row>
  </sheetData>
  <pageMargins left="0.31496062992125984" right="0.19685039370078741" top="0.19685039370078741" bottom="0.31496062992125984" header="0.51181102362204722" footer="0.51181102362204722"/>
  <pageSetup scale="43" orientation="landscape" horizontalDpi="4294967292" verticalDpi="4294967292"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249977111117893"/>
  </sheetPr>
  <dimension ref="A2:T99"/>
  <sheetViews>
    <sheetView showGridLines="0" topLeftCell="A70" workbookViewId="0">
      <selection activeCell="B56" sqref="B56"/>
    </sheetView>
  </sheetViews>
  <sheetFormatPr defaultColWidth="11" defaultRowHeight="15.75" x14ac:dyDescent="0.25"/>
  <cols>
    <col min="1" max="1" width="3.375" customWidth="1"/>
    <col min="2" max="2" width="27.5" customWidth="1"/>
    <col min="3" max="7" width="16.625" bestFit="1" customWidth="1"/>
    <col min="8" max="8" width="14.375" bestFit="1" customWidth="1"/>
    <col min="9" max="14" width="13.375" hidden="1" customWidth="1"/>
    <col min="15" max="15" width="16.625" customWidth="1"/>
    <col min="16" max="16" width="3.375" customWidth="1"/>
    <col min="17" max="17" width="16.625" customWidth="1"/>
    <col min="18" max="18" width="3.375" customWidth="1"/>
    <col min="19" max="19" width="16.625" customWidth="1"/>
    <col min="20" max="20" width="3.5" customWidth="1"/>
    <col min="21" max="21" width="50.125" customWidth="1"/>
  </cols>
  <sheetData>
    <row r="2" spans="1:20" ht="50.1" customHeight="1" x14ac:dyDescent="0.45">
      <c r="B2" s="16" t="s">
        <v>69</v>
      </c>
      <c r="C2" s="16"/>
      <c r="D2" s="16"/>
      <c r="E2" s="16"/>
      <c r="F2" s="1"/>
      <c r="G2" s="1"/>
      <c r="H2" s="1"/>
      <c r="I2" s="1"/>
    </row>
    <row r="3" spans="1:20" ht="36.950000000000003" customHeight="1" x14ac:dyDescent="0.55000000000000004">
      <c r="A3" s="1"/>
      <c r="B3" s="2"/>
      <c r="C3" s="2"/>
      <c r="D3" s="2"/>
      <c r="E3" s="2"/>
      <c r="F3" s="1"/>
      <c r="G3" s="1"/>
      <c r="H3" s="1"/>
      <c r="I3" s="1"/>
      <c r="J3" s="1"/>
      <c r="K3" s="1"/>
      <c r="L3" s="1"/>
      <c r="M3" s="1"/>
      <c r="N3" s="1"/>
      <c r="O3" s="1"/>
      <c r="P3" s="1"/>
      <c r="Q3" s="1"/>
      <c r="R3" s="1"/>
      <c r="S3" s="1"/>
      <c r="T3" s="1"/>
    </row>
    <row r="4" spans="1:20" ht="26.25" x14ac:dyDescent="0.3">
      <c r="A4" s="1"/>
      <c r="B4" s="1"/>
      <c r="C4" s="1"/>
      <c r="D4" s="1"/>
      <c r="E4" s="1"/>
      <c r="F4" s="176" t="s">
        <v>51</v>
      </c>
      <c r="G4" s="176"/>
      <c r="H4" s="176"/>
      <c r="I4" s="176"/>
      <c r="J4" s="4"/>
      <c r="K4" s="1"/>
      <c r="L4" s="1"/>
      <c r="M4" s="1"/>
      <c r="N4" s="1"/>
      <c r="O4" s="1"/>
      <c r="P4" s="1"/>
      <c r="Q4" s="1"/>
      <c r="R4" s="1"/>
      <c r="S4" s="1"/>
      <c r="T4" s="1"/>
    </row>
    <row r="5" spans="1:20" ht="21.95" customHeight="1" x14ac:dyDescent="0.25">
      <c r="A5" s="1"/>
      <c r="B5" s="1"/>
      <c r="C5" s="1"/>
      <c r="D5" s="1"/>
      <c r="E5" s="1"/>
      <c r="F5" s="177" t="s">
        <v>58</v>
      </c>
      <c r="G5" s="177"/>
      <c r="H5" s="178">
        <f>'Personal Cash Flow Example (2)'!O31</f>
        <v>873499286</v>
      </c>
      <c r="I5" s="178"/>
      <c r="J5" s="8"/>
      <c r="K5" s="1"/>
      <c r="L5" s="1"/>
      <c r="M5" s="1"/>
      <c r="N5" s="1"/>
      <c r="O5" s="1"/>
      <c r="P5" s="1"/>
      <c r="Q5" s="1"/>
      <c r="R5" s="1"/>
      <c r="S5" s="1"/>
      <c r="T5" s="1"/>
    </row>
    <row r="6" spans="1:20" ht="21.95" customHeight="1" x14ac:dyDescent="0.25">
      <c r="A6" s="1"/>
      <c r="B6" s="1"/>
      <c r="C6" s="1"/>
      <c r="D6" s="1"/>
      <c r="E6" s="1"/>
      <c r="F6" s="179" t="s">
        <v>59</v>
      </c>
      <c r="G6" s="179"/>
      <c r="H6" s="180">
        <f>'Personal Cash Flow Example (2)'!O42</f>
        <v>0</v>
      </c>
      <c r="I6" s="180"/>
      <c r="J6" s="8"/>
      <c r="K6" s="1"/>
      <c r="L6" s="1"/>
      <c r="M6" s="1"/>
      <c r="N6" s="1"/>
      <c r="O6" s="1"/>
      <c r="P6" s="1"/>
      <c r="Q6" s="1"/>
      <c r="R6" s="1"/>
      <c r="S6" s="1"/>
      <c r="T6" s="1"/>
    </row>
    <row r="7" spans="1:20" ht="21.95" customHeight="1" x14ac:dyDescent="0.25">
      <c r="A7" s="1"/>
      <c r="B7" s="1"/>
      <c r="C7" s="1"/>
      <c r="D7" s="1"/>
      <c r="E7" s="1"/>
      <c r="F7" s="181" t="s">
        <v>60</v>
      </c>
      <c r="G7" s="181"/>
      <c r="H7" s="180">
        <f>'Personal Cash Flow Example (2)'!O93</f>
        <v>1086873964</v>
      </c>
      <c r="I7" s="180"/>
      <c r="J7" s="8"/>
      <c r="K7" s="1"/>
      <c r="L7" s="1"/>
      <c r="M7" s="1"/>
      <c r="N7" s="1"/>
      <c r="O7" s="1"/>
      <c r="P7" s="1"/>
      <c r="Q7" s="1"/>
      <c r="R7" s="1"/>
      <c r="S7" s="1"/>
      <c r="T7" s="1"/>
    </row>
    <row r="8" spans="1:20" ht="17.25" x14ac:dyDescent="0.25">
      <c r="A8" s="1"/>
      <c r="B8" s="1"/>
      <c r="C8" s="1"/>
      <c r="D8" s="1"/>
      <c r="E8" s="1"/>
      <c r="F8" s="40"/>
      <c r="G8" s="41"/>
      <c r="H8" s="8"/>
      <c r="I8" s="8"/>
      <c r="J8" s="8"/>
      <c r="K8" s="1"/>
      <c r="L8" s="1"/>
      <c r="M8" s="1"/>
      <c r="N8" s="1"/>
      <c r="O8" s="1"/>
      <c r="P8" s="1"/>
      <c r="Q8" s="1"/>
      <c r="R8" s="1"/>
      <c r="S8" s="1"/>
      <c r="T8" s="1"/>
    </row>
    <row r="9" spans="1:20" ht="15" customHeight="1" x14ac:dyDescent="0.25">
      <c r="A9" s="1"/>
      <c r="B9" s="1"/>
      <c r="C9" s="1"/>
      <c r="D9" s="1"/>
      <c r="E9" s="1"/>
      <c r="F9" s="173" t="s">
        <v>61</v>
      </c>
      <c r="G9" s="173"/>
      <c r="H9" s="174">
        <f>H5-H6-H7</f>
        <v>-213374678</v>
      </c>
      <c r="I9" s="174"/>
      <c r="J9" s="8"/>
      <c r="K9" s="1"/>
      <c r="L9" s="1"/>
      <c r="M9" s="1"/>
      <c r="N9" s="1"/>
      <c r="O9" s="1"/>
      <c r="P9" s="1"/>
      <c r="Q9" s="1"/>
      <c r="R9" s="1"/>
      <c r="S9" s="1"/>
      <c r="T9" s="1"/>
    </row>
    <row r="10" spans="1:20" ht="23.1" customHeight="1" x14ac:dyDescent="0.25">
      <c r="A10" s="1"/>
      <c r="B10" s="1"/>
      <c r="C10" s="1"/>
      <c r="D10" s="1"/>
      <c r="E10" s="1"/>
      <c r="F10" s="173"/>
      <c r="G10" s="173"/>
      <c r="H10" s="174"/>
      <c r="I10" s="174"/>
      <c r="J10" s="8"/>
      <c r="K10" s="1"/>
      <c r="L10" s="1"/>
      <c r="M10" s="1"/>
      <c r="N10" s="1"/>
      <c r="O10" s="1"/>
      <c r="P10" s="1"/>
      <c r="Q10" s="1"/>
      <c r="R10" s="1"/>
      <c r="S10" s="1"/>
      <c r="T10" s="1"/>
    </row>
    <row r="11" spans="1:20" ht="17.25" x14ac:dyDescent="0.25">
      <c r="A11" s="1"/>
      <c r="B11" s="1"/>
      <c r="C11" s="1"/>
      <c r="D11" s="1"/>
      <c r="E11" s="1"/>
      <c r="F11" s="1"/>
      <c r="G11" s="8"/>
      <c r="H11" s="8"/>
      <c r="I11" s="8"/>
      <c r="J11" s="8"/>
      <c r="K11" s="1"/>
      <c r="L11" s="1"/>
      <c r="M11" s="1"/>
      <c r="N11" s="1"/>
      <c r="O11" s="1"/>
      <c r="P11" s="1"/>
      <c r="Q11" s="1"/>
      <c r="R11" s="1"/>
      <c r="S11" s="1"/>
      <c r="T11" s="1"/>
    </row>
    <row r="12" spans="1:20" ht="17.25" x14ac:dyDescent="0.3">
      <c r="A12" s="1"/>
      <c r="B12" s="1"/>
      <c r="C12" s="1"/>
      <c r="D12" s="1"/>
      <c r="E12" s="1"/>
      <c r="F12" s="1"/>
      <c r="G12" s="4"/>
      <c r="H12" s="4"/>
      <c r="I12" s="4"/>
      <c r="J12" s="4"/>
      <c r="K12" s="1"/>
      <c r="L12" s="1"/>
      <c r="M12" s="1"/>
      <c r="N12" s="1"/>
      <c r="O12" s="1"/>
      <c r="P12" s="1"/>
      <c r="Q12" s="1"/>
      <c r="R12" s="1"/>
      <c r="S12" s="1"/>
      <c r="T12" s="1"/>
    </row>
    <row r="13" spans="1:20" ht="17.25" x14ac:dyDescent="0.3">
      <c r="A13" s="1"/>
      <c r="B13" s="1"/>
      <c r="C13" s="1"/>
      <c r="D13" s="1"/>
      <c r="E13" s="1"/>
      <c r="F13" s="1"/>
      <c r="G13" s="4"/>
      <c r="H13" s="4"/>
      <c r="I13" s="4"/>
      <c r="J13" s="4"/>
      <c r="K13" s="1"/>
      <c r="L13" s="1"/>
      <c r="M13" s="1"/>
      <c r="N13" s="1"/>
      <c r="O13" s="1"/>
      <c r="P13" s="1"/>
      <c r="Q13" s="1"/>
      <c r="R13" s="1"/>
      <c r="S13" s="1"/>
      <c r="T13" s="1"/>
    </row>
    <row r="14" spans="1:20" ht="17.25" x14ac:dyDescent="0.3">
      <c r="A14" s="1"/>
      <c r="B14" s="1"/>
      <c r="C14" s="1"/>
      <c r="D14" s="1"/>
      <c r="E14" s="1"/>
      <c r="F14" s="1"/>
      <c r="G14" s="4"/>
      <c r="H14" s="4"/>
      <c r="I14" s="4"/>
      <c r="J14" s="4"/>
      <c r="K14" s="1"/>
      <c r="L14" s="1"/>
      <c r="M14" s="1"/>
      <c r="N14" s="1"/>
      <c r="O14" s="1"/>
      <c r="P14" s="1"/>
      <c r="Q14" s="1"/>
      <c r="R14" s="1"/>
      <c r="S14" s="1"/>
      <c r="T14" s="1"/>
    </row>
    <row r="15" spans="1:20" ht="17.25" x14ac:dyDescent="0.3">
      <c r="A15" s="1"/>
      <c r="B15" s="1"/>
      <c r="C15" s="1"/>
      <c r="D15" s="1"/>
      <c r="E15" s="1"/>
      <c r="F15" s="1"/>
      <c r="G15" s="4"/>
      <c r="H15" s="4"/>
      <c r="I15" s="4"/>
      <c r="J15" s="4"/>
      <c r="K15" s="1"/>
      <c r="L15" s="1"/>
      <c r="M15" s="1"/>
      <c r="N15" s="1"/>
      <c r="O15" s="1"/>
      <c r="P15" s="1"/>
      <c r="Q15" s="1"/>
      <c r="R15" s="1"/>
      <c r="S15" s="1"/>
      <c r="T15" s="1"/>
    </row>
    <row r="16" spans="1:20" x14ac:dyDescent="0.25">
      <c r="A16" s="1"/>
      <c r="B16" s="1"/>
      <c r="C16" s="1"/>
      <c r="D16" s="1"/>
      <c r="E16" s="1"/>
      <c r="F16" s="1"/>
      <c r="G16" s="1"/>
      <c r="H16" s="1"/>
      <c r="I16" s="1"/>
      <c r="J16" s="1"/>
      <c r="K16" s="1"/>
      <c r="L16" s="1"/>
      <c r="M16" s="1"/>
      <c r="N16" s="1"/>
      <c r="O16" s="1"/>
      <c r="P16" s="1"/>
      <c r="Q16" s="1"/>
      <c r="R16" s="1"/>
      <c r="S16" s="1"/>
      <c r="T16" s="1"/>
    </row>
    <row r="17" spans="1:20" x14ac:dyDescent="0.25">
      <c r="A17" s="1"/>
      <c r="B17" s="1"/>
      <c r="C17" s="1"/>
      <c r="D17" s="1"/>
      <c r="E17" s="1"/>
      <c r="F17" s="1"/>
      <c r="G17" s="1"/>
      <c r="H17" s="1"/>
      <c r="I17" s="1"/>
      <c r="J17" s="1"/>
      <c r="K17" s="1"/>
      <c r="L17" s="1"/>
      <c r="M17" s="1"/>
      <c r="N17" s="1"/>
      <c r="O17" s="1"/>
      <c r="P17" s="1"/>
      <c r="Q17" s="1"/>
      <c r="R17" s="1"/>
      <c r="S17" s="1"/>
      <c r="T17" s="1"/>
    </row>
    <row r="18" spans="1:20" x14ac:dyDescent="0.25">
      <c r="A18" s="1"/>
      <c r="B18" s="1"/>
      <c r="C18" s="1"/>
      <c r="D18" s="1"/>
      <c r="E18" s="1"/>
      <c r="F18" s="1"/>
      <c r="G18" s="1"/>
      <c r="H18" s="1"/>
      <c r="I18" s="1"/>
      <c r="J18" s="1"/>
      <c r="K18" s="1"/>
      <c r="L18" s="1"/>
      <c r="M18" s="1"/>
      <c r="N18" s="1"/>
      <c r="O18" s="1"/>
      <c r="P18" s="1"/>
      <c r="Q18" s="1"/>
      <c r="R18" s="1"/>
      <c r="S18" s="1"/>
      <c r="T18" s="1"/>
    </row>
    <row r="19" spans="1:20" ht="24.95" customHeight="1" x14ac:dyDescent="0.25">
      <c r="B19" s="10"/>
      <c r="C19" s="175"/>
      <c r="D19" s="175"/>
      <c r="E19" s="175"/>
      <c r="F19" s="175"/>
      <c r="G19" s="175"/>
      <c r="H19" s="175"/>
      <c r="I19" s="175"/>
      <c r="J19" s="175"/>
      <c r="K19" s="175"/>
      <c r="L19" s="175"/>
      <c r="M19" s="175"/>
      <c r="N19" s="175"/>
    </row>
    <row r="20" spans="1:20" s="15" customFormat="1" ht="29.1" customHeight="1" x14ac:dyDescent="0.25">
      <c r="A20" s="11"/>
      <c r="B20" s="12"/>
      <c r="C20" s="13" t="s">
        <v>1</v>
      </c>
      <c r="D20" s="13" t="s">
        <v>2</v>
      </c>
      <c r="E20" s="13" t="s">
        <v>12</v>
      </c>
      <c r="F20" s="13" t="s">
        <v>11</v>
      </c>
      <c r="G20" s="13" t="s">
        <v>3</v>
      </c>
      <c r="H20" s="13" t="s">
        <v>10</v>
      </c>
      <c r="I20" s="13" t="s">
        <v>9</v>
      </c>
      <c r="J20" s="13" t="s">
        <v>8</v>
      </c>
      <c r="K20" s="13" t="s">
        <v>4</v>
      </c>
      <c r="L20" s="13" t="s">
        <v>5</v>
      </c>
      <c r="M20" s="13" t="s">
        <v>6</v>
      </c>
      <c r="N20" s="13" t="s">
        <v>7</v>
      </c>
      <c r="O20" s="17" t="s">
        <v>55</v>
      </c>
      <c r="P20" s="11"/>
      <c r="Q20" s="17" t="s">
        <v>56</v>
      </c>
      <c r="R20" s="11"/>
      <c r="S20" s="17" t="s">
        <v>57</v>
      </c>
    </row>
    <row r="21" spans="1:20" ht="17.25" x14ac:dyDescent="0.3">
      <c r="A21" s="3"/>
      <c r="B21" s="18" t="s">
        <v>13</v>
      </c>
      <c r="C21" s="19"/>
      <c r="D21" s="19"/>
      <c r="E21" s="19"/>
      <c r="F21" s="19"/>
      <c r="G21" s="19"/>
      <c r="H21" s="19"/>
      <c r="I21" s="19"/>
      <c r="J21" s="19"/>
      <c r="K21" s="19"/>
      <c r="L21" s="19"/>
      <c r="M21" s="19"/>
      <c r="N21" s="19"/>
      <c r="O21" s="20"/>
      <c r="P21" s="21"/>
      <c r="Q21" s="20"/>
      <c r="R21" s="21"/>
      <c r="S21" s="20"/>
    </row>
    <row r="22" spans="1:20" ht="17.25" x14ac:dyDescent="0.3">
      <c r="A22" s="3"/>
      <c r="B22" s="22"/>
      <c r="C22" s="23"/>
      <c r="D22" s="23"/>
      <c r="E22" s="23"/>
      <c r="F22" s="23"/>
      <c r="G22" s="23"/>
      <c r="H22" s="23"/>
      <c r="I22" s="23"/>
      <c r="J22" s="23"/>
      <c r="K22" s="23"/>
      <c r="L22" s="23"/>
      <c r="M22" s="23"/>
      <c r="N22" s="23"/>
      <c r="O22" s="24"/>
      <c r="P22" s="21"/>
      <c r="Q22" s="24"/>
      <c r="R22" s="21"/>
      <c r="S22" s="24"/>
    </row>
    <row r="23" spans="1:20" ht="33" x14ac:dyDescent="0.3">
      <c r="A23" s="3"/>
      <c r="B23" s="57" t="s">
        <v>63</v>
      </c>
      <c r="C23" s="58">
        <v>174266817</v>
      </c>
      <c r="D23" s="58">
        <v>174693783</v>
      </c>
      <c r="E23" s="58">
        <v>174697349</v>
      </c>
      <c r="F23" s="58">
        <v>175480060</v>
      </c>
      <c r="G23" s="58">
        <v>174360007</v>
      </c>
      <c r="H23" s="42">
        <v>0</v>
      </c>
      <c r="I23" s="42"/>
      <c r="J23" s="42"/>
      <c r="K23" s="42"/>
      <c r="L23" s="42"/>
      <c r="M23" s="42"/>
      <c r="N23" s="42"/>
      <c r="O23" s="59">
        <f t="shared" ref="O23:O29" si="0">SUM(C23:N23)</f>
        <v>873498016</v>
      </c>
      <c r="P23" s="11"/>
      <c r="Q23" s="44">
        <f>O23/5</f>
        <v>174699603.19999999</v>
      </c>
      <c r="R23" s="11"/>
      <c r="S23" s="43">
        <f>O23/182.5</f>
        <v>4786290.4986301372</v>
      </c>
    </row>
    <row r="24" spans="1:20" ht="33" x14ac:dyDescent="0.3">
      <c r="A24" s="3"/>
      <c r="B24" s="57" t="s">
        <v>66</v>
      </c>
      <c r="C24" s="42">
        <v>200</v>
      </c>
      <c r="D24" s="42"/>
      <c r="E24" s="42"/>
      <c r="F24" s="42"/>
      <c r="G24" s="42"/>
      <c r="H24" s="42"/>
      <c r="I24" s="42"/>
      <c r="J24" s="42"/>
      <c r="K24" s="42"/>
      <c r="L24" s="42"/>
      <c r="M24" s="42"/>
      <c r="N24" s="42"/>
      <c r="O24" s="43">
        <f t="shared" si="0"/>
        <v>200</v>
      </c>
      <c r="P24" s="11"/>
      <c r="Q24" s="44">
        <f t="shared" ref="Q24:Q29" si="1">O24/12</f>
        <v>16.666666666666668</v>
      </c>
      <c r="R24" s="11"/>
      <c r="S24" s="43">
        <f t="shared" ref="S24:S29" si="2">O24/365</f>
        <v>0.54794520547945202</v>
      </c>
    </row>
    <row r="25" spans="1:20" ht="33" x14ac:dyDescent="0.3">
      <c r="A25" s="3"/>
      <c r="B25" s="57" t="s">
        <v>67</v>
      </c>
      <c r="C25" s="42">
        <v>100</v>
      </c>
      <c r="D25" s="42"/>
      <c r="E25" s="42"/>
      <c r="F25" s="42"/>
      <c r="G25" s="42"/>
      <c r="H25" s="42"/>
      <c r="I25" s="42"/>
      <c r="J25" s="42"/>
      <c r="K25" s="42"/>
      <c r="L25" s="42"/>
      <c r="M25" s="42"/>
      <c r="N25" s="42"/>
      <c r="O25" s="43">
        <f t="shared" si="0"/>
        <v>100</v>
      </c>
      <c r="P25" s="11"/>
      <c r="Q25" s="44">
        <f t="shared" si="1"/>
        <v>8.3333333333333339</v>
      </c>
      <c r="R25" s="11"/>
      <c r="S25" s="43">
        <f t="shared" si="2"/>
        <v>0.27397260273972601</v>
      </c>
    </row>
    <row r="26" spans="1:20" ht="33" x14ac:dyDescent="0.3">
      <c r="A26" s="3"/>
      <c r="B26" s="57" t="s">
        <v>64</v>
      </c>
      <c r="C26" s="42">
        <v>55</v>
      </c>
      <c r="D26" s="42"/>
      <c r="E26" s="42"/>
      <c r="F26" s="42"/>
      <c r="G26" s="42"/>
      <c r="H26" s="42"/>
      <c r="I26" s="42"/>
      <c r="J26" s="42"/>
      <c r="K26" s="42"/>
      <c r="L26" s="42"/>
      <c r="M26" s="42"/>
      <c r="N26" s="42"/>
      <c r="O26" s="43">
        <f t="shared" si="0"/>
        <v>55</v>
      </c>
      <c r="P26" s="11"/>
      <c r="Q26" s="44">
        <f t="shared" si="1"/>
        <v>4.583333333333333</v>
      </c>
      <c r="R26" s="11"/>
      <c r="S26" s="43">
        <f t="shared" si="2"/>
        <v>0.15068493150684931</v>
      </c>
    </row>
    <row r="27" spans="1:20" ht="33" x14ac:dyDescent="0.3">
      <c r="A27" s="3"/>
      <c r="B27" s="57" t="s">
        <v>65</v>
      </c>
      <c r="C27" s="42">
        <v>500</v>
      </c>
      <c r="D27" s="42"/>
      <c r="E27" s="42"/>
      <c r="F27" s="42"/>
      <c r="G27" s="42"/>
      <c r="H27" s="42"/>
      <c r="I27" s="42"/>
      <c r="J27" s="42"/>
      <c r="K27" s="42"/>
      <c r="L27" s="42"/>
      <c r="M27" s="42"/>
      <c r="N27" s="42"/>
      <c r="O27" s="43">
        <f t="shared" si="0"/>
        <v>500</v>
      </c>
      <c r="P27" s="11"/>
      <c r="Q27" s="44">
        <f t="shared" si="1"/>
        <v>41.666666666666664</v>
      </c>
      <c r="R27" s="11"/>
      <c r="S27" s="43">
        <f t="shared" si="2"/>
        <v>1.3698630136986301</v>
      </c>
    </row>
    <row r="28" spans="1:20" ht="33" x14ac:dyDescent="0.3">
      <c r="A28" s="3"/>
      <c r="B28" s="57" t="s">
        <v>68</v>
      </c>
      <c r="C28" s="42">
        <v>300</v>
      </c>
      <c r="D28" s="42"/>
      <c r="E28" s="42"/>
      <c r="F28" s="42"/>
      <c r="G28" s="42"/>
      <c r="H28" s="42"/>
      <c r="I28" s="42"/>
      <c r="J28" s="42"/>
      <c r="K28" s="42"/>
      <c r="L28" s="42"/>
      <c r="M28" s="42"/>
      <c r="N28" s="42"/>
      <c r="O28" s="43">
        <f t="shared" si="0"/>
        <v>300</v>
      </c>
      <c r="P28" s="11"/>
      <c r="Q28" s="44">
        <f t="shared" si="1"/>
        <v>25</v>
      </c>
      <c r="R28" s="11"/>
      <c r="S28" s="43">
        <f t="shared" si="2"/>
        <v>0.82191780821917804</v>
      </c>
    </row>
    <row r="29" spans="1:20" ht="17.25" x14ac:dyDescent="0.3">
      <c r="A29" s="3"/>
      <c r="B29" s="22" t="s">
        <v>54</v>
      </c>
      <c r="C29" s="42">
        <v>115</v>
      </c>
      <c r="D29" s="42"/>
      <c r="E29" s="42"/>
      <c r="F29" s="42"/>
      <c r="G29" s="42"/>
      <c r="H29" s="42"/>
      <c r="I29" s="42"/>
      <c r="J29" s="42"/>
      <c r="K29" s="42"/>
      <c r="L29" s="42"/>
      <c r="M29" s="42"/>
      <c r="N29" s="42"/>
      <c r="O29" s="43">
        <f t="shared" si="0"/>
        <v>115</v>
      </c>
      <c r="P29" s="11"/>
      <c r="Q29" s="44">
        <f t="shared" si="1"/>
        <v>9.5833333333333339</v>
      </c>
      <c r="R29" s="11"/>
      <c r="S29" s="43">
        <f t="shared" si="2"/>
        <v>0.31506849315068491</v>
      </c>
    </row>
    <row r="30" spans="1:20" ht="17.25" x14ac:dyDescent="0.3">
      <c r="A30" s="3"/>
      <c r="B30" s="22"/>
      <c r="C30" s="23"/>
      <c r="D30" s="23"/>
      <c r="E30" s="23"/>
      <c r="F30" s="23"/>
      <c r="G30" s="23"/>
      <c r="H30" s="23"/>
      <c r="I30" s="23"/>
      <c r="J30" s="23"/>
      <c r="K30" s="23"/>
      <c r="L30" s="23"/>
      <c r="M30" s="23"/>
      <c r="N30" s="23"/>
      <c r="O30" s="23"/>
      <c r="P30" s="11"/>
      <c r="Q30" s="23"/>
      <c r="R30" s="11"/>
      <c r="S30" s="23"/>
    </row>
    <row r="31" spans="1:20" ht="20.100000000000001" customHeight="1" x14ac:dyDescent="0.3">
      <c r="A31" s="3"/>
      <c r="B31" s="25" t="s">
        <v>0</v>
      </c>
      <c r="C31" s="45">
        <f t="shared" ref="C31:N31" si="3">SUM(C23:C29)</f>
        <v>174268087</v>
      </c>
      <c r="D31" s="45">
        <f t="shared" si="3"/>
        <v>174693783</v>
      </c>
      <c r="E31" s="45">
        <f t="shared" si="3"/>
        <v>174697349</v>
      </c>
      <c r="F31" s="45">
        <f t="shared" si="3"/>
        <v>175480060</v>
      </c>
      <c r="G31" s="45">
        <f t="shared" si="3"/>
        <v>174360007</v>
      </c>
      <c r="H31" s="45">
        <f t="shared" si="3"/>
        <v>0</v>
      </c>
      <c r="I31" s="45">
        <f t="shared" si="3"/>
        <v>0</v>
      </c>
      <c r="J31" s="45">
        <f t="shared" si="3"/>
        <v>0</v>
      </c>
      <c r="K31" s="45">
        <f t="shared" si="3"/>
        <v>0</v>
      </c>
      <c r="L31" s="45">
        <f t="shared" si="3"/>
        <v>0</v>
      </c>
      <c r="M31" s="45">
        <f t="shared" si="3"/>
        <v>0</v>
      </c>
      <c r="N31" s="45">
        <f t="shared" si="3"/>
        <v>0</v>
      </c>
      <c r="O31" s="46">
        <f>SUM(C31:N31)</f>
        <v>873499286</v>
      </c>
      <c r="P31" s="11"/>
      <c r="Q31" s="46">
        <f>SUM(Q23:Q29)</f>
        <v>174699709.03333333</v>
      </c>
      <c r="R31" s="11"/>
      <c r="S31" s="46">
        <f>SUM(S23:S29)</f>
        <v>4786293.9780821921</v>
      </c>
    </row>
    <row r="32" spans="1:20" ht="17.25" x14ac:dyDescent="0.3">
      <c r="A32" s="3"/>
      <c r="B32" s="12"/>
      <c r="C32" s="26"/>
      <c r="D32" s="26"/>
      <c r="E32" s="26"/>
      <c r="F32" s="26"/>
      <c r="G32" s="26"/>
      <c r="H32" s="26"/>
      <c r="I32" s="26"/>
      <c r="J32" s="26"/>
      <c r="K32" s="26"/>
      <c r="L32" s="26"/>
      <c r="M32" s="26"/>
      <c r="N32" s="26"/>
      <c r="O32" s="26"/>
      <c r="P32" s="11"/>
      <c r="Q32" s="26"/>
      <c r="R32" s="11"/>
      <c r="S32" s="26"/>
    </row>
    <row r="33" spans="1:19" ht="17.25" x14ac:dyDescent="0.3">
      <c r="A33" s="3"/>
      <c r="B33" s="27" t="s">
        <v>62</v>
      </c>
      <c r="C33" s="28"/>
      <c r="D33" s="28"/>
      <c r="E33" s="28"/>
      <c r="F33" s="28"/>
      <c r="G33" s="28"/>
      <c r="H33" s="28"/>
      <c r="I33" s="28"/>
      <c r="J33" s="28"/>
      <c r="K33" s="28"/>
      <c r="L33" s="28"/>
      <c r="M33" s="28"/>
      <c r="N33" s="28"/>
      <c r="O33" s="28"/>
      <c r="P33" s="11"/>
      <c r="Q33" s="28"/>
      <c r="R33" s="11"/>
      <c r="S33" s="28"/>
    </row>
    <row r="34" spans="1:19" ht="17.25" x14ac:dyDescent="0.3">
      <c r="A34" s="3"/>
      <c r="B34" s="29"/>
      <c r="C34" s="30"/>
      <c r="D34" s="30"/>
      <c r="E34" s="30"/>
      <c r="F34" s="30"/>
      <c r="G34" s="30"/>
      <c r="H34" s="30"/>
      <c r="I34" s="30"/>
      <c r="J34" s="30"/>
      <c r="K34" s="30"/>
      <c r="L34" s="30"/>
      <c r="M34" s="30"/>
      <c r="N34" s="30"/>
      <c r="O34" s="30"/>
      <c r="P34" s="11"/>
      <c r="Q34" s="30"/>
      <c r="R34" s="11"/>
      <c r="S34" s="30"/>
    </row>
    <row r="35" spans="1:19" ht="17.25" x14ac:dyDescent="0.3">
      <c r="A35" s="3"/>
      <c r="B35" s="29" t="s">
        <v>14</v>
      </c>
      <c r="C35" s="50"/>
      <c r="D35" s="51">
        <v>0</v>
      </c>
      <c r="E35" s="51">
        <v>0</v>
      </c>
      <c r="F35" s="51">
        <v>0</v>
      </c>
      <c r="G35" s="51">
        <v>0</v>
      </c>
      <c r="H35" s="51">
        <v>0</v>
      </c>
      <c r="I35" s="51">
        <v>0</v>
      </c>
      <c r="J35" s="51">
        <v>0</v>
      </c>
      <c r="K35" s="51">
        <v>0</v>
      </c>
      <c r="L35" s="51">
        <v>0</v>
      </c>
      <c r="M35" s="51">
        <v>0</v>
      </c>
      <c r="N35" s="51">
        <v>0</v>
      </c>
      <c r="O35" s="47">
        <f t="shared" ref="O35:O40" si="4">SUM(C35:N35)</f>
        <v>0</v>
      </c>
      <c r="P35" s="11"/>
      <c r="Q35" s="47">
        <f t="shared" ref="Q35:Q40" si="5">O35/12</f>
        <v>0</v>
      </c>
      <c r="R35" s="11"/>
      <c r="S35" s="47">
        <f t="shared" ref="S35:S40" si="6">O35/365</f>
        <v>0</v>
      </c>
    </row>
    <row r="36" spans="1:19" ht="17.25" x14ac:dyDescent="0.3">
      <c r="A36" s="3"/>
      <c r="B36" s="29" t="s">
        <v>15</v>
      </c>
      <c r="C36" s="50"/>
      <c r="D36" s="51">
        <v>0</v>
      </c>
      <c r="E36" s="51">
        <v>0</v>
      </c>
      <c r="F36" s="51">
        <v>0</v>
      </c>
      <c r="G36" s="51">
        <v>0</v>
      </c>
      <c r="H36" s="51">
        <v>0</v>
      </c>
      <c r="I36" s="51">
        <v>0</v>
      </c>
      <c r="J36" s="51">
        <v>0</v>
      </c>
      <c r="K36" s="51">
        <v>0</v>
      </c>
      <c r="L36" s="51">
        <v>0</v>
      </c>
      <c r="M36" s="51">
        <v>0</v>
      </c>
      <c r="N36" s="51">
        <v>0</v>
      </c>
      <c r="O36" s="47">
        <f t="shared" si="4"/>
        <v>0</v>
      </c>
      <c r="P36" s="11"/>
      <c r="Q36" s="47">
        <f t="shared" si="5"/>
        <v>0</v>
      </c>
      <c r="R36" s="11"/>
      <c r="S36" s="47">
        <f t="shared" si="6"/>
        <v>0</v>
      </c>
    </row>
    <row r="37" spans="1:19" ht="17.25" x14ac:dyDescent="0.3">
      <c r="A37" s="3"/>
      <c r="B37" s="29" t="s">
        <v>16</v>
      </c>
      <c r="C37" s="50"/>
      <c r="D37" s="51">
        <v>0</v>
      </c>
      <c r="E37" s="51">
        <v>0</v>
      </c>
      <c r="F37" s="51">
        <v>0</v>
      </c>
      <c r="G37" s="51">
        <v>0</v>
      </c>
      <c r="H37" s="51">
        <v>0</v>
      </c>
      <c r="I37" s="51">
        <v>0</v>
      </c>
      <c r="J37" s="51">
        <v>0</v>
      </c>
      <c r="K37" s="51">
        <v>0</v>
      </c>
      <c r="L37" s="51">
        <v>0</v>
      </c>
      <c r="M37" s="51">
        <v>0</v>
      </c>
      <c r="N37" s="51">
        <v>0</v>
      </c>
      <c r="O37" s="47">
        <f t="shared" si="4"/>
        <v>0</v>
      </c>
      <c r="P37" s="11"/>
      <c r="Q37" s="47">
        <f t="shared" si="5"/>
        <v>0</v>
      </c>
      <c r="R37" s="11"/>
      <c r="S37" s="47">
        <f t="shared" si="6"/>
        <v>0</v>
      </c>
    </row>
    <row r="38" spans="1:19" ht="17.25" x14ac:dyDescent="0.3">
      <c r="A38" s="3"/>
      <c r="B38" s="29" t="s">
        <v>17</v>
      </c>
      <c r="C38" s="50"/>
      <c r="D38" s="51">
        <v>0</v>
      </c>
      <c r="E38" s="51">
        <v>0</v>
      </c>
      <c r="F38" s="51">
        <v>0</v>
      </c>
      <c r="G38" s="51">
        <v>0</v>
      </c>
      <c r="H38" s="51">
        <v>0</v>
      </c>
      <c r="I38" s="51">
        <v>0</v>
      </c>
      <c r="J38" s="51">
        <v>0</v>
      </c>
      <c r="K38" s="51">
        <v>0</v>
      </c>
      <c r="L38" s="51">
        <v>0</v>
      </c>
      <c r="M38" s="51">
        <v>0</v>
      </c>
      <c r="N38" s="51">
        <v>0</v>
      </c>
      <c r="O38" s="47">
        <f t="shared" si="4"/>
        <v>0</v>
      </c>
      <c r="P38" s="11"/>
      <c r="Q38" s="47">
        <f t="shared" si="5"/>
        <v>0</v>
      </c>
      <c r="R38" s="11"/>
      <c r="S38" s="47">
        <f t="shared" si="6"/>
        <v>0</v>
      </c>
    </row>
    <row r="39" spans="1:19" ht="17.25" x14ac:dyDescent="0.3">
      <c r="A39" s="3"/>
      <c r="B39" s="29" t="s">
        <v>18</v>
      </c>
      <c r="C39" s="50"/>
      <c r="D39" s="51">
        <v>0</v>
      </c>
      <c r="E39" s="51">
        <v>0</v>
      </c>
      <c r="F39" s="51">
        <v>0</v>
      </c>
      <c r="G39" s="51">
        <v>0</v>
      </c>
      <c r="H39" s="51">
        <v>0</v>
      </c>
      <c r="I39" s="51">
        <v>0</v>
      </c>
      <c r="J39" s="51">
        <v>0</v>
      </c>
      <c r="K39" s="51">
        <v>0</v>
      </c>
      <c r="L39" s="51">
        <v>0</v>
      </c>
      <c r="M39" s="51">
        <v>0</v>
      </c>
      <c r="N39" s="51">
        <v>0</v>
      </c>
      <c r="O39" s="47">
        <f t="shared" si="4"/>
        <v>0</v>
      </c>
      <c r="P39" s="11"/>
      <c r="Q39" s="47">
        <f t="shared" si="5"/>
        <v>0</v>
      </c>
      <c r="R39" s="11"/>
      <c r="S39" s="47">
        <f t="shared" si="6"/>
        <v>0</v>
      </c>
    </row>
    <row r="40" spans="1:19" ht="17.25" x14ac:dyDescent="0.3">
      <c r="A40" s="3"/>
      <c r="B40" s="29" t="s">
        <v>19</v>
      </c>
      <c r="C40" s="50"/>
      <c r="D40" s="51">
        <v>0</v>
      </c>
      <c r="E40" s="51">
        <v>0</v>
      </c>
      <c r="F40" s="51">
        <v>0</v>
      </c>
      <c r="G40" s="51">
        <v>0</v>
      </c>
      <c r="H40" s="51">
        <v>0</v>
      </c>
      <c r="I40" s="51">
        <v>0</v>
      </c>
      <c r="J40" s="51">
        <v>0</v>
      </c>
      <c r="K40" s="51">
        <v>0</v>
      </c>
      <c r="L40" s="51">
        <v>0</v>
      </c>
      <c r="M40" s="51">
        <v>0</v>
      </c>
      <c r="N40" s="51">
        <v>0</v>
      </c>
      <c r="O40" s="47">
        <f t="shared" si="4"/>
        <v>0</v>
      </c>
      <c r="P40" s="11"/>
      <c r="Q40" s="47">
        <f t="shared" si="5"/>
        <v>0</v>
      </c>
      <c r="R40" s="11"/>
      <c r="S40" s="47">
        <f t="shared" si="6"/>
        <v>0</v>
      </c>
    </row>
    <row r="41" spans="1:19" ht="17.25" x14ac:dyDescent="0.3">
      <c r="A41" s="3"/>
      <c r="B41" s="29"/>
      <c r="C41" s="30"/>
      <c r="D41" s="30"/>
      <c r="E41" s="30"/>
      <c r="F41" s="30"/>
      <c r="G41" s="30"/>
      <c r="H41" s="30"/>
      <c r="I41" s="30"/>
      <c r="J41" s="30"/>
      <c r="K41" s="30"/>
      <c r="L41" s="30"/>
      <c r="M41" s="30"/>
      <c r="N41" s="30"/>
      <c r="O41" s="30"/>
      <c r="P41" s="11"/>
      <c r="Q41" s="30"/>
      <c r="R41" s="11"/>
      <c r="S41" s="30"/>
    </row>
    <row r="42" spans="1:19" ht="20.100000000000001" customHeight="1" x14ac:dyDescent="0.3">
      <c r="A42" s="3"/>
      <c r="B42" s="39" t="s">
        <v>0</v>
      </c>
      <c r="C42" s="49">
        <f t="shared" ref="C42:N42" si="7">SUM(C35:C40)</f>
        <v>0</v>
      </c>
      <c r="D42" s="49">
        <f t="shared" si="7"/>
        <v>0</v>
      </c>
      <c r="E42" s="49">
        <f t="shared" si="7"/>
        <v>0</v>
      </c>
      <c r="F42" s="49">
        <f t="shared" si="7"/>
        <v>0</v>
      </c>
      <c r="G42" s="49">
        <f t="shared" si="7"/>
        <v>0</v>
      </c>
      <c r="H42" s="49">
        <f t="shared" si="7"/>
        <v>0</v>
      </c>
      <c r="I42" s="49">
        <f t="shared" si="7"/>
        <v>0</v>
      </c>
      <c r="J42" s="49">
        <f t="shared" si="7"/>
        <v>0</v>
      </c>
      <c r="K42" s="49">
        <f t="shared" si="7"/>
        <v>0</v>
      </c>
      <c r="L42" s="49">
        <f t="shared" si="7"/>
        <v>0</v>
      </c>
      <c r="M42" s="49">
        <f t="shared" si="7"/>
        <v>0</v>
      </c>
      <c r="N42" s="49">
        <f t="shared" si="7"/>
        <v>0</v>
      </c>
      <c r="O42" s="48">
        <f>SUM(C42:N42)</f>
        <v>0</v>
      </c>
      <c r="P42" s="11"/>
      <c r="Q42" s="48">
        <f>SUM(Q35:Q40)</f>
        <v>0</v>
      </c>
      <c r="R42" s="11"/>
      <c r="S42" s="48">
        <f>SUM(S35:S40)</f>
        <v>0</v>
      </c>
    </row>
    <row r="43" spans="1:19" ht="17.25" x14ac:dyDescent="0.3">
      <c r="A43" s="3"/>
      <c r="B43" s="31"/>
      <c r="C43" s="14"/>
      <c r="D43" s="14"/>
      <c r="E43" s="14"/>
      <c r="F43" s="14"/>
      <c r="G43" s="14"/>
      <c r="H43" s="14"/>
      <c r="I43" s="14"/>
      <c r="J43" s="14"/>
      <c r="K43" s="14"/>
      <c r="L43" s="14"/>
      <c r="M43" s="14"/>
      <c r="N43" s="14"/>
      <c r="O43" s="14"/>
      <c r="P43" s="11"/>
      <c r="Q43" s="14"/>
      <c r="R43" s="11"/>
      <c r="S43" s="14"/>
    </row>
    <row r="44" spans="1:19" ht="17.25" x14ac:dyDescent="0.3">
      <c r="A44" s="3"/>
      <c r="B44" s="32" t="s">
        <v>20</v>
      </c>
      <c r="C44" s="33"/>
      <c r="D44" s="33"/>
      <c r="E44" s="33"/>
      <c r="F44" s="33"/>
      <c r="G44" s="33"/>
      <c r="H44" s="33"/>
      <c r="I44" s="33"/>
      <c r="J44" s="33"/>
      <c r="K44" s="33"/>
      <c r="L44" s="33"/>
      <c r="M44" s="33"/>
      <c r="N44" s="33"/>
      <c r="O44" s="33"/>
      <c r="P44" s="11"/>
      <c r="Q44" s="33"/>
      <c r="R44" s="11"/>
      <c r="S44" s="33"/>
    </row>
    <row r="45" spans="1:19" ht="17.25" x14ac:dyDescent="0.3">
      <c r="A45" s="3"/>
      <c r="B45" s="34" t="s">
        <v>77</v>
      </c>
      <c r="C45" s="35"/>
      <c r="D45" s="35"/>
      <c r="E45" s="35"/>
      <c r="F45" s="35"/>
      <c r="G45" s="35"/>
      <c r="H45" s="35"/>
      <c r="I45" s="35"/>
      <c r="J45" s="35"/>
      <c r="K45" s="35"/>
      <c r="L45" s="35"/>
      <c r="M45" s="35"/>
      <c r="N45" s="35"/>
      <c r="O45" s="35"/>
      <c r="P45" s="11"/>
      <c r="Q45" s="35"/>
      <c r="R45" s="11"/>
      <c r="S45" s="35"/>
    </row>
    <row r="46" spans="1:19" ht="17.25" x14ac:dyDescent="0.3">
      <c r="A46" s="3"/>
      <c r="B46" s="60" t="s">
        <v>70</v>
      </c>
      <c r="C46" s="51">
        <v>11520000</v>
      </c>
      <c r="D46" s="51">
        <v>35390000</v>
      </c>
      <c r="E46" s="51">
        <v>28345000</v>
      </c>
      <c r="F46" s="51">
        <v>39380000</v>
      </c>
      <c r="G46" s="51">
        <v>30160000</v>
      </c>
      <c r="H46" s="51">
        <v>8850000</v>
      </c>
      <c r="I46" s="51">
        <v>0</v>
      </c>
      <c r="J46" s="51">
        <v>0</v>
      </c>
      <c r="K46" s="51">
        <v>0</v>
      </c>
      <c r="L46" s="51">
        <v>0</v>
      </c>
      <c r="M46" s="51">
        <v>0</v>
      </c>
      <c r="N46" s="51">
        <v>0</v>
      </c>
      <c r="O46" s="52">
        <f>SUM(C46:N46)</f>
        <v>153645000</v>
      </c>
      <c r="P46" s="11"/>
      <c r="Q46" s="52">
        <f>O46/6</f>
        <v>25607500</v>
      </c>
      <c r="R46" s="11"/>
      <c r="S46" s="52">
        <f>O46/182.5</f>
        <v>841890.41095890407</v>
      </c>
    </row>
    <row r="47" spans="1:19" ht="17.25" x14ac:dyDescent="0.3">
      <c r="A47" s="3"/>
      <c r="B47" s="60" t="s">
        <v>71</v>
      </c>
      <c r="C47" s="51">
        <v>6304760</v>
      </c>
      <c r="D47" s="51">
        <v>101801385</v>
      </c>
      <c r="E47" s="51">
        <v>79115214</v>
      </c>
      <c r="F47" s="51">
        <v>22047492</v>
      </c>
      <c r="G47" s="51">
        <v>151559848</v>
      </c>
      <c r="H47" s="51">
        <v>143347897</v>
      </c>
      <c r="I47" s="51">
        <v>0</v>
      </c>
      <c r="J47" s="51">
        <v>0</v>
      </c>
      <c r="K47" s="51">
        <v>0</v>
      </c>
      <c r="L47" s="51">
        <v>0</v>
      </c>
      <c r="M47" s="51">
        <v>0</v>
      </c>
      <c r="N47" s="51">
        <v>0</v>
      </c>
      <c r="O47" s="52">
        <f t="shared" ref="O47:O52" si="8">SUM(C47:N47)</f>
        <v>504176596</v>
      </c>
      <c r="P47" s="11"/>
      <c r="Q47" s="52">
        <f t="shared" ref="Q47:Q52" si="9">O47/6</f>
        <v>84029432.666666672</v>
      </c>
      <c r="R47" s="11"/>
      <c r="S47" s="52">
        <f t="shared" ref="S47:S52" si="10">O47/182.5</f>
        <v>2762611.4849315067</v>
      </c>
    </row>
    <row r="48" spans="1:19" ht="17.25" x14ac:dyDescent="0.3">
      <c r="A48" s="3"/>
      <c r="B48" s="60" t="s">
        <v>72</v>
      </c>
      <c r="C48" s="51">
        <v>0</v>
      </c>
      <c r="D48" s="51">
        <v>33347074</v>
      </c>
      <c r="E48" s="51">
        <v>11252142</v>
      </c>
      <c r="F48" s="51">
        <v>11985641</v>
      </c>
      <c r="G48" s="51">
        <v>9101968</v>
      </c>
      <c r="H48" s="51">
        <v>40630167</v>
      </c>
      <c r="I48" s="51">
        <v>0</v>
      </c>
      <c r="J48" s="51">
        <v>0</v>
      </c>
      <c r="K48" s="51">
        <v>0</v>
      </c>
      <c r="L48" s="51">
        <v>0</v>
      </c>
      <c r="M48" s="51">
        <v>0</v>
      </c>
      <c r="N48" s="51">
        <v>0</v>
      </c>
      <c r="O48" s="52">
        <f t="shared" si="8"/>
        <v>106316992</v>
      </c>
      <c r="P48" s="11"/>
      <c r="Q48" s="52">
        <f t="shared" si="9"/>
        <v>17719498.666666668</v>
      </c>
      <c r="R48" s="11"/>
      <c r="S48" s="52">
        <f t="shared" si="10"/>
        <v>582558.86027397262</v>
      </c>
    </row>
    <row r="49" spans="1:19" ht="17.25" x14ac:dyDescent="0.3">
      <c r="A49" s="3"/>
      <c r="B49" s="60" t="s">
        <v>73</v>
      </c>
      <c r="C49" s="50">
        <v>3500000</v>
      </c>
      <c r="D49" s="51">
        <v>4150000</v>
      </c>
      <c r="E49" s="51">
        <v>4600000</v>
      </c>
      <c r="F49" s="51">
        <v>2600000</v>
      </c>
      <c r="G49" s="51">
        <v>2400000</v>
      </c>
      <c r="H49" s="51">
        <v>0</v>
      </c>
      <c r="I49" s="51">
        <v>0</v>
      </c>
      <c r="J49" s="51">
        <v>0</v>
      </c>
      <c r="K49" s="51">
        <v>0</v>
      </c>
      <c r="L49" s="51">
        <v>0</v>
      </c>
      <c r="M49" s="51">
        <v>0</v>
      </c>
      <c r="N49" s="51">
        <v>0</v>
      </c>
      <c r="O49" s="52">
        <f t="shared" si="8"/>
        <v>17250000</v>
      </c>
      <c r="P49" s="11"/>
      <c r="Q49" s="52">
        <f t="shared" si="9"/>
        <v>2875000</v>
      </c>
      <c r="R49" s="11"/>
      <c r="S49" s="52">
        <f t="shared" si="10"/>
        <v>94520.547945205486</v>
      </c>
    </row>
    <row r="50" spans="1:19" ht="17.25" x14ac:dyDescent="0.3">
      <c r="A50" s="3"/>
      <c r="B50" s="60" t="s">
        <v>74</v>
      </c>
      <c r="C50" s="50">
        <v>5373440</v>
      </c>
      <c r="D50" s="51">
        <v>25806345</v>
      </c>
      <c r="E50" s="51">
        <v>29691340</v>
      </c>
      <c r="F50" s="51">
        <v>15079040</v>
      </c>
      <c r="G50" s="51">
        <v>25772420</v>
      </c>
      <c r="H50" s="51">
        <v>4699764</v>
      </c>
      <c r="I50" s="51">
        <v>0</v>
      </c>
      <c r="J50" s="51">
        <v>0</v>
      </c>
      <c r="K50" s="51">
        <v>0</v>
      </c>
      <c r="L50" s="51">
        <v>0</v>
      </c>
      <c r="M50" s="51">
        <v>0</v>
      </c>
      <c r="N50" s="51">
        <v>0</v>
      </c>
      <c r="O50" s="52">
        <f t="shared" si="8"/>
        <v>106422349</v>
      </c>
      <c r="P50" s="11"/>
      <c r="Q50" s="52">
        <f t="shared" si="9"/>
        <v>17737058.166666668</v>
      </c>
      <c r="R50" s="11"/>
      <c r="S50" s="52">
        <f t="shared" si="10"/>
        <v>583136.15890410962</v>
      </c>
    </row>
    <row r="51" spans="1:19" ht="33" x14ac:dyDescent="0.3">
      <c r="A51" s="3"/>
      <c r="B51" s="60" t="s">
        <v>75</v>
      </c>
      <c r="C51" s="50">
        <v>4597635</v>
      </c>
      <c r="D51" s="51">
        <v>21069951</v>
      </c>
      <c r="E51" s="51">
        <v>389000</v>
      </c>
      <c r="F51" s="51">
        <v>51800</v>
      </c>
      <c r="G51" s="51">
        <v>48570</v>
      </c>
      <c r="H51" s="51">
        <v>47000</v>
      </c>
      <c r="I51" s="51">
        <v>0</v>
      </c>
      <c r="J51" s="51">
        <v>0</v>
      </c>
      <c r="K51" s="51">
        <v>0</v>
      </c>
      <c r="L51" s="51">
        <v>0</v>
      </c>
      <c r="M51" s="51">
        <v>0</v>
      </c>
      <c r="N51" s="51">
        <v>0</v>
      </c>
      <c r="O51" s="52">
        <f t="shared" si="8"/>
        <v>26203956</v>
      </c>
      <c r="P51" s="11"/>
      <c r="Q51" s="52">
        <f t="shared" si="9"/>
        <v>4367326</v>
      </c>
      <c r="R51" s="11"/>
      <c r="S51" s="52">
        <f t="shared" si="10"/>
        <v>143583.32054794522</v>
      </c>
    </row>
    <row r="52" spans="1:19" ht="17.25" x14ac:dyDescent="0.3">
      <c r="A52" s="3"/>
      <c r="B52" s="60" t="s">
        <v>76</v>
      </c>
      <c r="C52" s="50">
        <v>47361023</v>
      </c>
      <c r="D52" s="51">
        <v>13196205</v>
      </c>
      <c r="E52" s="51">
        <v>60912824</v>
      </c>
      <c r="F52" s="51">
        <v>48625612</v>
      </c>
      <c r="G52" s="51">
        <v>1012140</v>
      </c>
      <c r="H52" s="51">
        <v>1751267</v>
      </c>
      <c r="I52" s="51">
        <v>0</v>
      </c>
      <c r="J52" s="51">
        <v>0</v>
      </c>
      <c r="K52" s="51">
        <v>0</v>
      </c>
      <c r="L52" s="51">
        <v>0</v>
      </c>
      <c r="M52" s="51">
        <v>0</v>
      </c>
      <c r="N52" s="51">
        <v>0</v>
      </c>
      <c r="O52" s="52">
        <f t="shared" si="8"/>
        <v>172859071</v>
      </c>
      <c r="P52" s="11"/>
      <c r="Q52" s="52">
        <f t="shared" si="9"/>
        <v>28809845.166666668</v>
      </c>
      <c r="R52" s="11"/>
      <c r="S52" s="52">
        <f t="shared" si="10"/>
        <v>947172.99178082193</v>
      </c>
    </row>
    <row r="53" spans="1:19" ht="17.25" x14ac:dyDescent="0.3">
      <c r="A53" s="3"/>
      <c r="B53" s="36"/>
      <c r="C53" s="53">
        <f t="shared" ref="C53:O53" si="11">SUM(C46:C52)</f>
        <v>78656858</v>
      </c>
      <c r="D53" s="53">
        <f t="shared" si="11"/>
        <v>234760960</v>
      </c>
      <c r="E53" s="53">
        <f t="shared" si="11"/>
        <v>214305520</v>
      </c>
      <c r="F53" s="53">
        <f t="shared" si="11"/>
        <v>139769585</v>
      </c>
      <c r="G53" s="53">
        <f t="shared" si="11"/>
        <v>220054946</v>
      </c>
      <c r="H53" s="53">
        <f t="shared" si="11"/>
        <v>199326095</v>
      </c>
      <c r="I53" s="53">
        <f t="shared" si="11"/>
        <v>0</v>
      </c>
      <c r="J53" s="53">
        <f t="shared" si="11"/>
        <v>0</v>
      </c>
      <c r="K53" s="53">
        <f t="shared" si="11"/>
        <v>0</v>
      </c>
      <c r="L53" s="53">
        <f t="shared" si="11"/>
        <v>0</v>
      </c>
      <c r="M53" s="53">
        <f t="shared" si="11"/>
        <v>0</v>
      </c>
      <c r="N53" s="53">
        <f t="shared" si="11"/>
        <v>0</v>
      </c>
      <c r="O53" s="53">
        <f t="shared" si="11"/>
        <v>1086873964</v>
      </c>
      <c r="P53" s="11"/>
      <c r="Q53" s="53">
        <f>SUM(Q46:Q52)</f>
        <v>181145660.66666666</v>
      </c>
      <c r="R53" s="11"/>
      <c r="S53" s="53">
        <f>SUM(S46:S52)</f>
        <v>5955473.7753424663</v>
      </c>
    </row>
    <row r="54" spans="1:19" ht="17.25" x14ac:dyDescent="0.3">
      <c r="A54" s="3"/>
      <c r="B54" s="34" t="s">
        <v>78</v>
      </c>
      <c r="C54" s="35"/>
      <c r="D54" s="35"/>
      <c r="E54" s="35"/>
      <c r="F54" s="35"/>
      <c r="G54" s="35"/>
      <c r="H54" s="35"/>
      <c r="I54" s="35"/>
      <c r="J54" s="35"/>
      <c r="K54" s="35"/>
      <c r="L54" s="35"/>
      <c r="M54" s="35"/>
      <c r="N54" s="35"/>
      <c r="O54" s="14"/>
      <c r="P54" s="11"/>
      <c r="Q54" s="14"/>
      <c r="R54" s="11"/>
      <c r="S54" s="14"/>
    </row>
    <row r="55" spans="1:19" ht="17.25" x14ac:dyDescent="0.3">
      <c r="A55" s="3"/>
      <c r="B55" s="36" t="s">
        <v>79</v>
      </c>
      <c r="C55" s="50"/>
      <c r="D55" s="51">
        <v>0</v>
      </c>
      <c r="E55" s="51">
        <v>0</v>
      </c>
      <c r="F55" s="51">
        <v>0</v>
      </c>
      <c r="G55" s="51">
        <v>0</v>
      </c>
      <c r="H55" s="51">
        <v>0</v>
      </c>
      <c r="I55" s="51">
        <v>0</v>
      </c>
      <c r="J55" s="51">
        <v>0</v>
      </c>
      <c r="K55" s="51">
        <v>0</v>
      </c>
      <c r="L55" s="51">
        <v>0</v>
      </c>
      <c r="M55" s="51">
        <v>0</v>
      </c>
      <c r="N55" s="51">
        <v>0</v>
      </c>
      <c r="O55" s="52">
        <f t="shared" ref="O55:O60" si="12">SUM(C55:N55)</f>
        <v>0</v>
      </c>
      <c r="P55" s="11"/>
      <c r="Q55" s="52">
        <f t="shared" ref="Q55:Q60" si="13">O55/12</f>
        <v>0</v>
      </c>
      <c r="R55" s="11"/>
      <c r="S55" s="52">
        <f t="shared" ref="S55:S60" si="14">O55/365</f>
        <v>0</v>
      </c>
    </row>
    <row r="56" spans="1:19" ht="17.25" x14ac:dyDescent="0.3">
      <c r="A56" s="3"/>
      <c r="B56" s="36" t="s">
        <v>21</v>
      </c>
      <c r="C56" s="50"/>
      <c r="D56" s="51">
        <v>0</v>
      </c>
      <c r="E56" s="51">
        <v>0</v>
      </c>
      <c r="F56" s="51">
        <v>0</v>
      </c>
      <c r="G56" s="51">
        <v>0</v>
      </c>
      <c r="H56" s="51">
        <v>0</v>
      </c>
      <c r="I56" s="51">
        <v>0</v>
      </c>
      <c r="J56" s="51">
        <v>0</v>
      </c>
      <c r="K56" s="51">
        <v>0</v>
      </c>
      <c r="L56" s="51">
        <v>0</v>
      </c>
      <c r="M56" s="51">
        <v>0</v>
      </c>
      <c r="N56" s="51">
        <v>0</v>
      </c>
      <c r="O56" s="52">
        <f t="shared" si="12"/>
        <v>0</v>
      </c>
      <c r="P56" s="11"/>
      <c r="Q56" s="52">
        <f t="shared" si="13"/>
        <v>0</v>
      </c>
      <c r="R56" s="11"/>
      <c r="S56" s="52">
        <f t="shared" si="14"/>
        <v>0</v>
      </c>
    </row>
    <row r="57" spans="1:19" ht="17.25" x14ac:dyDescent="0.3">
      <c r="A57" s="3"/>
      <c r="B57" s="36" t="s">
        <v>22</v>
      </c>
      <c r="C57" s="50"/>
      <c r="D57" s="51">
        <v>0</v>
      </c>
      <c r="E57" s="51">
        <v>0</v>
      </c>
      <c r="F57" s="51">
        <v>0</v>
      </c>
      <c r="G57" s="51">
        <v>0</v>
      </c>
      <c r="H57" s="51">
        <v>0</v>
      </c>
      <c r="I57" s="51">
        <v>0</v>
      </c>
      <c r="J57" s="51">
        <v>0</v>
      </c>
      <c r="K57" s="51">
        <v>0</v>
      </c>
      <c r="L57" s="51">
        <v>0</v>
      </c>
      <c r="M57" s="51">
        <v>0</v>
      </c>
      <c r="N57" s="51">
        <v>0</v>
      </c>
      <c r="O57" s="52">
        <f t="shared" si="12"/>
        <v>0</v>
      </c>
      <c r="P57" s="11"/>
      <c r="Q57" s="52">
        <f t="shared" si="13"/>
        <v>0</v>
      </c>
      <c r="R57" s="11"/>
      <c r="S57" s="52">
        <f t="shared" si="14"/>
        <v>0</v>
      </c>
    </row>
    <row r="58" spans="1:19" ht="17.25" x14ac:dyDescent="0.3">
      <c r="A58" s="3"/>
      <c r="B58" s="36" t="s">
        <v>52</v>
      </c>
      <c r="C58" s="50"/>
      <c r="D58" s="51">
        <v>0</v>
      </c>
      <c r="E58" s="51">
        <v>0</v>
      </c>
      <c r="F58" s="51">
        <v>0</v>
      </c>
      <c r="G58" s="51">
        <v>0</v>
      </c>
      <c r="H58" s="51">
        <v>0</v>
      </c>
      <c r="I58" s="51">
        <v>0</v>
      </c>
      <c r="J58" s="51">
        <v>0</v>
      </c>
      <c r="K58" s="51">
        <v>0</v>
      </c>
      <c r="L58" s="51">
        <v>0</v>
      </c>
      <c r="M58" s="51">
        <v>0</v>
      </c>
      <c r="N58" s="51">
        <v>0</v>
      </c>
      <c r="O58" s="52">
        <f t="shared" si="12"/>
        <v>0</v>
      </c>
      <c r="P58" s="11"/>
      <c r="Q58" s="52">
        <f t="shared" si="13"/>
        <v>0</v>
      </c>
      <c r="R58" s="11"/>
      <c r="S58" s="52">
        <f t="shared" si="14"/>
        <v>0</v>
      </c>
    </row>
    <row r="59" spans="1:19" ht="17.25" x14ac:dyDescent="0.3">
      <c r="A59" s="3"/>
      <c r="B59" s="36" t="s">
        <v>23</v>
      </c>
      <c r="C59" s="50"/>
      <c r="D59" s="51">
        <v>0</v>
      </c>
      <c r="E59" s="51">
        <v>0</v>
      </c>
      <c r="F59" s="51">
        <v>0</v>
      </c>
      <c r="G59" s="51">
        <v>0</v>
      </c>
      <c r="H59" s="51">
        <v>0</v>
      </c>
      <c r="I59" s="51">
        <v>0</v>
      </c>
      <c r="J59" s="51">
        <v>0</v>
      </c>
      <c r="K59" s="51">
        <v>0</v>
      </c>
      <c r="L59" s="51">
        <v>0</v>
      </c>
      <c r="M59" s="51">
        <v>0</v>
      </c>
      <c r="N59" s="51">
        <v>0</v>
      </c>
      <c r="O59" s="52">
        <f t="shared" si="12"/>
        <v>0</v>
      </c>
      <c r="P59" s="11"/>
      <c r="Q59" s="52">
        <f t="shared" si="13"/>
        <v>0</v>
      </c>
      <c r="R59" s="11"/>
      <c r="S59" s="52">
        <f t="shared" si="14"/>
        <v>0</v>
      </c>
    </row>
    <row r="60" spans="1:19" ht="17.25" x14ac:dyDescent="0.3">
      <c r="A60" s="3"/>
      <c r="B60" s="36" t="s">
        <v>24</v>
      </c>
      <c r="C60" s="50"/>
      <c r="D60" s="51">
        <v>0</v>
      </c>
      <c r="E60" s="51">
        <v>0</v>
      </c>
      <c r="F60" s="51">
        <v>0</v>
      </c>
      <c r="G60" s="51">
        <v>0</v>
      </c>
      <c r="H60" s="51">
        <v>0</v>
      </c>
      <c r="I60" s="51">
        <v>0</v>
      </c>
      <c r="J60" s="51">
        <v>0</v>
      </c>
      <c r="K60" s="51">
        <v>0</v>
      </c>
      <c r="L60" s="51">
        <v>0</v>
      </c>
      <c r="M60" s="51">
        <v>0</v>
      </c>
      <c r="N60" s="51">
        <v>0</v>
      </c>
      <c r="O60" s="52">
        <f t="shared" si="12"/>
        <v>0</v>
      </c>
      <c r="P60" s="11"/>
      <c r="Q60" s="52">
        <f t="shared" si="13"/>
        <v>0</v>
      </c>
      <c r="R60" s="11"/>
      <c r="S60" s="52">
        <f t="shared" si="14"/>
        <v>0</v>
      </c>
    </row>
    <row r="61" spans="1:19" ht="17.25" x14ac:dyDescent="0.3">
      <c r="A61" s="3"/>
      <c r="B61" s="36"/>
      <c r="C61" s="54">
        <f t="shared" ref="C61:O61" si="15">SUM(C55:C60)</f>
        <v>0</v>
      </c>
      <c r="D61" s="54">
        <f t="shared" si="15"/>
        <v>0</v>
      </c>
      <c r="E61" s="54">
        <f t="shared" si="15"/>
        <v>0</v>
      </c>
      <c r="F61" s="54">
        <f t="shared" si="15"/>
        <v>0</v>
      </c>
      <c r="G61" s="54">
        <f t="shared" si="15"/>
        <v>0</v>
      </c>
      <c r="H61" s="54">
        <f t="shared" si="15"/>
        <v>0</v>
      </c>
      <c r="I61" s="54">
        <f t="shared" si="15"/>
        <v>0</v>
      </c>
      <c r="J61" s="54">
        <f t="shared" si="15"/>
        <v>0</v>
      </c>
      <c r="K61" s="54">
        <f t="shared" si="15"/>
        <v>0</v>
      </c>
      <c r="L61" s="54">
        <f t="shared" si="15"/>
        <v>0</v>
      </c>
      <c r="M61" s="54">
        <f t="shared" si="15"/>
        <v>0</v>
      </c>
      <c r="N61" s="54">
        <f t="shared" si="15"/>
        <v>0</v>
      </c>
      <c r="O61" s="54">
        <f t="shared" si="15"/>
        <v>0</v>
      </c>
      <c r="P61" s="11"/>
      <c r="Q61" s="54">
        <f>SUM(Q55:Q60)</f>
        <v>0</v>
      </c>
      <c r="R61" s="11"/>
      <c r="S61" s="54">
        <f>SUM(S55:S60)</f>
        <v>0</v>
      </c>
    </row>
    <row r="62" spans="1:19" ht="17.25" x14ac:dyDescent="0.3">
      <c r="A62" s="3"/>
      <c r="B62" s="34" t="s">
        <v>25</v>
      </c>
      <c r="C62" s="35"/>
      <c r="D62" s="35"/>
      <c r="E62" s="35"/>
      <c r="F62" s="35"/>
      <c r="G62" s="35"/>
      <c r="H62" s="35"/>
      <c r="I62" s="35"/>
      <c r="J62" s="35"/>
      <c r="K62" s="35"/>
      <c r="L62" s="35"/>
      <c r="M62" s="35"/>
      <c r="N62" s="35"/>
      <c r="O62" s="14"/>
      <c r="P62" s="11"/>
      <c r="Q62" s="14"/>
      <c r="R62" s="11"/>
      <c r="S62" s="14"/>
    </row>
    <row r="63" spans="1:19" ht="17.25" x14ac:dyDescent="0.3">
      <c r="A63" s="3"/>
      <c r="B63" s="36" t="s">
        <v>26</v>
      </c>
      <c r="C63" s="50"/>
      <c r="D63" s="51">
        <v>0</v>
      </c>
      <c r="E63" s="51">
        <v>0</v>
      </c>
      <c r="F63" s="51">
        <v>0</v>
      </c>
      <c r="G63" s="51">
        <v>0</v>
      </c>
      <c r="H63" s="51">
        <v>0</v>
      </c>
      <c r="I63" s="51">
        <v>0</v>
      </c>
      <c r="J63" s="51">
        <v>0</v>
      </c>
      <c r="K63" s="51">
        <v>0</v>
      </c>
      <c r="L63" s="51">
        <v>0</v>
      </c>
      <c r="M63" s="51">
        <v>0</v>
      </c>
      <c r="N63" s="51">
        <v>0</v>
      </c>
      <c r="O63" s="52">
        <f t="shared" ref="O63:O69" si="16">SUM(C63:N63)</f>
        <v>0</v>
      </c>
      <c r="P63" s="11"/>
      <c r="Q63" s="52">
        <f>O63/12</f>
        <v>0</v>
      </c>
      <c r="R63" s="11"/>
      <c r="S63" s="52">
        <f>O63/365</f>
        <v>0</v>
      </c>
    </row>
    <row r="64" spans="1:19" ht="17.25" x14ac:dyDescent="0.3">
      <c r="A64" s="3"/>
      <c r="B64" s="36" t="s">
        <v>27</v>
      </c>
      <c r="C64" s="50"/>
      <c r="D64" s="51">
        <v>0</v>
      </c>
      <c r="E64" s="51">
        <v>0</v>
      </c>
      <c r="F64" s="51">
        <v>0</v>
      </c>
      <c r="G64" s="51">
        <v>0</v>
      </c>
      <c r="H64" s="51">
        <v>0</v>
      </c>
      <c r="I64" s="51">
        <v>0</v>
      </c>
      <c r="J64" s="51">
        <v>0</v>
      </c>
      <c r="K64" s="51">
        <v>0</v>
      </c>
      <c r="L64" s="51">
        <v>0</v>
      </c>
      <c r="M64" s="51">
        <v>0</v>
      </c>
      <c r="N64" s="51">
        <v>0</v>
      </c>
      <c r="O64" s="52">
        <f t="shared" si="16"/>
        <v>0</v>
      </c>
      <c r="P64" s="11"/>
      <c r="Q64" s="52">
        <f t="shared" ref="Q64:Q69" si="17">O64/12</f>
        <v>0</v>
      </c>
      <c r="R64" s="11"/>
      <c r="S64" s="52">
        <f t="shared" ref="S64:S69" si="18">O64/365</f>
        <v>0</v>
      </c>
    </row>
    <row r="65" spans="1:19" ht="17.25" x14ac:dyDescent="0.3">
      <c r="A65" s="3"/>
      <c r="B65" s="36" t="s">
        <v>28</v>
      </c>
      <c r="C65" s="50"/>
      <c r="D65" s="51">
        <v>0</v>
      </c>
      <c r="E65" s="51">
        <v>0</v>
      </c>
      <c r="F65" s="51">
        <v>0</v>
      </c>
      <c r="G65" s="51">
        <v>0</v>
      </c>
      <c r="H65" s="51">
        <v>0</v>
      </c>
      <c r="I65" s="51">
        <v>0</v>
      </c>
      <c r="J65" s="51">
        <v>0</v>
      </c>
      <c r="K65" s="51">
        <v>0</v>
      </c>
      <c r="L65" s="51">
        <v>0</v>
      </c>
      <c r="M65" s="51">
        <v>0</v>
      </c>
      <c r="N65" s="51">
        <v>0</v>
      </c>
      <c r="O65" s="52">
        <f t="shared" si="16"/>
        <v>0</v>
      </c>
      <c r="P65" s="11"/>
      <c r="Q65" s="52">
        <f t="shared" si="17"/>
        <v>0</v>
      </c>
      <c r="R65" s="11"/>
      <c r="S65" s="52">
        <f t="shared" si="18"/>
        <v>0</v>
      </c>
    </row>
    <row r="66" spans="1:19" ht="17.25" x14ac:dyDescent="0.3">
      <c r="A66" s="3"/>
      <c r="B66" s="36" t="s">
        <v>29</v>
      </c>
      <c r="C66" s="50"/>
      <c r="D66" s="51">
        <v>0</v>
      </c>
      <c r="E66" s="51">
        <v>0</v>
      </c>
      <c r="F66" s="51">
        <v>0</v>
      </c>
      <c r="G66" s="51">
        <v>0</v>
      </c>
      <c r="H66" s="51">
        <v>0</v>
      </c>
      <c r="I66" s="51">
        <v>0</v>
      </c>
      <c r="J66" s="51">
        <v>0</v>
      </c>
      <c r="K66" s="51">
        <v>0</v>
      </c>
      <c r="L66" s="51">
        <v>0</v>
      </c>
      <c r="M66" s="51">
        <v>0</v>
      </c>
      <c r="N66" s="51">
        <v>0</v>
      </c>
      <c r="O66" s="52">
        <f t="shared" si="16"/>
        <v>0</v>
      </c>
      <c r="P66" s="11"/>
      <c r="Q66" s="52">
        <f t="shared" si="17"/>
        <v>0</v>
      </c>
      <c r="R66" s="11"/>
      <c r="S66" s="52">
        <f t="shared" si="18"/>
        <v>0</v>
      </c>
    </row>
    <row r="67" spans="1:19" ht="17.25" x14ac:dyDescent="0.3">
      <c r="A67" s="3"/>
      <c r="B67" s="36" t="s">
        <v>30</v>
      </c>
      <c r="C67" s="50"/>
      <c r="D67" s="51">
        <v>0</v>
      </c>
      <c r="E67" s="51">
        <v>0</v>
      </c>
      <c r="F67" s="51">
        <v>0</v>
      </c>
      <c r="G67" s="51">
        <v>0</v>
      </c>
      <c r="H67" s="51">
        <v>0</v>
      </c>
      <c r="I67" s="51">
        <v>0</v>
      </c>
      <c r="J67" s="51">
        <v>0</v>
      </c>
      <c r="K67" s="51">
        <v>0</v>
      </c>
      <c r="L67" s="51">
        <v>0</v>
      </c>
      <c r="M67" s="51">
        <v>0</v>
      </c>
      <c r="N67" s="51">
        <v>0</v>
      </c>
      <c r="O67" s="52">
        <f t="shared" si="16"/>
        <v>0</v>
      </c>
      <c r="P67" s="11"/>
      <c r="Q67" s="52">
        <f t="shared" si="17"/>
        <v>0</v>
      </c>
      <c r="R67" s="11"/>
      <c r="S67" s="52">
        <f t="shared" si="18"/>
        <v>0</v>
      </c>
    </row>
    <row r="68" spans="1:19" ht="17.25" x14ac:dyDescent="0.3">
      <c r="A68" s="3"/>
      <c r="B68" s="36" t="s">
        <v>31</v>
      </c>
      <c r="C68" s="50"/>
      <c r="D68" s="51">
        <v>0</v>
      </c>
      <c r="E68" s="51">
        <v>0</v>
      </c>
      <c r="F68" s="51">
        <v>0</v>
      </c>
      <c r="G68" s="51">
        <v>0</v>
      </c>
      <c r="H68" s="51">
        <v>0</v>
      </c>
      <c r="I68" s="51">
        <v>0</v>
      </c>
      <c r="J68" s="51">
        <v>0</v>
      </c>
      <c r="K68" s="51">
        <v>0</v>
      </c>
      <c r="L68" s="51">
        <v>0</v>
      </c>
      <c r="M68" s="51">
        <v>0</v>
      </c>
      <c r="N68" s="51">
        <v>0</v>
      </c>
      <c r="O68" s="52">
        <f t="shared" si="16"/>
        <v>0</v>
      </c>
      <c r="P68" s="11"/>
      <c r="Q68" s="52">
        <f t="shared" si="17"/>
        <v>0</v>
      </c>
      <c r="R68" s="11"/>
      <c r="S68" s="52">
        <f t="shared" si="18"/>
        <v>0</v>
      </c>
    </row>
    <row r="69" spans="1:19" ht="17.25" x14ac:dyDescent="0.3">
      <c r="A69" s="3"/>
      <c r="B69" s="36" t="s">
        <v>32</v>
      </c>
      <c r="C69" s="50"/>
      <c r="D69" s="51">
        <v>0</v>
      </c>
      <c r="E69" s="51">
        <v>0</v>
      </c>
      <c r="F69" s="51">
        <v>0</v>
      </c>
      <c r="G69" s="51">
        <v>0</v>
      </c>
      <c r="H69" s="51">
        <v>0</v>
      </c>
      <c r="I69" s="51">
        <v>0</v>
      </c>
      <c r="J69" s="51">
        <v>0</v>
      </c>
      <c r="K69" s="51">
        <v>0</v>
      </c>
      <c r="L69" s="51">
        <v>0</v>
      </c>
      <c r="M69" s="51">
        <v>0</v>
      </c>
      <c r="N69" s="51">
        <v>0</v>
      </c>
      <c r="O69" s="52">
        <f t="shared" si="16"/>
        <v>0</v>
      </c>
      <c r="P69" s="11"/>
      <c r="Q69" s="52">
        <f t="shared" si="17"/>
        <v>0</v>
      </c>
      <c r="R69" s="11"/>
      <c r="S69" s="52">
        <f t="shared" si="18"/>
        <v>0</v>
      </c>
    </row>
    <row r="70" spans="1:19" ht="17.25" x14ac:dyDescent="0.3">
      <c r="A70" s="3"/>
      <c r="B70" s="36"/>
      <c r="C70" s="54">
        <f t="shared" ref="C70:S70" si="19">SUM(C63:C69)</f>
        <v>0</v>
      </c>
      <c r="D70" s="54">
        <f t="shared" si="19"/>
        <v>0</v>
      </c>
      <c r="E70" s="54">
        <f t="shared" si="19"/>
        <v>0</v>
      </c>
      <c r="F70" s="54">
        <f t="shared" si="19"/>
        <v>0</v>
      </c>
      <c r="G70" s="54">
        <f t="shared" si="19"/>
        <v>0</v>
      </c>
      <c r="H70" s="54">
        <f t="shared" si="19"/>
        <v>0</v>
      </c>
      <c r="I70" s="54">
        <f t="shared" si="19"/>
        <v>0</v>
      </c>
      <c r="J70" s="54">
        <f t="shared" si="19"/>
        <v>0</v>
      </c>
      <c r="K70" s="54">
        <f t="shared" si="19"/>
        <v>0</v>
      </c>
      <c r="L70" s="54">
        <f t="shared" si="19"/>
        <v>0</v>
      </c>
      <c r="M70" s="54">
        <f t="shared" si="19"/>
        <v>0</v>
      </c>
      <c r="N70" s="54">
        <f t="shared" si="19"/>
        <v>0</v>
      </c>
      <c r="O70" s="54">
        <f t="shared" si="19"/>
        <v>0</v>
      </c>
      <c r="P70" s="11"/>
      <c r="Q70" s="54">
        <f t="shared" si="19"/>
        <v>0</v>
      </c>
      <c r="R70" s="11"/>
      <c r="S70" s="54">
        <f t="shared" si="19"/>
        <v>0</v>
      </c>
    </row>
    <row r="71" spans="1:19" ht="17.25" x14ac:dyDescent="0.3">
      <c r="A71" s="3"/>
      <c r="B71" s="34" t="s">
        <v>33</v>
      </c>
      <c r="C71" s="37"/>
      <c r="D71" s="37"/>
      <c r="E71" s="37"/>
      <c r="F71" s="37"/>
      <c r="G71" s="37"/>
      <c r="H71" s="37"/>
      <c r="I71" s="37"/>
      <c r="J71" s="37"/>
      <c r="K71" s="37"/>
      <c r="L71" s="37"/>
      <c r="M71" s="37"/>
      <c r="N71" s="37"/>
      <c r="O71" s="14"/>
      <c r="P71" s="11"/>
      <c r="Q71" s="14"/>
      <c r="R71" s="11"/>
      <c r="S71" s="14"/>
    </row>
    <row r="72" spans="1:19" ht="17.25" x14ac:dyDescent="0.3">
      <c r="A72" s="3"/>
      <c r="B72" s="36" t="s">
        <v>34</v>
      </c>
      <c r="C72" s="50"/>
      <c r="D72" s="51">
        <v>0</v>
      </c>
      <c r="E72" s="51">
        <v>0</v>
      </c>
      <c r="F72" s="51">
        <v>0</v>
      </c>
      <c r="G72" s="51">
        <v>0</v>
      </c>
      <c r="H72" s="51">
        <v>0</v>
      </c>
      <c r="I72" s="51">
        <v>0</v>
      </c>
      <c r="J72" s="51">
        <v>0</v>
      </c>
      <c r="K72" s="51">
        <v>0</v>
      </c>
      <c r="L72" s="51">
        <v>0</v>
      </c>
      <c r="M72" s="51">
        <v>0</v>
      </c>
      <c r="N72" s="51">
        <v>0</v>
      </c>
      <c r="O72" s="52">
        <f>SUM(C72:N72)</f>
        <v>0</v>
      </c>
      <c r="P72" s="11"/>
      <c r="Q72" s="52">
        <f>O72/12</f>
        <v>0</v>
      </c>
      <c r="R72" s="11"/>
      <c r="S72" s="52">
        <f>O72/365</f>
        <v>0</v>
      </c>
    </row>
    <row r="73" spans="1:19" ht="17.25" x14ac:dyDescent="0.3">
      <c r="A73" s="3"/>
      <c r="B73" s="36" t="s">
        <v>35</v>
      </c>
      <c r="C73" s="50"/>
      <c r="D73" s="51">
        <v>0</v>
      </c>
      <c r="E73" s="51">
        <v>0</v>
      </c>
      <c r="F73" s="51">
        <v>0</v>
      </c>
      <c r="G73" s="51">
        <v>0</v>
      </c>
      <c r="H73" s="51">
        <v>0</v>
      </c>
      <c r="I73" s="51">
        <v>0</v>
      </c>
      <c r="J73" s="51">
        <v>0</v>
      </c>
      <c r="K73" s="51">
        <v>0</v>
      </c>
      <c r="L73" s="51">
        <v>0</v>
      </c>
      <c r="M73" s="51">
        <v>0</v>
      </c>
      <c r="N73" s="51">
        <v>0</v>
      </c>
      <c r="O73" s="52">
        <f>SUM(C73:N73)</f>
        <v>0</v>
      </c>
      <c r="P73" s="11"/>
      <c r="Q73" s="52">
        <f>O73/12</f>
        <v>0</v>
      </c>
      <c r="R73" s="11"/>
      <c r="S73" s="52">
        <f>O73/365</f>
        <v>0</v>
      </c>
    </row>
    <row r="74" spans="1:19" ht="17.25" x14ac:dyDescent="0.3">
      <c r="A74" s="3"/>
      <c r="B74" s="36" t="s">
        <v>36</v>
      </c>
      <c r="C74" s="50"/>
      <c r="D74" s="51">
        <v>0</v>
      </c>
      <c r="E74" s="51">
        <v>0</v>
      </c>
      <c r="F74" s="51">
        <v>0</v>
      </c>
      <c r="G74" s="51">
        <v>0</v>
      </c>
      <c r="H74" s="51">
        <v>0</v>
      </c>
      <c r="I74" s="51">
        <v>0</v>
      </c>
      <c r="J74" s="51">
        <v>0</v>
      </c>
      <c r="K74" s="51">
        <v>0</v>
      </c>
      <c r="L74" s="51">
        <v>0</v>
      </c>
      <c r="M74" s="51">
        <v>0</v>
      </c>
      <c r="N74" s="51">
        <v>0</v>
      </c>
      <c r="O74" s="52">
        <f>SUM(C74:N74)</f>
        <v>0</v>
      </c>
      <c r="P74" s="11"/>
      <c r="Q74" s="52">
        <f>O74/12</f>
        <v>0</v>
      </c>
      <c r="R74" s="11"/>
      <c r="S74" s="52">
        <f>O74/365</f>
        <v>0</v>
      </c>
    </row>
    <row r="75" spans="1:19" ht="17.25" x14ac:dyDescent="0.3">
      <c r="A75" s="3"/>
      <c r="B75" s="36" t="s">
        <v>37</v>
      </c>
      <c r="C75" s="50"/>
      <c r="D75" s="51">
        <v>0</v>
      </c>
      <c r="E75" s="51">
        <v>0</v>
      </c>
      <c r="F75" s="51">
        <v>0</v>
      </c>
      <c r="G75" s="51">
        <v>0</v>
      </c>
      <c r="H75" s="51">
        <v>0</v>
      </c>
      <c r="I75" s="51">
        <v>0</v>
      </c>
      <c r="J75" s="51">
        <v>0</v>
      </c>
      <c r="K75" s="51">
        <v>0</v>
      </c>
      <c r="L75" s="51">
        <v>0</v>
      </c>
      <c r="M75" s="51">
        <v>0</v>
      </c>
      <c r="N75" s="51">
        <v>0</v>
      </c>
      <c r="O75" s="52">
        <f>SUM(C75:N75)</f>
        <v>0</v>
      </c>
      <c r="P75" s="11"/>
      <c r="Q75" s="52">
        <f>O75/12</f>
        <v>0</v>
      </c>
      <c r="R75" s="11"/>
      <c r="S75" s="52">
        <f>O75/365</f>
        <v>0</v>
      </c>
    </row>
    <row r="76" spans="1:19" ht="17.25" x14ac:dyDescent="0.3">
      <c r="A76" s="3"/>
      <c r="B76" s="36"/>
      <c r="C76" s="54">
        <f t="shared" ref="C76:S76" si="20">SUM(C72:C75)</f>
        <v>0</v>
      </c>
      <c r="D76" s="54">
        <f t="shared" si="20"/>
        <v>0</v>
      </c>
      <c r="E76" s="54">
        <f t="shared" si="20"/>
        <v>0</v>
      </c>
      <c r="F76" s="54">
        <f t="shared" si="20"/>
        <v>0</v>
      </c>
      <c r="G76" s="54">
        <f t="shared" si="20"/>
        <v>0</v>
      </c>
      <c r="H76" s="54">
        <f t="shared" si="20"/>
        <v>0</v>
      </c>
      <c r="I76" s="54">
        <f t="shared" si="20"/>
        <v>0</v>
      </c>
      <c r="J76" s="54">
        <f t="shared" si="20"/>
        <v>0</v>
      </c>
      <c r="K76" s="54">
        <f t="shared" si="20"/>
        <v>0</v>
      </c>
      <c r="L76" s="54">
        <f t="shared" si="20"/>
        <v>0</v>
      </c>
      <c r="M76" s="54">
        <f t="shared" si="20"/>
        <v>0</v>
      </c>
      <c r="N76" s="54">
        <f t="shared" si="20"/>
        <v>0</v>
      </c>
      <c r="O76" s="54">
        <f t="shared" si="20"/>
        <v>0</v>
      </c>
      <c r="P76" s="11"/>
      <c r="Q76" s="54">
        <f t="shared" si="20"/>
        <v>0</v>
      </c>
      <c r="R76" s="11"/>
      <c r="S76" s="54">
        <f t="shared" si="20"/>
        <v>0</v>
      </c>
    </row>
    <row r="77" spans="1:19" ht="17.25" x14ac:dyDescent="0.3">
      <c r="A77" s="3"/>
      <c r="B77" s="34" t="s">
        <v>38</v>
      </c>
      <c r="C77" s="35"/>
      <c r="D77" s="35"/>
      <c r="E77" s="35"/>
      <c r="F77" s="35"/>
      <c r="G77" s="35"/>
      <c r="H77" s="35"/>
      <c r="I77" s="35"/>
      <c r="J77" s="35"/>
      <c r="K77" s="35"/>
      <c r="L77" s="35"/>
      <c r="M77" s="35"/>
      <c r="N77" s="35"/>
      <c r="O77" s="14"/>
      <c r="P77" s="11"/>
      <c r="Q77" s="14"/>
      <c r="R77" s="11"/>
      <c r="S77" s="14"/>
    </row>
    <row r="78" spans="1:19" ht="17.25" x14ac:dyDescent="0.3">
      <c r="A78" s="3"/>
      <c r="B78" s="36" t="s">
        <v>39</v>
      </c>
      <c r="C78" s="50"/>
      <c r="D78" s="51">
        <v>0</v>
      </c>
      <c r="E78" s="51">
        <v>0</v>
      </c>
      <c r="F78" s="51">
        <v>0</v>
      </c>
      <c r="G78" s="51">
        <v>0</v>
      </c>
      <c r="H78" s="51">
        <v>0</v>
      </c>
      <c r="I78" s="51">
        <v>0</v>
      </c>
      <c r="J78" s="51">
        <v>0</v>
      </c>
      <c r="K78" s="51">
        <v>0</v>
      </c>
      <c r="L78" s="51">
        <v>0</v>
      </c>
      <c r="M78" s="51">
        <v>0</v>
      </c>
      <c r="N78" s="51">
        <v>0</v>
      </c>
      <c r="O78" s="52">
        <f t="shared" ref="O78:O83" si="21">SUM(C78:N78)</f>
        <v>0</v>
      </c>
      <c r="P78" s="11"/>
      <c r="Q78" s="52">
        <f t="shared" ref="Q78:Q83" si="22">O78/12</f>
        <v>0</v>
      </c>
      <c r="R78" s="11"/>
      <c r="S78" s="52">
        <f t="shared" ref="S78:S83" si="23">O78/365</f>
        <v>0</v>
      </c>
    </row>
    <row r="79" spans="1:19" ht="17.25" x14ac:dyDescent="0.3">
      <c r="A79" s="3"/>
      <c r="B79" s="36" t="s">
        <v>40</v>
      </c>
      <c r="C79" s="50"/>
      <c r="D79" s="51">
        <v>0</v>
      </c>
      <c r="E79" s="51">
        <v>0</v>
      </c>
      <c r="F79" s="51">
        <v>0</v>
      </c>
      <c r="G79" s="51">
        <v>0</v>
      </c>
      <c r="H79" s="51">
        <v>0</v>
      </c>
      <c r="I79" s="51">
        <v>0</v>
      </c>
      <c r="J79" s="51">
        <v>0</v>
      </c>
      <c r="K79" s="51">
        <v>0</v>
      </c>
      <c r="L79" s="51">
        <v>0</v>
      </c>
      <c r="M79" s="51">
        <v>0</v>
      </c>
      <c r="N79" s="51">
        <v>0</v>
      </c>
      <c r="O79" s="52">
        <f t="shared" si="21"/>
        <v>0</v>
      </c>
      <c r="P79" s="11"/>
      <c r="Q79" s="52">
        <f t="shared" si="22"/>
        <v>0</v>
      </c>
      <c r="R79" s="11"/>
      <c r="S79" s="52">
        <f t="shared" si="23"/>
        <v>0</v>
      </c>
    </row>
    <row r="80" spans="1:19" ht="17.25" x14ac:dyDescent="0.3">
      <c r="A80" s="3"/>
      <c r="B80" s="36" t="s">
        <v>41</v>
      </c>
      <c r="C80" s="50"/>
      <c r="D80" s="51">
        <v>0</v>
      </c>
      <c r="E80" s="51">
        <v>0</v>
      </c>
      <c r="F80" s="51">
        <v>0</v>
      </c>
      <c r="G80" s="51">
        <v>0</v>
      </c>
      <c r="H80" s="51">
        <v>0</v>
      </c>
      <c r="I80" s="51">
        <v>0</v>
      </c>
      <c r="J80" s="51">
        <v>0</v>
      </c>
      <c r="K80" s="51">
        <v>0</v>
      </c>
      <c r="L80" s="51">
        <v>0</v>
      </c>
      <c r="M80" s="51">
        <v>0</v>
      </c>
      <c r="N80" s="51">
        <v>0</v>
      </c>
      <c r="O80" s="52">
        <f t="shared" si="21"/>
        <v>0</v>
      </c>
      <c r="P80" s="11"/>
      <c r="Q80" s="52">
        <f t="shared" si="22"/>
        <v>0</v>
      </c>
      <c r="R80" s="11"/>
      <c r="S80" s="52">
        <f t="shared" si="23"/>
        <v>0</v>
      </c>
    </row>
    <row r="81" spans="1:19" ht="17.25" x14ac:dyDescent="0.3">
      <c r="A81" s="3"/>
      <c r="B81" s="36" t="s">
        <v>42</v>
      </c>
      <c r="C81" s="50"/>
      <c r="D81" s="51">
        <v>0</v>
      </c>
      <c r="E81" s="51">
        <v>0</v>
      </c>
      <c r="F81" s="51">
        <v>0</v>
      </c>
      <c r="G81" s="51">
        <v>0</v>
      </c>
      <c r="H81" s="51">
        <v>0</v>
      </c>
      <c r="I81" s="51">
        <v>0</v>
      </c>
      <c r="J81" s="51">
        <v>0</v>
      </c>
      <c r="K81" s="51">
        <v>0</v>
      </c>
      <c r="L81" s="51">
        <v>0</v>
      </c>
      <c r="M81" s="51">
        <v>0</v>
      </c>
      <c r="N81" s="51">
        <v>0</v>
      </c>
      <c r="O81" s="52">
        <f t="shared" si="21"/>
        <v>0</v>
      </c>
      <c r="P81" s="11"/>
      <c r="Q81" s="52">
        <f t="shared" si="22"/>
        <v>0</v>
      </c>
      <c r="R81" s="11"/>
      <c r="S81" s="52">
        <f t="shared" si="23"/>
        <v>0</v>
      </c>
    </row>
    <row r="82" spans="1:19" ht="17.25" x14ac:dyDescent="0.3">
      <c r="A82" s="3"/>
      <c r="B82" s="36" t="s">
        <v>43</v>
      </c>
      <c r="C82" s="50"/>
      <c r="D82" s="51">
        <v>0</v>
      </c>
      <c r="E82" s="51">
        <v>0</v>
      </c>
      <c r="F82" s="51">
        <v>0</v>
      </c>
      <c r="G82" s="51">
        <v>0</v>
      </c>
      <c r="H82" s="51">
        <v>0</v>
      </c>
      <c r="I82" s="51">
        <v>0</v>
      </c>
      <c r="J82" s="51">
        <v>0</v>
      </c>
      <c r="K82" s="51">
        <v>0</v>
      </c>
      <c r="L82" s="51">
        <v>0</v>
      </c>
      <c r="M82" s="51">
        <v>0</v>
      </c>
      <c r="N82" s="51">
        <v>0</v>
      </c>
      <c r="O82" s="52">
        <f t="shared" si="21"/>
        <v>0</v>
      </c>
      <c r="P82" s="11"/>
      <c r="Q82" s="52">
        <f t="shared" si="22"/>
        <v>0</v>
      </c>
      <c r="R82" s="11"/>
      <c r="S82" s="52">
        <f t="shared" si="23"/>
        <v>0</v>
      </c>
    </row>
    <row r="83" spans="1:19" ht="17.25" x14ac:dyDescent="0.3">
      <c r="A83" s="3"/>
      <c r="B83" s="36" t="s">
        <v>44</v>
      </c>
      <c r="C83" s="50">
        <v>0</v>
      </c>
      <c r="D83" s="51">
        <v>0</v>
      </c>
      <c r="E83" s="51">
        <v>0</v>
      </c>
      <c r="F83" s="51">
        <v>0</v>
      </c>
      <c r="G83" s="51">
        <v>0</v>
      </c>
      <c r="H83" s="51">
        <v>0</v>
      </c>
      <c r="I83" s="51">
        <v>0</v>
      </c>
      <c r="J83" s="51">
        <v>0</v>
      </c>
      <c r="K83" s="51">
        <v>0</v>
      </c>
      <c r="L83" s="51">
        <v>0</v>
      </c>
      <c r="M83" s="51">
        <v>0</v>
      </c>
      <c r="N83" s="51">
        <v>0</v>
      </c>
      <c r="O83" s="52">
        <f t="shared" si="21"/>
        <v>0</v>
      </c>
      <c r="P83" s="11"/>
      <c r="Q83" s="52">
        <f t="shared" si="22"/>
        <v>0</v>
      </c>
      <c r="R83" s="11"/>
      <c r="S83" s="52">
        <f t="shared" si="23"/>
        <v>0</v>
      </c>
    </row>
    <row r="84" spans="1:19" ht="17.25" x14ac:dyDescent="0.3">
      <c r="A84" s="3"/>
      <c r="B84" s="36"/>
      <c r="C84" s="55">
        <f t="shared" ref="C84:S84" si="24">SUM(C78:C83)</f>
        <v>0</v>
      </c>
      <c r="D84" s="55">
        <f t="shared" si="24"/>
        <v>0</v>
      </c>
      <c r="E84" s="55">
        <f t="shared" si="24"/>
        <v>0</v>
      </c>
      <c r="F84" s="55">
        <f t="shared" si="24"/>
        <v>0</v>
      </c>
      <c r="G84" s="55">
        <f t="shared" si="24"/>
        <v>0</v>
      </c>
      <c r="H84" s="55">
        <f t="shared" si="24"/>
        <v>0</v>
      </c>
      <c r="I84" s="55">
        <f t="shared" si="24"/>
        <v>0</v>
      </c>
      <c r="J84" s="55">
        <f t="shared" si="24"/>
        <v>0</v>
      </c>
      <c r="K84" s="55">
        <f t="shared" si="24"/>
        <v>0</v>
      </c>
      <c r="L84" s="55">
        <f t="shared" si="24"/>
        <v>0</v>
      </c>
      <c r="M84" s="55">
        <f t="shared" si="24"/>
        <v>0</v>
      </c>
      <c r="N84" s="55">
        <f t="shared" si="24"/>
        <v>0</v>
      </c>
      <c r="O84" s="55">
        <f t="shared" si="24"/>
        <v>0</v>
      </c>
      <c r="P84" s="11"/>
      <c r="Q84" s="55">
        <f t="shared" si="24"/>
        <v>0</v>
      </c>
      <c r="R84" s="11"/>
      <c r="S84" s="55">
        <f t="shared" si="24"/>
        <v>0</v>
      </c>
    </row>
    <row r="85" spans="1:19" ht="17.25" x14ac:dyDescent="0.3">
      <c r="A85" s="3"/>
      <c r="B85" s="34" t="s">
        <v>45</v>
      </c>
      <c r="C85" s="35"/>
      <c r="D85" s="35"/>
      <c r="E85" s="35"/>
      <c r="F85" s="35"/>
      <c r="G85" s="35"/>
      <c r="H85" s="35"/>
      <c r="I85" s="35"/>
      <c r="J85" s="35"/>
      <c r="K85" s="35"/>
      <c r="L85" s="35"/>
      <c r="M85" s="35"/>
      <c r="N85" s="35"/>
      <c r="O85" s="14"/>
      <c r="P85" s="11"/>
      <c r="Q85" s="14"/>
      <c r="R85" s="11"/>
      <c r="S85" s="14"/>
    </row>
    <row r="86" spans="1:19" ht="17.25" x14ac:dyDescent="0.3">
      <c r="A86" s="3"/>
      <c r="B86" s="36" t="s">
        <v>46</v>
      </c>
      <c r="C86" s="50"/>
      <c r="D86" s="51">
        <v>0</v>
      </c>
      <c r="E86" s="51">
        <v>0</v>
      </c>
      <c r="F86" s="51">
        <v>0</v>
      </c>
      <c r="G86" s="51">
        <v>0</v>
      </c>
      <c r="H86" s="51">
        <v>0</v>
      </c>
      <c r="I86" s="51">
        <v>0</v>
      </c>
      <c r="J86" s="51">
        <v>0</v>
      </c>
      <c r="K86" s="51">
        <v>0</v>
      </c>
      <c r="L86" s="51">
        <v>0</v>
      </c>
      <c r="M86" s="51">
        <v>0</v>
      </c>
      <c r="N86" s="51">
        <v>0</v>
      </c>
      <c r="O86" s="52">
        <f t="shared" ref="O86:O91" si="25">SUM(C86:N86)</f>
        <v>0</v>
      </c>
      <c r="P86" s="11"/>
      <c r="Q86" s="52">
        <f t="shared" ref="Q86:Q91" si="26">O86/12</f>
        <v>0</v>
      </c>
      <c r="R86" s="11"/>
      <c r="S86" s="52">
        <f t="shared" ref="S86:S91" si="27">O86/365</f>
        <v>0</v>
      </c>
    </row>
    <row r="87" spans="1:19" ht="17.25" x14ac:dyDescent="0.3">
      <c r="A87" s="3"/>
      <c r="B87" s="36" t="s">
        <v>53</v>
      </c>
      <c r="C87" s="50"/>
      <c r="D87" s="51">
        <v>0</v>
      </c>
      <c r="E87" s="51">
        <v>0</v>
      </c>
      <c r="F87" s="51">
        <v>0</v>
      </c>
      <c r="G87" s="51">
        <v>0</v>
      </c>
      <c r="H87" s="51">
        <v>0</v>
      </c>
      <c r="I87" s="51">
        <v>0</v>
      </c>
      <c r="J87" s="51">
        <v>0</v>
      </c>
      <c r="K87" s="51">
        <v>0</v>
      </c>
      <c r="L87" s="51">
        <v>0</v>
      </c>
      <c r="M87" s="51">
        <v>0</v>
      </c>
      <c r="N87" s="51">
        <v>0</v>
      </c>
      <c r="O87" s="52">
        <f t="shared" si="25"/>
        <v>0</v>
      </c>
      <c r="P87" s="11"/>
      <c r="Q87" s="52">
        <f t="shared" si="26"/>
        <v>0</v>
      </c>
      <c r="R87" s="11"/>
      <c r="S87" s="52">
        <f t="shared" si="27"/>
        <v>0</v>
      </c>
    </row>
    <row r="88" spans="1:19" ht="17.25" x14ac:dyDescent="0.3">
      <c r="A88" s="3"/>
      <c r="B88" s="36" t="s">
        <v>47</v>
      </c>
      <c r="C88" s="50"/>
      <c r="D88" s="51">
        <v>0</v>
      </c>
      <c r="E88" s="51">
        <v>0</v>
      </c>
      <c r="F88" s="51">
        <v>0</v>
      </c>
      <c r="G88" s="51">
        <v>0</v>
      </c>
      <c r="H88" s="51">
        <v>0</v>
      </c>
      <c r="I88" s="51">
        <v>0</v>
      </c>
      <c r="J88" s="51">
        <v>0</v>
      </c>
      <c r="K88" s="51">
        <v>0</v>
      </c>
      <c r="L88" s="51">
        <v>0</v>
      </c>
      <c r="M88" s="51">
        <v>0</v>
      </c>
      <c r="N88" s="51">
        <v>0</v>
      </c>
      <c r="O88" s="52">
        <f t="shared" si="25"/>
        <v>0</v>
      </c>
      <c r="P88" s="11"/>
      <c r="Q88" s="52">
        <f t="shared" si="26"/>
        <v>0</v>
      </c>
      <c r="R88" s="11"/>
      <c r="S88" s="52">
        <f t="shared" si="27"/>
        <v>0</v>
      </c>
    </row>
    <row r="89" spans="1:19" ht="17.25" x14ac:dyDescent="0.3">
      <c r="A89" s="3"/>
      <c r="B89" s="36" t="s">
        <v>48</v>
      </c>
      <c r="C89" s="50"/>
      <c r="D89" s="51">
        <v>0</v>
      </c>
      <c r="E89" s="51">
        <v>0</v>
      </c>
      <c r="F89" s="51">
        <v>0</v>
      </c>
      <c r="G89" s="51">
        <v>0</v>
      </c>
      <c r="H89" s="51">
        <v>0</v>
      </c>
      <c r="I89" s="51">
        <v>0</v>
      </c>
      <c r="J89" s="51">
        <v>0</v>
      </c>
      <c r="K89" s="51">
        <v>0</v>
      </c>
      <c r="L89" s="51">
        <v>0</v>
      </c>
      <c r="M89" s="51">
        <v>0</v>
      </c>
      <c r="N89" s="51">
        <v>0</v>
      </c>
      <c r="O89" s="52">
        <f t="shared" si="25"/>
        <v>0</v>
      </c>
      <c r="P89" s="11"/>
      <c r="Q89" s="52">
        <f t="shared" si="26"/>
        <v>0</v>
      </c>
      <c r="R89" s="11"/>
      <c r="S89" s="52">
        <f t="shared" si="27"/>
        <v>0</v>
      </c>
    </row>
    <row r="90" spans="1:19" ht="17.25" x14ac:dyDescent="0.3">
      <c r="A90" s="3"/>
      <c r="B90" s="36" t="s">
        <v>49</v>
      </c>
      <c r="C90" s="50"/>
      <c r="D90" s="51">
        <v>0</v>
      </c>
      <c r="E90" s="51">
        <v>0</v>
      </c>
      <c r="F90" s="51">
        <v>0</v>
      </c>
      <c r="G90" s="51">
        <v>0</v>
      </c>
      <c r="H90" s="51">
        <v>0</v>
      </c>
      <c r="I90" s="51">
        <v>0</v>
      </c>
      <c r="J90" s="51">
        <v>0</v>
      </c>
      <c r="K90" s="51">
        <v>0</v>
      </c>
      <c r="L90" s="51">
        <v>0</v>
      </c>
      <c r="M90" s="51">
        <v>0</v>
      </c>
      <c r="N90" s="51">
        <v>0</v>
      </c>
      <c r="O90" s="52">
        <f t="shared" si="25"/>
        <v>0</v>
      </c>
      <c r="P90" s="11"/>
      <c r="Q90" s="52">
        <f t="shared" si="26"/>
        <v>0</v>
      </c>
      <c r="R90" s="11"/>
      <c r="S90" s="52">
        <f t="shared" si="27"/>
        <v>0</v>
      </c>
    </row>
    <row r="91" spans="1:19" ht="17.25" x14ac:dyDescent="0.3">
      <c r="A91" s="3"/>
      <c r="B91" s="36" t="s">
        <v>50</v>
      </c>
      <c r="C91" s="50"/>
      <c r="D91" s="51">
        <v>0</v>
      </c>
      <c r="E91" s="51">
        <v>0</v>
      </c>
      <c r="F91" s="51">
        <v>0</v>
      </c>
      <c r="G91" s="51">
        <v>0</v>
      </c>
      <c r="H91" s="51">
        <v>0</v>
      </c>
      <c r="I91" s="51">
        <v>0</v>
      </c>
      <c r="J91" s="51">
        <v>0</v>
      </c>
      <c r="K91" s="51">
        <v>0</v>
      </c>
      <c r="L91" s="51">
        <v>0</v>
      </c>
      <c r="M91" s="51">
        <v>0</v>
      </c>
      <c r="N91" s="51">
        <v>0</v>
      </c>
      <c r="O91" s="52">
        <f t="shared" si="25"/>
        <v>0</v>
      </c>
      <c r="P91" s="11"/>
      <c r="Q91" s="52">
        <f t="shared" si="26"/>
        <v>0</v>
      </c>
      <c r="R91" s="11"/>
      <c r="S91" s="52">
        <f t="shared" si="27"/>
        <v>0</v>
      </c>
    </row>
    <row r="92" spans="1:19" ht="17.25" x14ac:dyDescent="0.3">
      <c r="A92" s="3"/>
      <c r="B92" s="36"/>
      <c r="C92" s="55"/>
      <c r="D92" s="55">
        <f t="shared" ref="D92:S92" si="28">SUM(D86:D91)</f>
        <v>0</v>
      </c>
      <c r="E92" s="55">
        <f t="shared" si="28"/>
        <v>0</v>
      </c>
      <c r="F92" s="55">
        <f t="shared" si="28"/>
        <v>0</v>
      </c>
      <c r="G92" s="55">
        <f t="shared" si="28"/>
        <v>0</v>
      </c>
      <c r="H92" s="55">
        <f t="shared" si="28"/>
        <v>0</v>
      </c>
      <c r="I92" s="55">
        <f t="shared" si="28"/>
        <v>0</v>
      </c>
      <c r="J92" s="55">
        <f t="shared" si="28"/>
        <v>0</v>
      </c>
      <c r="K92" s="55">
        <f t="shared" si="28"/>
        <v>0</v>
      </c>
      <c r="L92" s="55">
        <f t="shared" si="28"/>
        <v>0</v>
      </c>
      <c r="M92" s="55">
        <f t="shared" si="28"/>
        <v>0</v>
      </c>
      <c r="N92" s="55">
        <f t="shared" si="28"/>
        <v>0</v>
      </c>
      <c r="O92" s="55">
        <f t="shared" si="28"/>
        <v>0</v>
      </c>
      <c r="P92" s="11"/>
      <c r="Q92" s="55">
        <f t="shared" si="28"/>
        <v>0</v>
      </c>
      <c r="R92" s="11"/>
      <c r="S92" s="55">
        <f t="shared" si="28"/>
        <v>0</v>
      </c>
    </row>
    <row r="93" spans="1:19" s="6" customFormat="1" ht="20.100000000000001" customHeight="1" x14ac:dyDescent="0.3">
      <c r="A93" s="5"/>
      <c r="B93" s="38" t="s">
        <v>0</v>
      </c>
      <c r="C93" s="56">
        <f t="shared" ref="C93:S93" si="29">C92+C84+C76+C70+C61+C53</f>
        <v>78656858</v>
      </c>
      <c r="D93" s="56">
        <f t="shared" si="29"/>
        <v>234760960</v>
      </c>
      <c r="E93" s="56">
        <f t="shared" si="29"/>
        <v>214305520</v>
      </c>
      <c r="F93" s="56">
        <f t="shared" si="29"/>
        <v>139769585</v>
      </c>
      <c r="G93" s="56">
        <f t="shared" si="29"/>
        <v>220054946</v>
      </c>
      <c r="H93" s="56">
        <f t="shared" si="29"/>
        <v>199326095</v>
      </c>
      <c r="I93" s="56">
        <f t="shared" si="29"/>
        <v>0</v>
      </c>
      <c r="J93" s="56">
        <f t="shared" si="29"/>
        <v>0</v>
      </c>
      <c r="K93" s="56">
        <f t="shared" si="29"/>
        <v>0</v>
      </c>
      <c r="L93" s="56">
        <f t="shared" si="29"/>
        <v>0</v>
      </c>
      <c r="M93" s="56">
        <f t="shared" si="29"/>
        <v>0</v>
      </c>
      <c r="N93" s="56">
        <f t="shared" si="29"/>
        <v>0</v>
      </c>
      <c r="O93" s="56">
        <f t="shared" si="29"/>
        <v>1086873964</v>
      </c>
      <c r="P93" s="21"/>
      <c r="Q93" s="56">
        <f>Q92+Q84+Q76+Q70+Q61+Q53</f>
        <v>181145660.66666666</v>
      </c>
      <c r="R93" s="21"/>
      <c r="S93" s="56">
        <f t="shared" si="29"/>
        <v>5955473.7753424663</v>
      </c>
    </row>
    <row r="94" spans="1:19" ht="17.25" x14ac:dyDescent="0.3">
      <c r="A94" s="3"/>
      <c r="B94" s="9"/>
      <c r="C94" s="7"/>
      <c r="D94" s="7"/>
      <c r="E94" s="7"/>
      <c r="F94" s="7"/>
      <c r="G94" s="7"/>
      <c r="H94" s="7"/>
      <c r="I94" s="7"/>
      <c r="J94" s="7"/>
      <c r="K94" s="7"/>
      <c r="L94" s="7"/>
      <c r="M94" s="7"/>
      <c r="N94" s="7"/>
      <c r="O94" s="7"/>
      <c r="P94" s="3"/>
    </row>
    <row r="99" ht="63" customHeight="1" x14ac:dyDescent="0.25"/>
  </sheetData>
  <mergeCells count="10">
    <mergeCell ref="F9:G10"/>
    <mergeCell ref="H9:I10"/>
    <mergeCell ref="C19:N19"/>
    <mergeCell ref="F4:I4"/>
    <mergeCell ref="F5:G5"/>
    <mergeCell ref="H5:I5"/>
    <mergeCell ref="F6:G6"/>
    <mergeCell ref="H6:I6"/>
    <mergeCell ref="F7:G7"/>
    <mergeCell ref="H7:I7"/>
  </mergeCells>
  <pageMargins left="0.75" right="0.75" top="1" bottom="1" header="0.5" footer="0.5"/>
  <pageSetup orientation="landscape" horizontalDpi="4294967292" verticalDpi="4294967292"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Sheet2 (2)</vt:lpstr>
      <vt:lpstr>Cash Flow</vt:lpstr>
      <vt:lpstr>Cash Flow (2)</vt:lpstr>
      <vt:lpstr>Sheet2</vt:lpstr>
      <vt:lpstr>Cash Flow (3)</vt:lpstr>
      <vt:lpstr>Personal Cash Flow Example (2)</vt:lpstr>
      <vt:lpstr>'Cash Flow'!Print_Area</vt:lpstr>
      <vt:lpstr>'Cash Flow (2)'!Print_Area</vt:lpstr>
      <vt:lpstr>'Cash Flow (3)'!Print_Area</vt:lpstr>
    </vt:vector>
  </TitlesOfParts>
  <Company>Smartsheet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HAFIZ</cp:lastModifiedBy>
  <cp:lastPrinted>2023-08-08T07:06:48Z</cp:lastPrinted>
  <dcterms:created xsi:type="dcterms:W3CDTF">2015-09-11T21:09:00Z</dcterms:created>
  <dcterms:modified xsi:type="dcterms:W3CDTF">2023-08-08T12:47:44Z</dcterms:modified>
</cp:coreProperties>
</file>