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trlProps/ctrlProp2.xml" ContentType="application/vnd.ms-excel.controlproperties+xml"/>
  <Override PartName="/xl/drawings/drawing6.xml" ContentType="application/vnd.openxmlformats-officedocument.drawing+xml"/>
  <Override PartName="/xl/ctrlProps/ctrlProp3.xml" ContentType="application/vnd.ms-excel.controlproperties+xml"/>
  <Override PartName="/xl/drawings/drawing7.xml" ContentType="application/vnd.openxmlformats-officedocument.drawing+xml"/>
  <Override PartName="/xl/ctrlProps/ctrlProp4.xml" ContentType="application/vnd.ms-excel.controlproperties+xml"/>
  <Override PartName="/xl/comments1.xml" ContentType="application/vnd.openxmlformats-officedocument.spreadsheetml.comments+xml"/>
  <Override PartName="/xl/drawings/drawing8.xml" ContentType="application/vnd.openxmlformats-officedocument.drawing+xml"/>
  <Override PartName="/xl/ctrlProps/ctrlProp5.xml" ContentType="application/vnd.ms-excel.controlproperties+xml"/>
  <Override PartName="/xl/drawings/drawing9.xml" ContentType="application/vnd.openxmlformats-officedocument.drawing+xml"/>
  <Override PartName="/xl/ctrlProps/ctrlProp6.xml" ContentType="application/vnd.ms-excel.controlproperties+xml"/>
  <Override PartName="/xl/drawings/drawing10.xml" ContentType="application/vnd.openxmlformats-officedocument.drawing+xml"/>
  <Override PartName="/xl/ctrlProps/ctrlProp7.xml" ContentType="application/vnd.ms-excel.controlproperties+xml"/>
  <Override PartName="/xl/drawings/drawing11.xml" ContentType="application/vnd.openxmlformats-officedocument.drawing+xml"/>
  <Override PartName="/xl/ctrlProps/ctrlProp8.xml" ContentType="application/vnd.ms-excel.controlpropertie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2.xml" ContentType="application/vnd.openxmlformats-officedocument.drawing+xml"/>
  <Override PartName="/xl/ctrlProps/ctrlProp9.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hp\Documents\10Alytics\"/>
    </mc:Choice>
  </mc:AlternateContent>
  <xr:revisionPtr revIDLastSave="0" documentId="13_ncr:1_{010473F6-C8F8-47F0-84C8-FAF017261D3C}" xr6:coauthVersionLast="47" xr6:coauthVersionMax="47" xr10:uidLastSave="{00000000-0000-0000-0000-000000000000}"/>
  <bookViews>
    <workbookView xWindow="-110" yWindow="-110" windowWidth="19420" windowHeight="10420" xr2:uid="{6AB85ECF-B444-4481-B32A-431605B1BF41}"/>
  </bookViews>
  <sheets>
    <sheet name="Cover Page" sheetId="1" r:id="rId1"/>
    <sheet name="Dashboard" sheetId="2" r:id="rId2"/>
    <sheet name="Financial Statements" sheetId="6" r:id="rId3"/>
    <sheet name="Valuation" sheetId="7" r:id="rId4"/>
    <sheet name="Assumptions" sheetId="4" r:id="rId5"/>
    <sheet name="Workings" sheetId="3" r:id="rId6"/>
    <sheet name="CAPEX" sheetId="5" r:id="rId7"/>
    <sheet name="Analysis" sheetId="8" r:id="rId8"/>
    <sheet name="Dataset" sheetId="9" r:id="rId9"/>
    <sheet name="Pivot" sheetId="12" r:id="rId10"/>
  </sheets>
  <definedNames>
    <definedName name="Slicer_Year">#N/A</definedName>
  </definedNames>
  <calcPr calcId="191029"/>
  <pivotCaches>
    <pivotCache cacheId="10"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9" i="12" l="1"/>
  <c r="G39" i="12"/>
  <c r="K5" i="8" l="1"/>
  <c r="L5" i="8" s="1"/>
  <c r="M5" i="8" s="1"/>
  <c r="N5" i="8" s="1"/>
  <c r="I22" i="7"/>
  <c r="K4" i="7"/>
  <c r="L4" i="7" s="1"/>
  <c r="M4" i="7" s="1"/>
  <c r="N4" i="7" s="1"/>
  <c r="J140" i="3"/>
  <c r="J141" i="3" s="1"/>
  <c r="J142" i="3" s="1"/>
  <c r="J137" i="3"/>
  <c r="J136" i="3"/>
  <c r="K5" i="7"/>
  <c r="L5" i="7" s="1"/>
  <c r="M5" i="7" s="1"/>
  <c r="N5" i="7" s="1"/>
  <c r="J38" i="3"/>
  <c r="J37" i="3"/>
  <c r="J36" i="3"/>
  <c r="K24" i="3"/>
  <c r="L24" i="3"/>
  <c r="M24" i="3"/>
  <c r="N24" i="3"/>
  <c r="J24" i="3"/>
  <c r="K10" i="3"/>
  <c r="H13" i="9" s="1"/>
  <c r="L10" i="3"/>
  <c r="H16" i="9" s="1"/>
  <c r="M10" i="3"/>
  <c r="H19" i="9" s="1"/>
  <c r="N10" i="3"/>
  <c r="H22" i="9" s="1"/>
  <c r="J10" i="3"/>
  <c r="H10" i="9" s="1"/>
  <c r="K9" i="3"/>
  <c r="H12" i="9" s="1"/>
  <c r="L9" i="3"/>
  <c r="H15" i="9" s="1"/>
  <c r="M9" i="3"/>
  <c r="H18" i="9" s="1"/>
  <c r="N9" i="3"/>
  <c r="H21" i="9" s="1"/>
  <c r="J9" i="3"/>
  <c r="H9" i="9" s="1"/>
  <c r="K8" i="3"/>
  <c r="H11" i="9" s="1"/>
  <c r="L8" i="3"/>
  <c r="H14" i="9" s="1"/>
  <c r="M8" i="3"/>
  <c r="H17" i="9" s="1"/>
  <c r="N8" i="3"/>
  <c r="H20" i="9" s="1"/>
  <c r="J8" i="3"/>
  <c r="H8" i="9" s="1"/>
  <c r="I23" i="4"/>
  <c r="I21" i="4"/>
  <c r="H39" i="12"/>
  <c r="J105" i="6" l="1"/>
  <c r="J131" i="3" l="1"/>
  <c r="J98" i="6" s="1"/>
  <c r="J129" i="3"/>
  <c r="J120" i="3"/>
  <c r="J89" i="6" s="1"/>
  <c r="J118" i="3"/>
  <c r="M104" i="3" l="1"/>
  <c r="N104" i="3"/>
  <c r="K104" i="3"/>
  <c r="L104" i="3"/>
  <c r="J103" i="3"/>
  <c r="J60" i="5" l="1"/>
  <c r="J61" i="5"/>
  <c r="J62" i="5"/>
  <c r="J59" i="5"/>
  <c r="J39" i="5"/>
  <c r="J40" i="5"/>
  <c r="J41" i="5"/>
  <c r="J38" i="5"/>
  <c r="J29" i="5"/>
  <c r="J48" i="5" s="1"/>
  <c r="J60" i="3" s="1"/>
  <c r="H30" i="5"/>
  <c r="J22" i="5"/>
  <c r="J47" i="5" s="1"/>
  <c r="J59" i="3" s="1"/>
  <c r="H23" i="5"/>
  <c r="J15" i="5"/>
  <c r="H16" i="5"/>
  <c r="H9" i="5"/>
  <c r="J8" i="5"/>
  <c r="J45" i="5" s="1"/>
  <c r="J57" i="3" s="1"/>
  <c r="J32" i="5" l="1"/>
  <c r="J69" i="5" s="1"/>
  <c r="J68" i="3" s="1"/>
  <c r="J54" i="5"/>
  <c r="K40" i="5" s="1"/>
  <c r="J52" i="5"/>
  <c r="K38" i="5" s="1"/>
  <c r="J55" i="5"/>
  <c r="K41" i="5" s="1"/>
  <c r="J10" i="5"/>
  <c r="J18" i="5"/>
  <c r="J67" i="5" s="1"/>
  <c r="J66" i="3" s="1"/>
  <c r="J24" i="5"/>
  <c r="J31" i="5"/>
  <c r="J11" i="5"/>
  <c r="J66" i="5" s="1"/>
  <c r="J65" i="3" s="1"/>
  <c r="J17" i="5"/>
  <c r="J25" i="5"/>
  <c r="J68" i="5" s="1"/>
  <c r="J67" i="3" s="1"/>
  <c r="J46" i="5"/>
  <c r="J53" i="5" l="1"/>
  <c r="K39" i="5" s="1"/>
  <c r="J58" i="3"/>
  <c r="J61" i="3" s="1"/>
  <c r="J69" i="3"/>
  <c r="J16" i="6" s="1"/>
  <c r="L9" i="9" s="1"/>
  <c r="J76" i="5"/>
  <c r="J73" i="5"/>
  <c r="J74" i="5"/>
  <c r="J75" i="5"/>
  <c r="J80" i="6" l="1"/>
  <c r="J90" i="3"/>
  <c r="J93" i="6"/>
  <c r="K60" i="5"/>
  <c r="J81" i="5"/>
  <c r="J74" i="3" s="1"/>
  <c r="J38" i="6" s="1"/>
  <c r="K61" i="5"/>
  <c r="J82" i="5"/>
  <c r="J75" i="3" s="1"/>
  <c r="J39" i="6" s="1"/>
  <c r="K62" i="5"/>
  <c r="J83" i="5"/>
  <c r="J76" i="3" s="1"/>
  <c r="J40" i="6" s="1"/>
  <c r="K59" i="5"/>
  <c r="J80" i="5"/>
  <c r="J73" i="3" s="1"/>
  <c r="J37" i="6" s="1"/>
  <c r="J94" i="6" l="1"/>
  <c r="J12" i="7"/>
  <c r="J41" i="6"/>
  <c r="J77" i="3"/>
  <c r="K49" i="3" l="1"/>
  <c r="L49" i="3"/>
  <c r="M49" i="3"/>
  <c r="N49" i="3"/>
  <c r="K50" i="3"/>
  <c r="L50" i="3"/>
  <c r="M50" i="3"/>
  <c r="N50" i="3"/>
  <c r="J50" i="3"/>
  <c r="J49" i="3"/>
  <c r="K39" i="3"/>
  <c r="L39" i="3"/>
  <c r="M39" i="3"/>
  <c r="N39" i="3"/>
  <c r="J39" i="3"/>
  <c r="K20" i="3"/>
  <c r="L20" i="3"/>
  <c r="N20" i="3"/>
  <c r="J20" i="3"/>
  <c r="J51" i="3" l="1"/>
  <c r="J15" i="6" s="1"/>
  <c r="L8" i="9" s="1"/>
  <c r="N51" i="3"/>
  <c r="N15" i="6" s="1"/>
  <c r="L20" i="9" s="1"/>
  <c r="M51" i="3"/>
  <c r="M15" i="6" s="1"/>
  <c r="L17" i="9" s="1"/>
  <c r="L51" i="3"/>
  <c r="L15" i="6" s="1"/>
  <c r="L14" i="9" s="1"/>
  <c r="K51" i="3"/>
  <c r="K15" i="6" s="1"/>
  <c r="L11" i="9" s="1"/>
  <c r="M11" i="3"/>
  <c r="M21" i="3" s="1"/>
  <c r="K11" i="3"/>
  <c r="K21" i="3" s="1"/>
  <c r="L11" i="3"/>
  <c r="L21" i="3" s="1"/>
  <c r="J11" i="3"/>
  <c r="J21" i="3" s="1"/>
  <c r="N11" i="3"/>
  <c r="N21" i="3" s="1"/>
  <c r="M20" i="3"/>
  <c r="G137" i="4"/>
  <c r="G130" i="4"/>
  <c r="J143" i="3" s="1"/>
  <c r="J146" i="3" s="1"/>
  <c r="I20" i="7" s="1"/>
  <c r="G124" i="4"/>
  <c r="J43" i="3" s="1"/>
  <c r="J92" i="3" s="1"/>
  <c r="G115" i="4"/>
  <c r="G114" i="4"/>
  <c r="G113" i="4"/>
  <c r="G112" i="4"/>
  <c r="K109" i="4"/>
  <c r="K105" i="4"/>
  <c r="K101" i="4"/>
  <c r="K97" i="4"/>
  <c r="K74" i="4"/>
  <c r="K36" i="3" s="1"/>
  <c r="K76" i="4"/>
  <c r="K38" i="3" s="1"/>
  <c r="K75" i="4"/>
  <c r="K37" i="3" s="1"/>
  <c r="K59" i="4"/>
  <c r="K64" i="4"/>
  <c r="K50" i="4"/>
  <c r="K19" i="3" s="1"/>
  <c r="K46" i="4"/>
  <c r="K12" i="4"/>
  <c r="L12" i="4"/>
  <c r="M12" i="4"/>
  <c r="N12" i="4"/>
  <c r="J12" i="4"/>
  <c r="K5" i="3"/>
  <c r="L5" i="3" s="1"/>
  <c r="M5" i="3" s="1"/>
  <c r="N5" i="3" s="1"/>
  <c r="K5" i="5"/>
  <c r="L5" i="5" s="1"/>
  <c r="M5" i="5" s="1"/>
  <c r="N5" i="5" s="1"/>
  <c r="K5" i="6"/>
  <c r="L5" i="6" s="1"/>
  <c r="M5" i="6" s="1"/>
  <c r="N5" i="6" s="1"/>
  <c r="K5" i="4"/>
  <c r="L5" i="4" s="1"/>
  <c r="M5" i="4" s="1"/>
  <c r="N5" i="4" s="1"/>
  <c r="K18" i="3" l="1"/>
  <c r="L113" i="3"/>
  <c r="L116" i="3" s="1"/>
  <c r="L119" i="3" s="1"/>
  <c r="L10" i="8"/>
  <c r="L11" i="8"/>
  <c r="L12" i="8"/>
  <c r="K11" i="8"/>
  <c r="K10" i="8"/>
  <c r="K12" i="8"/>
  <c r="J12" i="8"/>
  <c r="J10" i="8"/>
  <c r="J11" i="8"/>
  <c r="N12" i="8"/>
  <c r="N11" i="8"/>
  <c r="N10" i="8"/>
  <c r="M113" i="3"/>
  <c r="M116" i="3" s="1"/>
  <c r="M119" i="3" s="1"/>
  <c r="M11" i="8"/>
  <c r="M12" i="8"/>
  <c r="M10" i="8"/>
  <c r="J22" i="3"/>
  <c r="J19" i="3"/>
  <c r="J18" i="3"/>
  <c r="J23" i="3"/>
  <c r="K22" i="3"/>
  <c r="K23" i="3"/>
  <c r="K21" i="7"/>
  <c r="J21" i="7"/>
  <c r="M21" i="7"/>
  <c r="L21" i="7"/>
  <c r="N21" i="7"/>
  <c r="N8" i="6"/>
  <c r="N113" i="3"/>
  <c r="N116" i="3" s="1"/>
  <c r="J8" i="6"/>
  <c r="J113" i="3"/>
  <c r="J116" i="3" s="1"/>
  <c r="J119" i="3" s="1"/>
  <c r="N107" i="3"/>
  <c r="N101" i="6" s="1"/>
  <c r="N105" i="8" s="1"/>
  <c r="J107" i="3"/>
  <c r="J101" i="6" s="1"/>
  <c r="M107" i="3"/>
  <c r="M101" i="6" s="1"/>
  <c r="L107" i="3"/>
  <c r="L101" i="6" s="1"/>
  <c r="K8" i="6"/>
  <c r="K113" i="3"/>
  <c r="K116" i="3" s="1"/>
  <c r="K119" i="3" s="1"/>
  <c r="L109" i="4"/>
  <c r="K29" i="5"/>
  <c r="L101" i="4"/>
  <c r="K15" i="5"/>
  <c r="L105" i="4"/>
  <c r="K22" i="5"/>
  <c r="M13" i="3"/>
  <c r="M8" i="6"/>
  <c r="L97" i="4"/>
  <c r="K8" i="5"/>
  <c r="L8" i="6"/>
  <c r="L75" i="4"/>
  <c r="L37" i="3" s="1"/>
  <c r="L76" i="4"/>
  <c r="L38" i="3" s="1"/>
  <c r="L74" i="4"/>
  <c r="L36" i="3" s="1"/>
  <c r="N40" i="3"/>
  <c r="K40" i="3"/>
  <c r="M40" i="3"/>
  <c r="J13" i="3"/>
  <c r="J40" i="3"/>
  <c r="K13" i="3"/>
  <c r="L13" i="3"/>
  <c r="L40" i="3"/>
  <c r="L50" i="4"/>
  <c r="L19" i="3" s="1"/>
  <c r="N13" i="3"/>
  <c r="L46" i="4"/>
  <c r="L18" i="3" s="1"/>
  <c r="L64" i="4"/>
  <c r="L23" i="3" s="1"/>
  <c r="L59" i="4"/>
  <c r="L22" i="3" s="1"/>
  <c r="J105" i="8" l="1"/>
  <c r="M88" i="8"/>
  <c r="M103" i="8"/>
  <c r="L103" i="8"/>
  <c r="L88" i="8"/>
  <c r="L22" i="8"/>
  <c r="L15" i="8"/>
  <c r="K15" i="8"/>
  <c r="K103" i="8"/>
  <c r="K88" i="8"/>
  <c r="K22" i="8"/>
  <c r="N103" i="8"/>
  <c r="N88" i="8"/>
  <c r="L105" i="8"/>
  <c r="K14" i="8"/>
  <c r="L14" i="8"/>
  <c r="M105" i="8"/>
  <c r="J15" i="8"/>
  <c r="J109" i="8"/>
  <c r="J97" i="8"/>
  <c r="J88" i="8"/>
  <c r="J102" i="8"/>
  <c r="J98" i="8"/>
  <c r="J93" i="8"/>
  <c r="J22" i="8"/>
  <c r="J23" i="8"/>
  <c r="J84" i="8"/>
  <c r="M14" i="8"/>
  <c r="N14" i="8"/>
  <c r="J14" i="8"/>
  <c r="N22" i="8"/>
  <c r="N15" i="8"/>
  <c r="M15" i="8"/>
  <c r="M22" i="8"/>
  <c r="M14" i="3"/>
  <c r="M82" i="3"/>
  <c r="M44" i="6" s="1"/>
  <c r="J14" i="3"/>
  <c r="J82" i="3"/>
  <c r="J44" i="6" s="1"/>
  <c r="K14" i="3"/>
  <c r="K82" i="3"/>
  <c r="K44" i="6" s="1"/>
  <c r="L14" i="3"/>
  <c r="L82" i="3"/>
  <c r="L44" i="6" s="1"/>
  <c r="N14" i="3"/>
  <c r="N82" i="3"/>
  <c r="N44" i="6" s="1"/>
  <c r="M101" i="4"/>
  <c r="L15" i="5"/>
  <c r="M105" i="4"/>
  <c r="L22" i="5"/>
  <c r="K47" i="5"/>
  <c r="K24" i="5"/>
  <c r="K25" i="5"/>
  <c r="K68" i="5" s="1"/>
  <c r="L25" i="5"/>
  <c r="L68" i="5" s="1"/>
  <c r="L67" i="3" s="1"/>
  <c r="K48" i="5"/>
  <c r="K31" i="5"/>
  <c r="K32" i="5"/>
  <c r="K69" i="5" s="1"/>
  <c r="M97" i="4"/>
  <c r="L8" i="5"/>
  <c r="L11" i="5" s="1"/>
  <c r="L66" i="5" s="1"/>
  <c r="L65" i="3" s="1"/>
  <c r="K45" i="5"/>
  <c r="K11" i="5"/>
  <c r="K66" i="5" s="1"/>
  <c r="K10" i="5"/>
  <c r="K46" i="5"/>
  <c r="K17" i="5"/>
  <c r="K18" i="5"/>
  <c r="K67" i="5" s="1"/>
  <c r="M109" i="4"/>
  <c r="L29" i="5"/>
  <c r="M75" i="4"/>
  <c r="M37" i="3" s="1"/>
  <c r="M76" i="4"/>
  <c r="M38" i="3" s="1"/>
  <c r="M74" i="4"/>
  <c r="M36" i="3" s="1"/>
  <c r="J41" i="3"/>
  <c r="K41" i="3"/>
  <c r="K45" i="3" s="1"/>
  <c r="K17" i="6" s="1"/>
  <c r="K25" i="3"/>
  <c r="K10" i="6" s="1"/>
  <c r="I24" i="9" s="1"/>
  <c r="M50" i="4"/>
  <c r="M19" i="3" s="1"/>
  <c r="J25" i="3"/>
  <c r="M46" i="4"/>
  <c r="M18" i="3" s="1"/>
  <c r="M64" i="4"/>
  <c r="M23" i="3" s="1"/>
  <c r="M59" i="4"/>
  <c r="M22" i="3" s="1"/>
  <c r="K24" i="8" l="1"/>
  <c r="L13" i="9"/>
  <c r="K12" i="6"/>
  <c r="J24" i="9" s="1"/>
  <c r="K17" i="8"/>
  <c r="L86" i="6"/>
  <c r="L90" i="8" s="1"/>
  <c r="N86" i="6"/>
  <c r="N90" i="8" s="1"/>
  <c r="M86" i="6"/>
  <c r="M90" i="8" s="1"/>
  <c r="K86" i="6"/>
  <c r="K90" i="8" s="1"/>
  <c r="J86" i="6"/>
  <c r="J90" i="8" s="1"/>
  <c r="J10" i="6"/>
  <c r="I23" i="9" s="1"/>
  <c r="J93" i="3"/>
  <c r="J45" i="3"/>
  <c r="J17" i="6" s="1"/>
  <c r="L10" i="9" s="1"/>
  <c r="J94" i="3"/>
  <c r="K65" i="3"/>
  <c r="K73" i="5"/>
  <c r="L59" i="5" s="1"/>
  <c r="L73" i="5" s="1"/>
  <c r="M59" i="5" s="1"/>
  <c r="K68" i="3"/>
  <c r="K76" i="5"/>
  <c r="L62" i="5" s="1"/>
  <c r="L46" i="5"/>
  <c r="L58" i="3" s="1"/>
  <c r="L17" i="5"/>
  <c r="L18" i="5"/>
  <c r="L67" i="5" s="1"/>
  <c r="L66" i="3" s="1"/>
  <c r="K58" i="3"/>
  <c r="K53" i="5"/>
  <c r="L45" i="5"/>
  <c r="L57" i="3" s="1"/>
  <c r="L10" i="5"/>
  <c r="K67" i="3"/>
  <c r="K75" i="5"/>
  <c r="L61" i="5" s="1"/>
  <c r="L75" i="5" s="1"/>
  <c r="M61" i="5" s="1"/>
  <c r="K59" i="3"/>
  <c r="K54" i="5"/>
  <c r="N101" i="4"/>
  <c r="N15" i="5" s="1"/>
  <c r="M15" i="5"/>
  <c r="L48" i="5"/>
  <c r="L60" i="3" s="1"/>
  <c r="L31" i="5"/>
  <c r="K66" i="3"/>
  <c r="K74" i="5"/>
  <c r="L60" i="5" s="1"/>
  <c r="K57" i="3"/>
  <c r="K52" i="5"/>
  <c r="N97" i="4"/>
  <c r="N8" i="5" s="1"/>
  <c r="M8" i="5"/>
  <c r="L47" i="5"/>
  <c r="L59" i="3" s="1"/>
  <c r="L24" i="5"/>
  <c r="N109" i="4"/>
  <c r="N29" i="5" s="1"/>
  <c r="M29" i="5"/>
  <c r="L32" i="5"/>
  <c r="L69" i="5" s="1"/>
  <c r="L68" i="3" s="1"/>
  <c r="K60" i="3"/>
  <c r="K55" i="5"/>
  <c r="N105" i="4"/>
  <c r="N22" i="5" s="1"/>
  <c r="M22" i="5"/>
  <c r="N75" i="4"/>
  <c r="N37" i="3" s="1"/>
  <c r="L25" i="3"/>
  <c r="L41" i="3"/>
  <c r="L45" i="3" s="1"/>
  <c r="L17" i="6" s="1"/>
  <c r="N76" i="4"/>
  <c r="N38" i="3" s="1"/>
  <c r="N74" i="4"/>
  <c r="N36" i="3" s="1"/>
  <c r="J27" i="3"/>
  <c r="K27" i="3"/>
  <c r="N46" i="4"/>
  <c r="N18" i="3" s="1"/>
  <c r="N50" i="4"/>
  <c r="N19" i="3" s="1"/>
  <c r="N64" i="4"/>
  <c r="N23" i="3" s="1"/>
  <c r="N59" i="4"/>
  <c r="N22" i="3" s="1"/>
  <c r="L24" i="8" l="1"/>
  <c r="L16" i="9"/>
  <c r="J12" i="6"/>
  <c r="J23" i="9" s="1"/>
  <c r="J17" i="8"/>
  <c r="J14" i="6"/>
  <c r="J21" i="8" s="1"/>
  <c r="J24" i="8"/>
  <c r="K127" i="8"/>
  <c r="N24" i="9" s="1"/>
  <c r="K19" i="8"/>
  <c r="J95" i="3"/>
  <c r="K29" i="3"/>
  <c r="K31" i="3" s="1"/>
  <c r="K43" i="6"/>
  <c r="J29" i="3"/>
  <c r="J43" i="6"/>
  <c r="N32" i="5"/>
  <c r="N69" i="5" s="1"/>
  <c r="N68" i="3" s="1"/>
  <c r="N11" i="5"/>
  <c r="N66" i="5" s="1"/>
  <c r="N65" i="3" s="1"/>
  <c r="L61" i="3"/>
  <c r="L93" i="6" s="1"/>
  <c r="L97" i="8" s="1"/>
  <c r="L69" i="3"/>
  <c r="L16" i="6" s="1"/>
  <c r="L15" i="9" s="1"/>
  <c r="M47" i="5"/>
  <c r="M59" i="3" s="1"/>
  <c r="M24" i="5"/>
  <c r="M25" i="5"/>
  <c r="M68" i="5" s="1"/>
  <c r="M67" i="3" s="1"/>
  <c r="N25" i="5"/>
  <c r="N68" i="5" s="1"/>
  <c r="N67" i="3" s="1"/>
  <c r="N45" i="5"/>
  <c r="N57" i="3" s="1"/>
  <c r="N10" i="5"/>
  <c r="M46" i="5"/>
  <c r="M58" i="3" s="1"/>
  <c r="M17" i="5"/>
  <c r="M18" i="5"/>
  <c r="M67" i="5" s="1"/>
  <c r="M66" i="3" s="1"/>
  <c r="N18" i="5"/>
  <c r="N67" i="5" s="1"/>
  <c r="N66" i="3" s="1"/>
  <c r="N47" i="5"/>
  <c r="N59" i="3" s="1"/>
  <c r="N24" i="5"/>
  <c r="L38" i="5"/>
  <c r="L52" i="5" s="1"/>
  <c r="K80" i="5"/>
  <c r="K73" i="3" s="1"/>
  <c r="K37" i="6" s="1"/>
  <c r="N46" i="5"/>
  <c r="N58" i="3" s="1"/>
  <c r="N17" i="5"/>
  <c r="L41" i="5"/>
  <c r="L55" i="5" s="1"/>
  <c r="K83" i="5"/>
  <c r="K76" i="3" s="1"/>
  <c r="K40" i="6" s="1"/>
  <c r="N48" i="5"/>
  <c r="N60" i="3" s="1"/>
  <c r="N31" i="5"/>
  <c r="L40" i="5"/>
  <c r="L54" i="5" s="1"/>
  <c r="K82" i="5"/>
  <c r="K75" i="3" s="1"/>
  <c r="K39" i="6" s="1"/>
  <c r="L39" i="5"/>
  <c r="L53" i="5" s="1"/>
  <c r="K81" i="5"/>
  <c r="K74" i="3" s="1"/>
  <c r="K38" i="6" s="1"/>
  <c r="K61" i="3"/>
  <c r="K93" i="6" s="1"/>
  <c r="K97" i="8" s="1"/>
  <c r="K69" i="3"/>
  <c r="K16" i="6" s="1"/>
  <c r="L12" i="9" s="1"/>
  <c r="M31" i="5"/>
  <c r="M48" i="5"/>
  <c r="M60" i="3" s="1"/>
  <c r="M45" i="5"/>
  <c r="M57" i="3" s="1"/>
  <c r="M10" i="5"/>
  <c r="M11" i="5"/>
  <c r="M66" i="5" s="1"/>
  <c r="M65" i="3" s="1"/>
  <c r="L74" i="5"/>
  <c r="M60" i="5" s="1"/>
  <c r="L76" i="5"/>
  <c r="M62" i="5" s="1"/>
  <c r="M32" i="5"/>
  <c r="M69" i="5" s="1"/>
  <c r="M68" i="3" s="1"/>
  <c r="L27" i="3"/>
  <c r="L10" i="6"/>
  <c r="I25" i="9" s="1"/>
  <c r="M41" i="3"/>
  <c r="M45" i="3" s="1"/>
  <c r="M17" i="6" s="1"/>
  <c r="N41" i="3"/>
  <c r="N45" i="3" s="1"/>
  <c r="N17" i="6" s="1"/>
  <c r="J31" i="3"/>
  <c r="M25" i="3"/>
  <c r="M10" i="6" s="1"/>
  <c r="I26" i="9" s="1"/>
  <c r="N25" i="3"/>
  <c r="N10" i="6" s="1"/>
  <c r="I27" i="9" s="1"/>
  <c r="N24" i="8" l="1"/>
  <c r="L22" i="9"/>
  <c r="M24" i="8"/>
  <c r="L19" i="9"/>
  <c r="L23" i="8"/>
  <c r="K23" i="8"/>
  <c r="J19" i="6"/>
  <c r="J26" i="8" s="1"/>
  <c r="L12" i="6"/>
  <c r="J25" i="9" s="1"/>
  <c r="L17" i="8"/>
  <c r="J19" i="8"/>
  <c r="J127" i="8"/>
  <c r="N23" i="9" s="1"/>
  <c r="M12" i="6"/>
  <c r="J26" i="9" s="1"/>
  <c r="M17" i="8"/>
  <c r="N12" i="6"/>
  <c r="J27" i="9" s="1"/>
  <c r="N17" i="8"/>
  <c r="L94" i="6"/>
  <c r="L98" i="8" s="1"/>
  <c r="L12" i="7"/>
  <c r="K94" i="6"/>
  <c r="K98" i="8" s="1"/>
  <c r="K12" i="7"/>
  <c r="J85" i="6"/>
  <c r="J89" i="8" s="1"/>
  <c r="K85" i="6"/>
  <c r="K89" i="8" s="1"/>
  <c r="L14" i="6"/>
  <c r="L80" i="6"/>
  <c r="L84" i="8" s="1"/>
  <c r="K14" i="6"/>
  <c r="K80" i="6"/>
  <c r="K84" i="8" s="1"/>
  <c r="J97" i="3"/>
  <c r="J98" i="3"/>
  <c r="J104" i="3" s="1"/>
  <c r="L29" i="3"/>
  <c r="L31" i="3" s="1"/>
  <c r="L86" i="3" s="1"/>
  <c r="L63" i="6" s="1"/>
  <c r="L43" i="6"/>
  <c r="L85" i="6" s="1"/>
  <c r="L89" i="8" s="1"/>
  <c r="J32" i="3"/>
  <c r="J86" i="3"/>
  <c r="J63" i="6" s="1"/>
  <c r="K32" i="3"/>
  <c r="K86" i="3"/>
  <c r="K63" i="6" s="1"/>
  <c r="K41" i="6"/>
  <c r="M75" i="5"/>
  <c r="N61" i="5" s="1"/>
  <c r="N75" i="5" s="1"/>
  <c r="N61" i="3"/>
  <c r="N93" i="6" s="1"/>
  <c r="N97" i="8" s="1"/>
  <c r="N69" i="3"/>
  <c r="N16" i="6" s="1"/>
  <c r="L21" i="9" s="1"/>
  <c r="M73" i="5"/>
  <c r="N59" i="5" s="1"/>
  <c r="N73" i="5" s="1"/>
  <c r="M40" i="5"/>
  <c r="M54" i="5" s="1"/>
  <c r="L82" i="5"/>
  <c r="L75" i="3" s="1"/>
  <c r="L39" i="6" s="1"/>
  <c r="M41" i="5"/>
  <c r="M55" i="5" s="1"/>
  <c r="L83" i="5"/>
  <c r="L76" i="3" s="1"/>
  <c r="L40" i="6" s="1"/>
  <c r="M61" i="3"/>
  <c r="M93" i="6" s="1"/>
  <c r="M97" i="8" s="1"/>
  <c r="M76" i="5"/>
  <c r="N62" i="5" s="1"/>
  <c r="N76" i="5" s="1"/>
  <c r="K77" i="3"/>
  <c r="M74" i="5"/>
  <c r="N60" i="5" s="1"/>
  <c r="N74" i="5" s="1"/>
  <c r="M39" i="5"/>
  <c r="M53" i="5" s="1"/>
  <c r="L81" i="5"/>
  <c r="L74" i="3" s="1"/>
  <c r="L38" i="6" s="1"/>
  <c r="M38" i="5"/>
  <c r="M52" i="5" s="1"/>
  <c r="L80" i="5"/>
  <c r="L73" i="3" s="1"/>
  <c r="L37" i="6" s="1"/>
  <c r="M69" i="3"/>
  <c r="M16" i="6" s="1"/>
  <c r="L18" i="9" s="1"/>
  <c r="N27" i="3"/>
  <c r="M27" i="3"/>
  <c r="N23" i="8" l="1"/>
  <c r="M23" i="8"/>
  <c r="M19" i="8"/>
  <c r="M127" i="8"/>
  <c r="N26" i="9" s="1"/>
  <c r="N19" i="8"/>
  <c r="N127" i="8"/>
  <c r="N27" i="9" s="1"/>
  <c r="L19" i="8"/>
  <c r="L127" i="8"/>
  <c r="N25" i="9" s="1"/>
  <c r="K19" i="6"/>
  <c r="K21" i="8"/>
  <c r="L19" i="6"/>
  <c r="L21" i="8"/>
  <c r="M94" i="6"/>
  <c r="M98" i="8" s="1"/>
  <c r="M12" i="7"/>
  <c r="N94" i="6"/>
  <c r="N98" i="8" s="1"/>
  <c r="N12" i="7"/>
  <c r="L87" i="6"/>
  <c r="L91" i="8" s="1"/>
  <c r="J106" i="3"/>
  <c r="J100" i="6" s="1"/>
  <c r="J104" i="8" s="1"/>
  <c r="J99" i="6"/>
  <c r="J103" i="8" s="1"/>
  <c r="K87" i="6"/>
  <c r="K91" i="8" s="1"/>
  <c r="J87" i="6"/>
  <c r="J91" i="8" s="1"/>
  <c r="M14" i="6"/>
  <c r="M80" i="6"/>
  <c r="M84" i="8" s="1"/>
  <c r="N14" i="6"/>
  <c r="N80" i="6"/>
  <c r="N84" i="8" s="1"/>
  <c r="J105" i="3"/>
  <c r="J21" i="6" s="1"/>
  <c r="K53" i="6"/>
  <c r="M53" i="6"/>
  <c r="J53" i="6"/>
  <c r="J97" i="6" s="1"/>
  <c r="J101" i="8" s="1"/>
  <c r="N53" i="6"/>
  <c r="L53" i="6"/>
  <c r="L97" i="6" s="1"/>
  <c r="L101" i="8" s="1"/>
  <c r="J99" i="3"/>
  <c r="G128" i="4" s="1"/>
  <c r="M29" i="3"/>
  <c r="M31" i="3" s="1"/>
  <c r="M43" i="6"/>
  <c r="M85" i="6" s="1"/>
  <c r="M89" i="8" s="1"/>
  <c r="N29" i="3"/>
  <c r="N31" i="3" s="1"/>
  <c r="N43" i="6"/>
  <c r="L32" i="3"/>
  <c r="L41" i="6"/>
  <c r="L77" i="3"/>
  <c r="N39" i="5"/>
  <c r="N53" i="5" s="1"/>
  <c r="N81" i="5" s="1"/>
  <c r="N74" i="3" s="1"/>
  <c r="N38" i="6" s="1"/>
  <c r="M81" i="5"/>
  <c r="M74" i="3" s="1"/>
  <c r="M38" i="6" s="1"/>
  <c r="N41" i="5"/>
  <c r="N55" i="5" s="1"/>
  <c r="N83" i="5" s="1"/>
  <c r="N76" i="3" s="1"/>
  <c r="N40" i="6" s="1"/>
  <c r="M83" i="5"/>
  <c r="M76" i="3" s="1"/>
  <c r="M40" i="6" s="1"/>
  <c r="N38" i="5"/>
  <c r="N52" i="5" s="1"/>
  <c r="N80" i="5" s="1"/>
  <c r="N73" i="3" s="1"/>
  <c r="N37" i="6" s="1"/>
  <c r="M80" i="5"/>
  <c r="M73" i="3" s="1"/>
  <c r="M37" i="6" s="1"/>
  <c r="N40" i="5"/>
  <c r="N54" i="5" s="1"/>
  <c r="N82" i="5" s="1"/>
  <c r="N75" i="3" s="1"/>
  <c r="N39" i="6" s="1"/>
  <c r="M82" i="5"/>
  <c r="M75" i="3" s="1"/>
  <c r="M39" i="6" s="1"/>
  <c r="J9" i="7" l="1"/>
  <c r="J10" i="7" s="1"/>
  <c r="J28" i="8"/>
  <c r="J121" i="8"/>
  <c r="L26" i="8"/>
  <c r="K26" i="8"/>
  <c r="N19" i="6"/>
  <c r="N21" i="8"/>
  <c r="M19" i="6"/>
  <c r="M21" i="8"/>
  <c r="M97" i="6"/>
  <c r="M101" i="8" s="1"/>
  <c r="J102" i="6"/>
  <c r="J106" i="8" s="1"/>
  <c r="K97" i="6"/>
  <c r="K101" i="8" s="1"/>
  <c r="N97" i="6"/>
  <c r="N101" i="8" s="1"/>
  <c r="N85" i="6"/>
  <c r="N89" i="8" s="1"/>
  <c r="J23" i="6"/>
  <c r="J82" i="6"/>
  <c r="J86" i="8" s="1"/>
  <c r="J108" i="3"/>
  <c r="M32" i="3"/>
  <c r="M86" i="3"/>
  <c r="M63" i="6" s="1"/>
  <c r="M87" i="6" s="1"/>
  <c r="M91" i="8" s="1"/>
  <c r="N32" i="3"/>
  <c r="N86" i="3"/>
  <c r="N63" i="6" s="1"/>
  <c r="M41" i="6"/>
  <c r="N41" i="6"/>
  <c r="N77" i="3"/>
  <c r="M77" i="3"/>
  <c r="M26" i="8" l="1"/>
  <c r="N26" i="8"/>
  <c r="J114" i="3"/>
  <c r="J30" i="8"/>
  <c r="N87" i="6"/>
  <c r="N91" i="8" s="1"/>
  <c r="K103" i="3"/>
  <c r="K106" i="3" s="1"/>
  <c r="K100" i="6" s="1"/>
  <c r="K104" i="8" s="1"/>
  <c r="J59" i="6"/>
  <c r="J60" i="6" s="1"/>
  <c r="K120" i="3" l="1"/>
  <c r="K89" i="6" s="1"/>
  <c r="K93" i="8" s="1"/>
  <c r="J25" i="6"/>
  <c r="J121" i="3"/>
  <c r="K105" i="3"/>
  <c r="K21" i="6" s="1"/>
  <c r="J81" i="6" l="1"/>
  <c r="J85" i="8" s="1"/>
  <c r="J32" i="8"/>
  <c r="J27" i="6"/>
  <c r="J65" i="6"/>
  <c r="K118" i="3"/>
  <c r="K9" i="7"/>
  <c r="K10" i="7" s="1"/>
  <c r="K28" i="8"/>
  <c r="K121" i="8"/>
  <c r="K23" i="6"/>
  <c r="K82" i="6"/>
  <c r="K86" i="8" s="1"/>
  <c r="K107" i="3"/>
  <c r="M23" i="9" l="1"/>
  <c r="J133" i="8"/>
  <c r="P23" i="9" s="1"/>
  <c r="J78" i="6"/>
  <c r="J129" i="8"/>
  <c r="O23" i="9" s="1"/>
  <c r="J34" i="8"/>
  <c r="J125" i="3"/>
  <c r="J127" i="3" s="1"/>
  <c r="J130" i="3" s="1"/>
  <c r="K114" i="3"/>
  <c r="K30" i="8"/>
  <c r="K108" i="3"/>
  <c r="L103" i="3" s="1"/>
  <c r="L106" i="3" s="1"/>
  <c r="L100" i="6" s="1"/>
  <c r="L104" i="8" s="1"/>
  <c r="K101" i="6"/>
  <c r="K25" i="6" l="1"/>
  <c r="J83" i="6"/>
  <c r="J88" i="6" s="1"/>
  <c r="J82" i="8"/>
  <c r="J29" i="6"/>
  <c r="K131" i="3"/>
  <c r="K98" i="6" s="1"/>
  <c r="K102" i="8" s="1"/>
  <c r="J132" i="3"/>
  <c r="K105" i="8"/>
  <c r="L120" i="3"/>
  <c r="L89" i="6" s="1"/>
  <c r="L93" i="8" s="1"/>
  <c r="K59" i="6"/>
  <c r="K60" i="6" s="1"/>
  <c r="L105" i="3"/>
  <c r="L21" i="6" s="1"/>
  <c r="K32" i="8" l="1"/>
  <c r="K81" i="6"/>
  <c r="K85" i="8" s="1"/>
  <c r="K27" i="6"/>
  <c r="M24" i="9" s="1"/>
  <c r="K121" i="3"/>
  <c r="K65" i="6" s="1"/>
  <c r="J31" i="6"/>
  <c r="J36" i="8"/>
  <c r="K102" i="6"/>
  <c r="K106" i="8" s="1"/>
  <c r="J64" i="6"/>
  <c r="J66" i="6" s="1"/>
  <c r="J68" i="6" s="1"/>
  <c r="K129" i="3"/>
  <c r="J90" i="6"/>
  <c r="J92" i="8"/>
  <c r="K129" i="8"/>
  <c r="O24" i="9" s="1"/>
  <c r="L28" i="8"/>
  <c r="L121" i="8"/>
  <c r="L82" i="6"/>
  <c r="L86" i="8" s="1"/>
  <c r="L9" i="7"/>
  <c r="L10" i="7" s="1"/>
  <c r="L108" i="3"/>
  <c r="L23" i="6"/>
  <c r="L30" i="8" s="1"/>
  <c r="K78" i="6" l="1"/>
  <c r="K83" i="6" s="1"/>
  <c r="K88" i="6" s="1"/>
  <c r="K90" i="6" s="1"/>
  <c r="K125" i="3"/>
  <c r="K127" i="3" s="1"/>
  <c r="K130" i="3" s="1"/>
  <c r="K29" i="6" s="1"/>
  <c r="K31" i="6" s="1"/>
  <c r="K38" i="8" s="1"/>
  <c r="K34" i="8"/>
  <c r="K133" i="8"/>
  <c r="P24" i="9" s="1"/>
  <c r="L118" i="3"/>
  <c r="J94" i="8"/>
  <c r="J8" i="7"/>
  <c r="J11" i="7" s="1"/>
  <c r="J13" i="7" s="1"/>
  <c r="J14" i="7" s="1"/>
  <c r="J104" i="6"/>
  <c r="J38" i="8"/>
  <c r="J32" i="6"/>
  <c r="L114" i="3"/>
  <c r="M103" i="3"/>
  <c r="M106" i="3" s="1"/>
  <c r="M100" i="6" s="1"/>
  <c r="M104" i="8" s="1"/>
  <c r="L59" i="6"/>
  <c r="L60" i="6" s="1"/>
  <c r="K92" i="8" l="1"/>
  <c r="K82" i="8"/>
  <c r="K32" i="6"/>
  <c r="K54" i="6" s="1"/>
  <c r="K36" i="8"/>
  <c r="K132" i="3"/>
  <c r="K64" i="6" s="1"/>
  <c r="K66" i="6" s="1"/>
  <c r="L131" i="3"/>
  <c r="L98" i="6" s="1"/>
  <c r="L102" i="6" s="1"/>
  <c r="L106" i="8" s="1"/>
  <c r="L121" i="3"/>
  <c r="L25" i="6"/>
  <c r="M120" i="3"/>
  <c r="M89" i="6" s="1"/>
  <c r="M93" i="8" s="1"/>
  <c r="J106" i="6"/>
  <c r="J108" i="8"/>
  <c r="J39" i="8"/>
  <c r="J54" i="6"/>
  <c r="J55" i="6" s="1"/>
  <c r="J70" i="6" s="1"/>
  <c r="K94" i="8"/>
  <c r="K104" i="6"/>
  <c r="K8" i="7"/>
  <c r="K11" i="7" s="1"/>
  <c r="K13" i="7" s="1"/>
  <c r="K14" i="7" s="1"/>
  <c r="M105" i="3"/>
  <c r="K39" i="8" l="1"/>
  <c r="L129" i="3"/>
  <c r="L102" i="8"/>
  <c r="L81" i="6"/>
  <c r="L85" i="8" s="1"/>
  <c r="L32" i="8"/>
  <c r="L27" i="6"/>
  <c r="L65" i="6"/>
  <c r="M118" i="3"/>
  <c r="J110" i="8"/>
  <c r="J45" i="6"/>
  <c r="J46" i="6" s="1"/>
  <c r="K105" i="6"/>
  <c r="K109" i="8" s="1"/>
  <c r="K108" i="8"/>
  <c r="K68" i="6"/>
  <c r="K55" i="6"/>
  <c r="M21" i="6"/>
  <c r="M108" i="3"/>
  <c r="K106" i="6" l="1"/>
  <c r="K110" i="8" s="1"/>
  <c r="M25" i="9"/>
  <c r="L129" i="8"/>
  <c r="O25" i="9" s="1"/>
  <c r="L125" i="3"/>
  <c r="L127" i="3" s="1"/>
  <c r="L130" i="3" s="1"/>
  <c r="L34" i="8"/>
  <c r="L133" i="8"/>
  <c r="P25" i="9" s="1"/>
  <c r="L78" i="6"/>
  <c r="J118" i="8"/>
  <c r="J48" i="6"/>
  <c r="J53" i="8" s="1"/>
  <c r="J116" i="8"/>
  <c r="M9" i="7"/>
  <c r="M10" i="7" s="1"/>
  <c r="M28" i="8"/>
  <c r="M121" i="8"/>
  <c r="K70" i="6"/>
  <c r="N103" i="3"/>
  <c r="N106" i="3" s="1"/>
  <c r="N100" i="6" s="1"/>
  <c r="N104" i="8" s="1"/>
  <c r="M59" i="6"/>
  <c r="M60" i="6" s="1"/>
  <c r="M23" i="6"/>
  <c r="M30" i="8" s="1"/>
  <c r="M82" i="6"/>
  <c r="M86" i="8" s="1"/>
  <c r="K45" i="6" l="1"/>
  <c r="K46" i="6" s="1"/>
  <c r="K118" i="8" s="1"/>
  <c r="L105" i="6"/>
  <c r="L109" i="8" s="1"/>
  <c r="L83" i="6"/>
  <c r="L88" i="6" s="1"/>
  <c r="L82" i="8"/>
  <c r="L29" i="6"/>
  <c r="L132" i="3"/>
  <c r="M131" i="3"/>
  <c r="M98" i="6" s="1"/>
  <c r="J71" i="8"/>
  <c r="J45" i="8"/>
  <c r="J61" i="8"/>
  <c r="J47" i="8"/>
  <c r="J70" i="8"/>
  <c r="J48" i="8"/>
  <c r="J75" i="8"/>
  <c r="J124" i="8"/>
  <c r="J46" i="8"/>
  <c r="J62" i="8"/>
  <c r="J73" i="6"/>
  <c r="J77" i="8"/>
  <c r="J71" i="6"/>
  <c r="J72" i="8"/>
  <c r="J55" i="8"/>
  <c r="J131" i="8"/>
  <c r="J67" i="8"/>
  <c r="J51" i="8"/>
  <c r="J66" i="8"/>
  <c r="J50" i="8"/>
  <c r="J44" i="8"/>
  <c r="J73" i="8"/>
  <c r="J52" i="8"/>
  <c r="J60" i="8"/>
  <c r="M114" i="3"/>
  <c r="N105" i="3"/>
  <c r="N21" i="6" s="1"/>
  <c r="K116" i="8" l="1"/>
  <c r="K48" i="6"/>
  <c r="K71" i="8" s="1"/>
  <c r="M129" i="3"/>
  <c r="L64" i="6"/>
  <c r="L66" i="6" s="1"/>
  <c r="L68" i="6" s="1"/>
  <c r="L36" i="8"/>
  <c r="L31" i="6"/>
  <c r="M25" i="6"/>
  <c r="N120" i="3"/>
  <c r="N89" i="6" s="1"/>
  <c r="N93" i="8" s="1"/>
  <c r="M121" i="3"/>
  <c r="M102" i="6"/>
  <c r="M106" i="8" s="1"/>
  <c r="M102" i="8"/>
  <c r="L90" i="6"/>
  <c r="L92" i="8"/>
  <c r="N9" i="7"/>
  <c r="N10" i="7" s="1"/>
  <c r="N28" i="8"/>
  <c r="N121" i="8"/>
  <c r="N108" i="3"/>
  <c r="N59" i="6" s="1"/>
  <c r="N60" i="6" s="1"/>
  <c r="N23" i="6"/>
  <c r="N82" i="6"/>
  <c r="N86" i="8" s="1"/>
  <c r="K48" i="8" l="1"/>
  <c r="K71" i="6"/>
  <c r="K61" i="8"/>
  <c r="K73" i="8"/>
  <c r="K66" i="8"/>
  <c r="K44" i="8"/>
  <c r="K55" i="8"/>
  <c r="K51" i="8"/>
  <c r="K124" i="8"/>
  <c r="K46" i="8"/>
  <c r="K72" i="8"/>
  <c r="K77" i="8"/>
  <c r="K52" i="8"/>
  <c r="K73" i="6"/>
  <c r="K67" i="8"/>
  <c r="K131" i="8"/>
  <c r="K75" i="8"/>
  <c r="K47" i="8"/>
  <c r="K45" i="8"/>
  <c r="K60" i="8"/>
  <c r="K53" i="8"/>
  <c r="K50" i="8"/>
  <c r="K70" i="8"/>
  <c r="K62" i="8"/>
  <c r="N118" i="3"/>
  <c r="M65" i="6"/>
  <c r="L8" i="7"/>
  <c r="L11" i="7" s="1"/>
  <c r="L13" i="7" s="1"/>
  <c r="L14" i="7" s="1"/>
  <c r="L94" i="8"/>
  <c r="L104" i="6"/>
  <c r="L38" i="8"/>
  <c r="L32" i="6"/>
  <c r="M81" i="6"/>
  <c r="M85" i="8" s="1"/>
  <c r="M32" i="8"/>
  <c r="M27" i="6"/>
  <c r="N30" i="8"/>
  <c r="N114" i="3"/>
  <c r="N119" i="3" s="1"/>
  <c r="M26" i="9" l="1"/>
  <c r="M125" i="3"/>
  <c r="M127" i="3" s="1"/>
  <c r="M130" i="3" s="1"/>
  <c r="M34" i="8"/>
  <c r="M133" i="8"/>
  <c r="P26" i="9" s="1"/>
  <c r="M129" i="8"/>
  <c r="O26" i="9" s="1"/>
  <c r="M78" i="6"/>
  <c r="L39" i="8"/>
  <c r="L54" i="6"/>
  <c r="L55" i="6" s="1"/>
  <c r="L70" i="6" s="1"/>
  <c r="L108" i="8"/>
  <c r="L106" i="6"/>
  <c r="N25" i="6"/>
  <c r="N32" i="8" s="1"/>
  <c r="N121" i="3"/>
  <c r="N65" i="6" s="1"/>
  <c r="L110" i="8" l="1"/>
  <c r="L45" i="6"/>
  <c r="L46" i="6" s="1"/>
  <c r="M105" i="6"/>
  <c r="M109" i="8" s="1"/>
  <c r="M83" i="6"/>
  <c r="M88" i="6" s="1"/>
  <c r="M82" i="8"/>
  <c r="M29" i="6"/>
  <c r="N131" i="3"/>
  <c r="N98" i="6" s="1"/>
  <c r="M132" i="3"/>
  <c r="N81" i="6"/>
  <c r="N85" i="8" s="1"/>
  <c r="N27" i="6"/>
  <c r="M92" i="8" l="1"/>
  <c r="M90" i="6"/>
  <c r="N102" i="6"/>
  <c r="N106" i="8" s="1"/>
  <c r="N102" i="8"/>
  <c r="M64" i="6"/>
  <c r="M66" i="6" s="1"/>
  <c r="M68" i="6" s="1"/>
  <c r="N129" i="3"/>
  <c r="M31" i="6"/>
  <c r="M36" i="8"/>
  <c r="L118" i="8"/>
  <c r="L48" i="6"/>
  <c r="L116" i="8"/>
  <c r="N133" i="8"/>
  <c r="P27" i="9" s="1"/>
  <c r="M27" i="9"/>
  <c r="N34" i="8"/>
  <c r="N129" i="8"/>
  <c r="O27" i="9" s="1"/>
  <c r="N78" i="6"/>
  <c r="N125" i="3"/>
  <c r="N127" i="3" s="1"/>
  <c r="N130" i="3" s="1"/>
  <c r="M32" i="6" l="1"/>
  <c r="M38" i="8"/>
  <c r="L131" i="8"/>
  <c r="L75" i="8"/>
  <c r="L55" i="8"/>
  <c r="L46" i="8"/>
  <c r="L72" i="8"/>
  <c r="L44" i="8"/>
  <c r="L70" i="8"/>
  <c r="L67" i="8"/>
  <c r="L53" i="8"/>
  <c r="L60" i="8"/>
  <c r="L61" i="8"/>
  <c r="L77" i="8"/>
  <c r="L66" i="8"/>
  <c r="L50" i="8"/>
  <c r="L124" i="8"/>
  <c r="L52" i="8"/>
  <c r="L51" i="8"/>
  <c r="L48" i="8"/>
  <c r="L71" i="8"/>
  <c r="L71" i="6"/>
  <c r="L73" i="8"/>
  <c r="L62" i="8"/>
  <c r="L47" i="8"/>
  <c r="L45" i="8"/>
  <c r="L73" i="6"/>
  <c r="M104" i="6"/>
  <c r="M8" i="7"/>
  <c r="M11" i="7" s="1"/>
  <c r="M13" i="7" s="1"/>
  <c r="M14" i="7" s="1"/>
  <c r="M94" i="8"/>
  <c r="N83" i="6"/>
  <c r="N88" i="6" s="1"/>
  <c r="N82" i="8"/>
  <c r="N29" i="6"/>
  <c r="N132" i="3"/>
  <c r="N64" i="6" s="1"/>
  <c r="M108" i="8" l="1"/>
  <c r="M106" i="6"/>
  <c r="M54" i="6"/>
  <c r="M55" i="6" s="1"/>
  <c r="M70" i="6" s="1"/>
  <c r="M39" i="8"/>
  <c r="N90" i="6"/>
  <c r="N8" i="7" s="1"/>
  <c r="N11" i="7" s="1"/>
  <c r="N13" i="7" s="1"/>
  <c r="N14" i="7" s="1"/>
  <c r="N15" i="7" s="1"/>
  <c r="J17" i="7" s="1"/>
  <c r="N92" i="8"/>
  <c r="N66" i="6"/>
  <c r="N31" i="6"/>
  <c r="N36" i="8"/>
  <c r="M110" i="8" l="1"/>
  <c r="M45" i="6"/>
  <c r="M46" i="6" s="1"/>
  <c r="N105" i="6"/>
  <c r="N109" i="8" s="1"/>
  <c r="N104" i="6"/>
  <c r="N94" i="8"/>
  <c r="N68" i="6"/>
  <c r="N32" i="6"/>
  <c r="N38" i="8"/>
  <c r="M118" i="8" l="1"/>
  <c r="M48" i="6"/>
  <c r="M116" i="8"/>
  <c r="N106" i="6"/>
  <c r="N108" i="8"/>
  <c r="N54" i="6"/>
  <c r="N39" i="8"/>
  <c r="M71" i="8" l="1"/>
  <c r="M67" i="8"/>
  <c r="M62" i="8"/>
  <c r="M66" i="8"/>
  <c r="M75" i="8"/>
  <c r="M51" i="8"/>
  <c r="M60" i="8"/>
  <c r="M71" i="6"/>
  <c r="M45" i="8"/>
  <c r="M131" i="8"/>
  <c r="M48" i="8"/>
  <c r="M73" i="8"/>
  <c r="M55" i="8"/>
  <c r="M72" i="8"/>
  <c r="M73" i="6"/>
  <c r="M53" i="8"/>
  <c r="M50" i="8"/>
  <c r="M46" i="8"/>
  <c r="M124" i="8"/>
  <c r="M47" i="8"/>
  <c r="M70" i="8"/>
  <c r="M77" i="8"/>
  <c r="M52" i="8"/>
  <c r="M61" i="8"/>
  <c r="M44" i="8"/>
  <c r="N45" i="6"/>
  <c r="N110" i="8"/>
  <c r="N55" i="6"/>
  <c r="N46" i="6" l="1"/>
  <c r="N70" i="6"/>
  <c r="N116" i="8" l="1"/>
  <c r="N118" i="8"/>
  <c r="N48" i="6"/>
  <c r="N131" i="8" s="1"/>
  <c r="N77" i="8" l="1"/>
  <c r="N124" i="8"/>
  <c r="N71" i="6"/>
  <c r="N53" i="8"/>
  <c r="N73" i="6"/>
  <c r="N72" i="8"/>
  <c r="N67" i="8"/>
  <c r="N44" i="8"/>
  <c r="N70" i="8"/>
  <c r="N47" i="8"/>
  <c r="N71" i="8"/>
  <c r="N60" i="8"/>
  <c r="N55" i="8"/>
  <c r="N75" i="8"/>
  <c r="N73" i="8"/>
  <c r="N66" i="8"/>
  <c r="N46" i="8"/>
  <c r="N48" i="8"/>
  <c r="N45" i="8"/>
  <c r="N50" i="8"/>
  <c r="N51" i="8"/>
  <c r="N61" i="8"/>
  <c r="N52" i="8"/>
  <c r="N6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hp</author>
  </authors>
  <commentList>
    <comment ref="G13" authorId="0" shapeId="0" xr:uid="{F210451F-ECAC-4DE3-BB3F-6B8409994CFB}">
      <text>
        <r>
          <rPr>
            <b/>
            <sz val="9"/>
            <color indexed="81"/>
            <rFont val="Tahoma"/>
            <family val="2"/>
          </rPr>
          <t>https://www.statista.com/statistics/1211697/forecasted-inflation-rate-in-nigeria/</t>
        </r>
      </text>
    </comment>
    <comment ref="G18" authorId="0" shapeId="0" xr:uid="{6FFB7A96-0949-4F65-8850-8BDB888F8C15}">
      <text>
        <r>
          <rPr>
            <sz val="9"/>
            <color indexed="81"/>
            <rFont val="Tahoma"/>
            <family val="2"/>
          </rPr>
          <t>https://startuptipsdaily.com/tiger-nut-milk-drink-production-business-nigeria-africa/#:~:text=Research%20has%20shown%20that%20there,6.7%25%20between%202021%20and%202026.</t>
        </r>
      </text>
    </comment>
  </commentList>
</comments>
</file>

<file path=xl/sharedStrings.xml><?xml version="1.0" encoding="utf-8"?>
<sst xmlns="http://schemas.openxmlformats.org/spreadsheetml/2006/main" count="617" uniqueCount="270">
  <si>
    <t>Nutri Elixir</t>
  </si>
  <si>
    <t>Five years Financial Model</t>
  </si>
  <si>
    <t>Assumptions</t>
  </si>
  <si>
    <t>Naira</t>
  </si>
  <si>
    <t>Workings</t>
  </si>
  <si>
    <t>CAPEX</t>
  </si>
  <si>
    <t>Financial Statements</t>
  </si>
  <si>
    <t>Valuation</t>
  </si>
  <si>
    <t>X</t>
  </si>
  <si>
    <t>Unit</t>
  </si>
  <si>
    <t>source</t>
  </si>
  <si>
    <t>General Assumptions</t>
  </si>
  <si>
    <t>Days in a week</t>
  </si>
  <si>
    <t>Weeks in a Month</t>
  </si>
  <si>
    <t>Months in a year</t>
  </si>
  <si>
    <t>Quarters in a Year</t>
  </si>
  <si>
    <t>Infaltion rate</t>
  </si>
  <si>
    <t>Credit Sales</t>
  </si>
  <si>
    <t>Closing Inventory</t>
  </si>
  <si>
    <t>Credit Purchases</t>
  </si>
  <si>
    <t>Statista</t>
  </si>
  <si>
    <t>Revenue Assumptions</t>
  </si>
  <si>
    <t>Tigernut drink</t>
  </si>
  <si>
    <t>Unit per pack</t>
  </si>
  <si>
    <t>No of pack per day</t>
  </si>
  <si>
    <t>Price per bottle</t>
  </si>
  <si>
    <t>Dry Tigernut</t>
  </si>
  <si>
    <t>Price per kg</t>
  </si>
  <si>
    <t>No of pack/kg per day</t>
  </si>
  <si>
    <t>Debino (Dates)</t>
  </si>
  <si>
    <t>Per day</t>
  </si>
  <si>
    <t>Pack</t>
  </si>
  <si>
    <t>Kg</t>
  </si>
  <si>
    <t>Direct Cost Assumptions</t>
  </si>
  <si>
    <t>Other Operating Cost Assumptions</t>
  </si>
  <si>
    <t>Marketing &amp; Advertising</t>
  </si>
  <si>
    <t>%</t>
  </si>
  <si>
    <t>Electricity</t>
  </si>
  <si>
    <t>Per Month</t>
  </si>
  <si>
    <t>Fueling</t>
  </si>
  <si>
    <t>Rent</t>
  </si>
  <si>
    <t>Per year</t>
  </si>
  <si>
    <t>Tigernut</t>
  </si>
  <si>
    <t>Debino</t>
  </si>
  <si>
    <t>Fruits</t>
  </si>
  <si>
    <t>Other Business Expenses</t>
  </si>
  <si>
    <t>Personnel Expenses</t>
  </si>
  <si>
    <t>Managing Director</t>
  </si>
  <si>
    <t>Marketing / Sales Representative</t>
  </si>
  <si>
    <t>Direct Labour</t>
  </si>
  <si>
    <t>unit</t>
  </si>
  <si>
    <t xml:space="preserve">Fee per day </t>
  </si>
  <si>
    <t>Count</t>
  </si>
  <si>
    <t>Monthly Salary</t>
  </si>
  <si>
    <t>Non-current Asset</t>
  </si>
  <si>
    <t>Acquisition</t>
  </si>
  <si>
    <t>Generator</t>
  </si>
  <si>
    <t>Furniture &amp; Fittings</t>
  </si>
  <si>
    <t>Quaterly</t>
  </si>
  <si>
    <t>Mudu per Quarter</t>
  </si>
  <si>
    <t>Price Per Mudu</t>
  </si>
  <si>
    <t>Packaging Pouch</t>
  </si>
  <si>
    <t>Unit per Quarter</t>
  </si>
  <si>
    <t>Price per pack</t>
  </si>
  <si>
    <t>Packaging Bottle</t>
  </si>
  <si>
    <t>Quantity Purchased</t>
  </si>
  <si>
    <t>Average Price Per Unit</t>
  </si>
  <si>
    <t>Deep Freezer</t>
  </si>
  <si>
    <t>Depreciation</t>
  </si>
  <si>
    <t>EUL</t>
  </si>
  <si>
    <t>Pre-incorporating Expenses</t>
  </si>
  <si>
    <t>Registration &amp; Licensing</t>
  </si>
  <si>
    <t>Advertising &amp; Marketing</t>
  </si>
  <si>
    <t>Miscellenous</t>
  </si>
  <si>
    <t>Training</t>
  </si>
  <si>
    <t>Branding</t>
  </si>
  <si>
    <t>Financing Assumption</t>
  </si>
  <si>
    <t>Capital Required</t>
  </si>
  <si>
    <t>Equity</t>
  </si>
  <si>
    <t>Debt</t>
  </si>
  <si>
    <t>Dividend Pay-out ratio</t>
  </si>
  <si>
    <t>Minimum Profit</t>
  </si>
  <si>
    <t>Coupon Rate</t>
  </si>
  <si>
    <t>Effective Interest Rate</t>
  </si>
  <si>
    <t>Loan Tenure</t>
  </si>
  <si>
    <t>Termination Year</t>
  </si>
  <si>
    <t>Revenue</t>
  </si>
  <si>
    <t>Tigernut Drink</t>
  </si>
  <si>
    <t>Whole Dates</t>
  </si>
  <si>
    <t>Total Revenue</t>
  </si>
  <si>
    <t>Cash Sales</t>
  </si>
  <si>
    <t>Cost of Sales</t>
  </si>
  <si>
    <t>Whole Tigernut</t>
  </si>
  <si>
    <t>Fruits (TD)</t>
  </si>
  <si>
    <t>Total Cost</t>
  </si>
  <si>
    <t>Total Purchases</t>
  </si>
  <si>
    <t>Cash Purchases</t>
  </si>
  <si>
    <t>Total Personnel Expenses</t>
  </si>
  <si>
    <t>Pre-incorporating expenses</t>
  </si>
  <si>
    <t>Total operating expenses</t>
  </si>
  <si>
    <t>Other Business Expenses (Branding)</t>
  </si>
  <si>
    <t>Kitchen Equipment</t>
  </si>
  <si>
    <t>Estimated Useful Life</t>
  </si>
  <si>
    <t>New Depreciation</t>
  </si>
  <si>
    <t>Total Depreciation FTY</t>
  </si>
  <si>
    <t>Acquisition Value</t>
  </si>
  <si>
    <t>Acquisitions</t>
  </si>
  <si>
    <t>Total</t>
  </si>
  <si>
    <t>Non-current Asset Register</t>
  </si>
  <si>
    <t>Cost</t>
  </si>
  <si>
    <t>Opening Balance</t>
  </si>
  <si>
    <t>Closing Balance</t>
  </si>
  <si>
    <t>Acqusitions</t>
  </si>
  <si>
    <t>Depreciation FTY</t>
  </si>
  <si>
    <t>Net Book Value</t>
  </si>
  <si>
    <t>Statement of Comprehensive Income</t>
  </si>
  <si>
    <t>Gross Profit</t>
  </si>
  <si>
    <t>Other Operating Expenses</t>
  </si>
  <si>
    <t>Total Operating Expenses</t>
  </si>
  <si>
    <t>Profit Before Interest &amp; Tax</t>
  </si>
  <si>
    <t>Number of Kitchen Staff</t>
  </si>
  <si>
    <t>Interest Expenses</t>
  </si>
  <si>
    <t>Profit Before Tax</t>
  </si>
  <si>
    <t>Tax Expense</t>
  </si>
  <si>
    <t>Profit After Tax</t>
  </si>
  <si>
    <t>Dividend Due</t>
  </si>
  <si>
    <t>Retained Earnings</t>
  </si>
  <si>
    <t>Cumulative Retained Earnings</t>
  </si>
  <si>
    <t xml:space="preserve">Statement of Financial Position </t>
  </si>
  <si>
    <t>Non-Current Asset</t>
  </si>
  <si>
    <t>Current Asset</t>
  </si>
  <si>
    <t>Receivables</t>
  </si>
  <si>
    <t>Cash</t>
  </si>
  <si>
    <t>Total current Asset</t>
  </si>
  <si>
    <t>Total Asset</t>
  </si>
  <si>
    <t>Equity &amp; Liabilities</t>
  </si>
  <si>
    <t>Payables</t>
  </si>
  <si>
    <t>Financing</t>
  </si>
  <si>
    <t>OPEX</t>
  </si>
  <si>
    <t>Loan Amortization Schedule</t>
  </si>
  <si>
    <t>Principal Loan amount</t>
  </si>
  <si>
    <t>Interest due</t>
  </si>
  <si>
    <t>Interest paid</t>
  </si>
  <si>
    <t>Terminal payment</t>
  </si>
  <si>
    <t>Taxation</t>
  </si>
  <si>
    <t>Minimum Taxable Revenue</t>
  </si>
  <si>
    <t>Taxable?</t>
  </si>
  <si>
    <t>Profit after tax</t>
  </si>
  <si>
    <t>Tax rate</t>
  </si>
  <si>
    <t>Dividend</t>
  </si>
  <si>
    <t>Profit before tax</t>
  </si>
  <si>
    <t>Dividend Payable?</t>
  </si>
  <si>
    <t>Dividend due</t>
  </si>
  <si>
    <t>Share Capital</t>
  </si>
  <si>
    <t>Cumulative retained earning</t>
  </si>
  <si>
    <t>Total Equity</t>
  </si>
  <si>
    <t>Liabilities</t>
  </si>
  <si>
    <t>Non-current liabilities</t>
  </si>
  <si>
    <t>Loan</t>
  </si>
  <si>
    <t>Total Non-current liabilities</t>
  </si>
  <si>
    <t>Current Liabilities</t>
  </si>
  <si>
    <t>Dividend payable</t>
  </si>
  <si>
    <t>Tax payable</t>
  </si>
  <si>
    <t>Total Current Liabilities</t>
  </si>
  <si>
    <t>Total Equity &amp; Liabilities</t>
  </si>
  <si>
    <t>Total Liabilities</t>
  </si>
  <si>
    <t>Opening balance</t>
  </si>
  <si>
    <t>Tax paid</t>
  </si>
  <si>
    <t>Tax expenses</t>
  </si>
  <si>
    <t>Closing balance</t>
  </si>
  <si>
    <t>Dividend paid</t>
  </si>
  <si>
    <t xml:space="preserve">Statement of Cashflow  </t>
  </si>
  <si>
    <t>Operating activities</t>
  </si>
  <si>
    <t>Add back non-cash items</t>
  </si>
  <si>
    <t>Tax expense</t>
  </si>
  <si>
    <t>Interest expense</t>
  </si>
  <si>
    <t>Changes in working capital</t>
  </si>
  <si>
    <t>Closing inventory</t>
  </si>
  <si>
    <t>Operating cashflow after WC changes</t>
  </si>
  <si>
    <t>Cash flow from operating activities</t>
  </si>
  <si>
    <t>Investing Activities</t>
  </si>
  <si>
    <t>Acquisition of Non-current asset</t>
  </si>
  <si>
    <t>Cash flow from investing activities</t>
  </si>
  <si>
    <t>Financing Activties</t>
  </si>
  <si>
    <t>Share capital</t>
  </si>
  <si>
    <t>Principal Loan</t>
  </si>
  <si>
    <t>Interest Paid</t>
  </si>
  <si>
    <t>Terminal Payment</t>
  </si>
  <si>
    <t>Cash flow from financing activities</t>
  </si>
  <si>
    <t>Cashflow FTY</t>
  </si>
  <si>
    <t>Opening cashflow</t>
  </si>
  <si>
    <t>Closing Cashflow</t>
  </si>
  <si>
    <t>Scenarios</t>
  </si>
  <si>
    <t>Base case</t>
  </si>
  <si>
    <t>Best case</t>
  </si>
  <si>
    <t>Worst case</t>
  </si>
  <si>
    <t>Discounted Cashflow model</t>
  </si>
  <si>
    <t>Cashflow from operations</t>
  </si>
  <si>
    <t>Interest Expense</t>
  </si>
  <si>
    <t>Tax savings on interest expense</t>
  </si>
  <si>
    <t>FCFF</t>
  </si>
  <si>
    <t>PV</t>
  </si>
  <si>
    <t>Weighted Average Cost of Capital</t>
  </si>
  <si>
    <t>Cost of equity</t>
  </si>
  <si>
    <t>Weight of equity</t>
  </si>
  <si>
    <t>Cost of debt</t>
  </si>
  <si>
    <t>Weight of debt</t>
  </si>
  <si>
    <t>Savings on tax</t>
  </si>
  <si>
    <t>WACC</t>
  </si>
  <si>
    <t>After tax cost of debt</t>
  </si>
  <si>
    <t>Discounting factor</t>
  </si>
  <si>
    <t>Terminal Value</t>
  </si>
  <si>
    <t>Longterm Growth</t>
  </si>
  <si>
    <t>Longterm growth rate</t>
  </si>
  <si>
    <t>Business Value</t>
  </si>
  <si>
    <t>Financial Statement Analysis</t>
  </si>
  <si>
    <t>Commonsize Analysis</t>
  </si>
  <si>
    <t>Revenue Breakdown</t>
  </si>
  <si>
    <t>Whole dates</t>
  </si>
  <si>
    <t>Statement of financial position</t>
  </si>
  <si>
    <t>Statement of cash flow</t>
  </si>
  <si>
    <t>Ratio Analysis</t>
  </si>
  <si>
    <t>Current Ratio</t>
  </si>
  <si>
    <t>Quick Ratio</t>
  </si>
  <si>
    <t>Liquidity Ratio</t>
  </si>
  <si>
    <t>Coverage Ratio</t>
  </si>
  <si>
    <t>Interest Coverage Ratio</t>
  </si>
  <si>
    <t>Total debt ratio</t>
  </si>
  <si>
    <t>Profitability Ratio</t>
  </si>
  <si>
    <t>Gross profit margin</t>
  </si>
  <si>
    <t>Net profit margin</t>
  </si>
  <si>
    <t>Return on Total Asset</t>
  </si>
  <si>
    <t>Return on Equity</t>
  </si>
  <si>
    <t>Year</t>
  </si>
  <si>
    <t>Gross proft</t>
  </si>
  <si>
    <t>Profit after Tax</t>
  </si>
  <si>
    <t>Revenue Items</t>
  </si>
  <si>
    <t>OPEX Item</t>
  </si>
  <si>
    <t>Opex</t>
  </si>
  <si>
    <t>Gross Profit Margin</t>
  </si>
  <si>
    <t>Net Profit Margin</t>
  </si>
  <si>
    <t xml:space="preserve"> </t>
  </si>
  <si>
    <t>Financial Data Set</t>
  </si>
  <si>
    <t>PIVOT</t>
  </si>
  <si>
    <t>Row Labels</t>
  </si>
  <si>
    <t>Grand Total</t>
  </si>
  <si>
    <t>Sum of Revenue</t>
  </si>
  <si>
    <t>Sum of Cost of Sales</t>
  </si>
  <si>
    <t>Sum of Gross proft</t>
  </si>
  <si>
    <t>Column Labels</t>
  </si>
  <si>
    <t>Sum of Opex</t>
  </si>
  <si>
    <t>Sum of Gross Profit Margin</t>
  </si>
  <si>
    <t>Sum of Net Profit Margin</t>
  </si>
  <si>
    <t>Sum of Return on Equity</t>
  </si>
  <si>
    <t>Average of Revenue</t>
  </si>
  <si>
    <t>Average of Gross proft</t>
  </si>
  <si>
    <t>Average of Profit after Tax</t>
  </si>
  <si>
    <t>Net Profit</t>
  </si>
  <si>
    <t>Output Sheet</t>
  </si>
  <si>
    <t>Input Sheet</t>
  </si>
  <si>
    <t>Calculations Sheet</t>
  </si>
  <si>
    <t>Dashboard</t>
  </si>
  <si>
    <t>Analysis</t>
  </si>
  <si>
    <t>Dataset</t>
  </si>
  <si>
    <t>Pivot</t>
  </si>
  <si>
    <t>Content</t>
  </si>
  <si>
    <t>MENU</t>
  </si>
  <si>
    <t>Menu</t>
  </si>
  <si>
    <t>Startup tips daily</t>
  </si>
  <si>
    <t>Carriage Inwards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</si>
</sst>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_(* #,##0_);_(* \(#,##0\);_(* &quot;-&quot;??_);_(@_)"/>
    <numFmt numFmtId="165" formatCode="0.0"/>
    <numFmt numFmtId="166" formatCode="0\ &quot;Years&quot;"/>
    <numFmt numFmtId="167" formatCode="0\ &quot;Months&quot;"/>
    <numFmt numFmtId="168" formatCode="&quot;Year&quot;\ 0"/>
    <numFmt numFmtId="169" formatCode="_(* #,##0.000_);_(* \(#,##0.000\);_(* &quot;-&quot;??_);_(@_)"/>
    <numFmt numFmtId="170" formatCode="0.00\ &quot;X&quot;"/>
    <numFmt numFmtId="171" formatCode="[$₦-466]\ #,##0"/>
    <numFmt numFmtId="172" formatCode="_([$€-2]\ * #,##0.00_);_([$€-2]\ * \(#,##0.00\);_([$€-2]\ * &quot;-&quot;??_);_(@_)"/>
  </numFmts>
  <fonts count="15" x14ac:knownFonts="1">
    <font>
      <sz val="11"/>
      <color theme="1"/>
      <name val="Century Gothic"/>
      <family val="2"/>
    </font>
    <font>
      <sz val="11"/>
      <color theme="1"/>
      <name val="Calibri"/>
      <family val="2"/>
      <scheme val="minor"/>
    </font>
    <font>
      <sz val="11"/>
      <color theme="0"/>
      <name val="Century Gothic"/>
      <family val="2"/>
    </font>
    <font>
      <b/>
      <sz val="11"/>
      <color theme="1"/>
      <name val="Century Gothic"/>
      <family val="2"/>
    </font>
    <font>
      <b/>
      <sz val="11"/>
      <color theme="0"/>
      <name val="Century Gothic"/>
      <family val="2"/>
    </font>
    <font>
      <b/>
      <sz val="10"/>
      <color theme="1"/>
      <name val="Century Gothic"/>
      <family val="2"/>
    </font>
    <font>
      <i/>
      <sz val="8"/>
      <color theme="1"/>
      <name val="Century Gothic"/>
      <family val="2"/>
    </font>
    <font>
      <b/>
      <sz val="11"/>
      <color indexed="9"/>
      <name val="Century Gothic"/>
      <family val="2"/>
    </font>
    <font>
      <i/>
      <sz val="11"/>
      <color theme="1"/>
      <name val="Century Gothic"/>
      <family val="2"/>
    </font>
    <font>
      <sz val="11"/>
      <color theme="1"/>
      <name val="Century Gothic"/>
      <family val="2"/>
    </font>
    <font>
      <sz val="11"/>
      <color theme="1"/>
      <name val="Calibri"/>
      <family val="2"/>
    </font>
    <font>
      <u/>
      <sz val="11"/>
      <color theme="10"/>
      <name val="Century Gothic"/>
      <family val="2"/>
    </font>
    <font>
      <b/>
      <u/>
      <sz val="14"/>
      <color theme="0"/>
      <name val="Bradley Hand ITC"/>
      <family val="4"/>
    </font>
    <font>
      <sz val="9"/>
      <color indexed="81"/>
      <name val="Tahoma"/>
      <family val="2"/>
    </font>
    <font>
      <b/>
      <sz val="9"/>
      <color indexed="81"/>
      <name val="Tahoma"/>
      <family val="2"/>
    </font>
  </fonts>
  <fills count="9">
    <fill>
      <patternFill patternType="none"/>
    </fill>
    <fill>
      <patternFill patternType="gray125"/>
    </fill>
    <fill>
      <patternFill patternType="solid">
        <fgColor theme="2" tint="-0.249977111117893"/>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7" tint="-0.249977111117893"/>
        <bgColor indexed="64"/>
      </patternFill>
    </fill>
    <fill>
      <patternFill patternType="solid">
        <fgColor theme="5" tint="-0.49998474074526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right/>
      <top style="thin">
        <color theme="1"/>
      </top>
      <bottom style="double">
        <color theme="1"/>
      </bottom>
      <diagonal/>
    </border>
    <border>
      <left/>
      <right/>
      <top style="medium">
        <color auto="1"/>
      </top>
      <bottom/>
      <diagonal/>
    </border>
    <border>
      <left style="thin">
        <color indexed="64"/>
      </left>
      <right style="thin">
        <color indexed="64"/>
      </right>
      <top style="thin">
        <color indexed="64"/>
      </top>
      <bottom/>
      <diagonal/>
    </border>
  </borders>
  <cellStyleXfs count="6">
    <xf numFmtId="0" fontId="0" fillId="0" borderId="0"/>
    <xf numFmtId="43" fontId="1" fillId="0" borderId="0" applyFont="0" applyFill="0" applyBorder="0" applyAlignment="0" applyProtection="0"/>
    <xf numFmtId="38" fontId="3" fillId="5" borderId="4" applyAlignment="0" applyProtection="0"/>
    <xf numFmtId="37" fontId="3" fillId="0" borderId="5"/>
    <xf numFmtId="9" fontId="9" fillId="0" borderId="0" applyFont="0" applyFill="0" applyBorder="0" applyAlignment="0" applyProtection="0"/>
    <xf numFmtId="0" fontId="11" fillId="0" borderId="0" applyNumberFormat="0" applyFill="0" applyBorder="0" applyAlignment="0" applyProtection="0"/>
  </cellStyleXfs>
  <cellXfs count="65">
    <xf numFmtId="0" fontId="0" fillId="0" borderId="0" xfId="0"/>
    <xf numFmtId="0" fontId="0" fillId="2" borderId="0" xfId="0" applyFill="1"/>
    <xf numFmtId="0" fontId="2" fillId="3" borderId="0" xfId="0" applyFont="1" applyFill="1"/>
    <xf numFmtId="0" fontId="4" fillId="3" borderId="0" xfId="0" applyFont="1" applyFill="1"/>
    <xf numFmtId="0" fontId="0" fillId="4" borderId="0" xfId="0" applyFill="1"/>
    <xf numFmtId="0" fontId="3" fillId="4" borderId="0" xfId="0" applyFont="1" applyFill="1"/>
    <xf numFmtId="0" fontId="5" fillId="4" borderId="0" xfId="0" applyFont="1" applyFill="1"/>
    <xf numFmtId="0" fontId="6" fillId="0" borderId="0" xfId="0" applyFont="1"/>
    <xf numFmtId="0" fontId="7" fillId="3" borderId="0" xfId="0" applyFont="1" applyFill="1"/>
    <xf numFmtId="0" fontId="0" fillId="0" borderId="1" xfId="0" applyBorder="1"/>
    <xf numFmtId="0" fontId="0" fillId="5" borderId="1" xfId="0" applyFill="1" applyBorder="1"/>
    <xf numFmtId="9" fontId="0" fillId="5" borderId="1" xfId="0" applyNumberFormat="1" applyFill="1" applyBorder="1"/>
    <xf numFmtId="164" fontId="0" fillId="5" borderId="1" xfId="1" applyNumberFormat="1" applyFont="1" applyFill="1" applyBorder="1"/>
    <xf numFmtId="0" fontId="5" fillId="0" borderId="0" xfId="0" applyFont="1"/>
    <xf numFmtId="164" fontId="0" fillId="0" borderId="1" xfId="1" applyNumberFormat="1" applyFont="1" applyFill="1" applyBorder="1"/>
    <xf numFmtId="3" fontId="0" fillId="0" borderId="0" xfId="0" applyNumberFormat="1"/>
    <xf numFmtId="165" fontId="0" fillId="0" borderId="0" xfId="0" applyNumberFormat="1"/>
    <xf numFmtId="164" fontId="0" fillId="0" borderId="0" xfId="0" applyNumberFormat="1"/>
    <xf numFmtId="164" fontId="0" fillId="0" borderId="0" xfId="1" applyNumberFormat="1" applyFont="1" applyFill="1" applyBorder="1"/>
    <xf numFmtId="164" fontId="0" fillId="0" borderId="2" xfId="1" applyNumberFormat="1" applyFont="1" applyFill="1" applyBorder="1"/>
    <xf numFmtId="0" fontId="8" fillId="0" borderId="0" xfId="0" applyFont="1"/>
    <xf numFmtId="0" fontId="3" fillId="0" borderId="0" xfId="0" applyFont="1"/>
    <xf numFmtId="164" fontId="0" fillId="0" borderId="1" xfId="0" applyNumberFormat="1" applyBorder="1"/>
    <xf numFmtId="9" fontId="0" fillId="0" borderId="1" xfId="0" applyNumberFormat="1" applyBorder="1"/>
    <xf numFmtId="166" fontId="0" fillId="5" borderId="1" xfId="0" applyNumberFormat="1" applyFill="1" applyBorder="1"/>
    <xf numFmtId="164" fontId="3" fillId="0" borderId="0" xfId="0" applyNumberFormat="1" applyFont="1"/>
    <xf numFmtId="9" fontId="0" fillId="5" borderId="3" xfId="0" applyNumberFormat="1" applyFill="1" applyBorder="1"/>
    <xf numFmtId="164" fontId="0" fillId="0" borderId="0" xfId="1" applyNumberFormat="1" applyFont="1"/>
    <xf numFmtId="38" fontId="3" fillId="5" borderId="4" xfId="2"/>
    <xf numFmtId="37" fontId="3" fillId="0" borderId="5" xfId="3"/>
    <xf numFmtId="166" fontId="0" fillId="0" borderId="0" xfId="0" applyNumberFormat="1"/>
    <xf numFmtId="164" fontId="0" fillId="0" borderId="1" xfId="1" applyNumberFormat="1" applyFont="1" applyBorder="1"/>
    <xf numFmtId="164" fontId="3" fillId="0" borderId="1" xfId="1" applyNumberFormat="1" applyFont="1" applyBorder="1"/>
    <xf numFmtId="164" fontId="0" fillId="0" borderId="0" xfId="1" applyNumberFormat="1" applyFont="1" applyBorder="1"/>
    <xf numFmtId="164" fontId="0" fillId="0" borderId="6" xfId="1" applyNumberFormat="1" applyFont="1" applyBorder="1"/>
    <xf numFmtId="38" fontId="0" fillId="0" borderId="0" xfId="0" applyNumberFormat="1"/>
    <xf numFmtId="164" fontId="3" fillId="0" borderId="0" xfId="1" applyNumberFormat="1" applyFont="1"/>
    <xf numFmtId="9" fontId="0" fillId="0" borderId="0" xfId="4" applyFont="1"/>
    <xf numFmtId="167" fontId="0" fillId="5" borderId="1" xfId="0" applyNumberFormat="1" applyFill="1" applyBorder="1"/>
    <xf numFmtId="164" fontId="0" fillId="0" borderId="0" xfId="1" applyNumberFormat="1" applyFont="1" applyFill="1"/>
    <xf numFmtId="37" fontId="0" fillId="0" borderId="1" xfId="0" applyNumberFormat="1" applyBorder="1"/>
    <xf numFmtId="0" fontId="0" fillId="0" borderId="0" xfId="0" applyAlignment="1">
      <alignment horizontal="left" indent="1"/>
    </xf>
    <xf numFmtId="0" fontId="0" fillId="0" borderId="0" xfId="0" applyAlignment="1">
      <alignment horizontal="left"/>
    </xf>
    <xf numFmtId="9" fontId="0" fillId="0" borderId="0" xfId="0" applyNumberFormat="1"/>
    <xf numFmtId="37" fontId="0" fillId="0" borderId="0" xfId="0" applyNumberFormat="1"/>
    <xf numFmtId="168" fontId="7" fillId="3" borderId="0" xfId="0" applyNumberFormat="1" applyFont="1" applyFill="1"/>
    <xf numFmtId="169" fontId="0" fillId="0" borderId="0" xfId="1" applyNumberFormat="1" applyFont="1"/>
    <xf numFmtId="43" fontId="0" fillId="0" borderId="0" xfId="0" applyNumberFormat="1"/>
    <xf numFmtId="9" fontId="3" fillId="0" borderId="0" xfId="4" applyFont="1"/>
    <xf numFmtId="9" fontId="3" fillId="0" borderId="5" xfId="4" applyFont="1" applyBorder="1"/>
    <xf numFmtId="9" fontId="3" fillId="5" borderId="4" xfId="4" applyFont="1" applyFill="1" applyBorder="1"/>
    <xf numFmtId="170" fontId="0" fillId="0" borderId="0" xfId="4" applyNumberFormat="1" applyFont="1"/>
    <xf numFmtId="0" fontId="0" fillId="0" borderId="0" xfId="0" pivotButton="1"/>
    <xf numFmtId="0" fontId="0" fillId="6" borderId="0" xfId="0" applyFill="1"/>
    <xf numFmtId="171" fontId="0" fillId="0" borderId="0" xfId="0" applyNumberFormat="1"/>
    <xf numFmtId="172" fontId="0" fillId="0" borderId="0" xfId="0" applyNumberFormat="1"/>
    <xf numFmtId="0" fontId="10" fillId="0" borderId="0" xfId="0" applyFont="1"/>
    <xf numFmtId="0" fontId="0" fillId="3" borderId="0" xfId="0" applyFill="1"/>
    <xf numFmtId="0" fontId="0" fillId="5" borderId="0" xfId="0" applyFill="1"/>
    <xf numFmtId="0" fontId="0" fillId="7" borderId="0" xfId="0" applyFill="1"/>
    <xf numFmtId="0" fontId="0" fillId="8" borderId="0" xfId="0" applyFill="1"/>
    <xf numFmtId="0" fontId="11" fillId="4" borderId="0" xfId="5" applyFill="1" applyAlignment="1">
      <alignment horizontal="left" indent="1"/>
    </xf>
    <xf numFmtId="0" fontId="11" fillId="6" borderId="0" xfId="5" applyFill="1"/>
    <xf numFmtId="0" fontId="11" fillId="4" borderId="0" xfId="5" applyFill="1"/>
    <xf numFmtId="0" fontId="12" fillId="3" borderId="0" xfId="0" applyFont="1" applyFill="1" applyAlignment="1">
      <alignment horizontal="center" vertical="center"/>
    </xf>
  </cellXfs>
  <cellStyles count="6">
    <cellStyle name="Comma" xfId="1" builtinId="3"/>
    <cellStyle name="Hyperlink" xfId="5" builtinId="8"/>
    <cellStyle name="Normal" xfId="0" builtinId="0" customBuiltin="1"/>
    <cellStyle name="Percent" xfId="4" builtinId="5"/>
    <cellStyle name="Sub total" xfId="3" xr:uid="{528ED384-79ED-4FBA-B87D-FECE50701A65}"/>
    <cellStyle name="Total" xfId="2" builtinId="25" customBuiltin="1"/>
  </cellStyles>
  <dxfs count="31">
    <dxf>
      <numFmt numFmtId="3" formatCode="#,##0"/>
    </dxf>
    <dxf>
      <numFmt numFmtId="3" formatCode="#,##0"/>
    </dxf>
    <dxf>
      <numFmt numFmtId="3" formatCode="#,##0"/>
    </dxf>
    <dxf>
      <numFmt numFmtId="13" formatCode="0%"/>
    </dxf>
    <dxf>
      <numFmt numFmtId="3" formatCode="#,##0"/>
    </dxf>
    <dxf>
      <numFmt numFmtId="3" formatCode="#,##0"/>
    </dxf>
    <dxf>
      <numFmt numFmtId="3" formatCode="#,##0"/>
    </dxf>
    <dxf>
      <numFmt numFmtId="3" formatCode="#,##0"/>
    </dxf>
    <dxf>
      <numFmt numFmtId="3" formatCode="#,##0"/>
    </dxf>
    <dxf>
      <numFmt numFmtId="3" formatCode="#,##0"/>
    </dxf>
    <dxf>
      <numFmt numFmtId="13" formatCode="0%"/>
    </dxf>
    <dxf>
      <numFmt numFmtId="3" formatCode="#,##0"/>
    </dxf>
    <dxf>
      <numFmt numFmtId="3" formatCode="#,##0"/>
    </dxf>
    <dxf>
      <numFmt numFmtId="3" formatCode="#,##0"/>
    </dxf>
    <dxf>
      <numFmt numFmtId="3" formatCode="#,##0"/>
    </dxf>
    <dxf>
      <numFmt numFmtId="3" formatCode="#,##0"/>
    </dxf>
    <dxf>
      <numFmt numFmtId="3" formatCode="#,##0"/>
    </dxf>
    <dxf>
      <numFmt numFmtId="13" formatCode="0%"/>
    </dxf>
    <dxf>
      <numFmt numFmtId="3" formatCode="#,##0"/>
    </dxf>
    <dxf>
      <numFmt numFmtId="3" formatCode="#,##0"/>
    </dxf>
    <dxf>
      <numFmt numFmtId="3" formatCode="#,##0"/>
    </dxf>
    <dxf>
      <font>
        <b val="0"/>
        <i val="0"/>
        <strike val="0"/>
        <condense val="0"/>
        <extend val="0"/>
        <outline val="0"/>
        <shadow val="0"/>
        <u val="none"/>
        <vertAlign val="baseline"/>
        <sz val="11"/>
        <color theme="1"/>
        <name val="Century Gothic"/>
        <family val="2"/>
        <scheme val="none"/>
      </font>
    </dxf>
    <dxf>
      <font>
        <b val="0"/>
        <i val="0"/>
        <strike val="0"/>
        <condense val="0"/>
        <extend val="0"/>
        <outline val="0"/>
        <shadow val="0"/>
        <u val="none"/>
        <vertAlign val="baseline"/>
        <sz val="11"/>
        <color theme="1"/>
        <name val="Century Gothic"/>
        <family val="2"/>
        <scheme val="none"/>
      </font>
    </dxf>
    <dxf>
      <font>
        <b val="0"/>
        <i val="0"/>
        <strike val="0"/>
        <condense val="0"/>
        <extend val="0"/>
        <outline val="0"/>
        <shadow val="0"/>
        <u val="none"/>
        <vertAlign val="baseline"/>
        <sz val="11"/>
        <color theme="1"/>
        <name val="Century Gothic"/>
        <family val="2"/>
        <scheme val="none"/>
      </font>
    </dxf>
    <dxf>
      <font>
        <b val="0"/>
        <i val="0"/>
        <strike val="0"/>
        <condense val="0"/>
        <extend val="0"/>
        <outline val="0"/>
        <shadow val="0"/>
        <u val="none"/>
        <vertAlign val="baseline"/>
        <sz val="11"/>
        <color theme="1"/>
        <name val="Century Gothic"/>
        <family val="2"/>
        <scheme val="none"/>
      </font>
      <numFmt numFmtId="164" formatCode="_(* #,##0_);_(* \(#,##0\);_(* &quot;-&quot;??_);_(@_)"/>
    </dxf>
    <dxf>
      <font>
        <b val="0"/>
        <i val="0"/>
        <strike val="0"/>
        <condense val="0"/>
        <extend val="0"/>
        <outline val="0"/>
        <shadow val="0"/>
        <u val="none"/>
        <vertAlign val="baseline"/>
        <sz val="11"/>
        <color theme="1"/>
        <name val="Century Gothic"/>
        <family val="2"/>
        <scheme val="none"/>
      </font>
      <numFmt numFmtId="164" formatCode="_(* #,##0_);_(* \(#,##0\);_(* &quot;-&quot;??_);_(@_)"/>
    </dxf>
    <dxf>
      <font>
        <b val="0"/>
        <i val="0"/>
        <strike val="0"/>
        <condense val="0"/>
        <extend val="0"/>
        <outline val="0"/>
        <shadow val="0"/>
        <u val="none"/>
        <vertAlign val="baseline"/>
        <sz val="11"/>
        <color theme="1"/>
        <name val="Century Gothic"/>
        <family val="2"/>
        <scheme val="none"/>
      </font>
      <numFmt numFmtId="164" formatCode="_(* #,##0_);_(* \(#,##0\);_(* &quot;-&quot;??_);_(@_)"/>
    </dxf>
    <dxf>
      <font>
        <b val="0"/>
        <i val="0"/>
        <strike val="0"/>
        <condense val="0"/>
        <extend val="0"/>
        <outline val="0"/>
        <shadow val="0"/>
        <u val="none"/>
        <vertAlign val="baseline"/>
        <sz val="11"/>
        <color theme="1"/>
        <name val="Century Gothic"/>
        <family val="2"/>
        <scheme val="none"/>
      </font>
      <numFmt numFmtId="164" formatCode="_(* #,##0_);_(* \(#,##0\);_(* &quot;-&quot;??_);_(@_)"/>
    </dxf>
    <dxf>
      <font>
        <b val="0"/>
        <i val="0"/>
        <strike val="0"/>
        <condense val="0"/>
        <extend val="0"/>
        <outline val="0"/>
        <shadow val="0"/>
        <u val="none"/>
        <vertAlign val="baseline"/>
        <sz val="11"/>
        <color theme="1"/>
        <name val="Century Gothic"/>
        <family val="2"/>
        <scheme val="none"/>
      </font>
      <numFmt numFmtId="164" formatCode="_(* #,##0_);_(* \(#,##0\);_(* &quot;-&quot;??_);_(@_)"/>
    </dxf>
    <dxf>
      <font>
        <b val="0"/>
        <i val="0"/>
        <strike val="0"/>
        <condense val="0"/>
        <extend val="0"/>
        <outline val="0"/>
        <shadow val="0"/>
        <u val="none"/>
        <vertAlign val="baseline"/>
        <sz val="11"/>
        <color theme="1"/>
        <name val="Century Gothic"/>
        <family val="2"/>
        <scheme val="none"/>
      </font>
      <numFmt numFmtId="164" formatCode="_(* #,##0_);_(* \(#,##0\);_(* &quot;-&quot;??_);_(@_)"/>
    </dxf>
    <dxf>
      <font>
        <b val="0"/>
        <i val="0"/>
        <strike val="0"/>
        <condense val="0"/>
        <extend val="0"/>
        <outline val="0"/>
        <shadow val="0"/>
        <u val="none"/>
        <vertAlign val="baseline"/>
        <sz val="11"/>
        <color theme="1"/>
        <name val="Century Gothic"/>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[Nutri Elixir- Hafsat Itanola Capstone Project.xlsx]Pivot!SOCI Breakdown</c:name>
    <c:fmtId val="3"/>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Pivot!$C$8</c:f>
              <c:strCache>
                <c:ptCount val="1"/>
                <c:pt idx="0">
                  <c:v>Sum of Revenue</c:v>
                </c:pt>
              </c:strCache>
            </c:strRef>
          </c:tx>
          <c:spPr>
            <a:solidFill>
              <a:schemeClr val="accent1"/>
            </a:solidFill>
            <a:ln>
              <a:noFill/>
            </a:ln>
            <a:effectLst/>
          </c:spPr>
          <c:invertIfNegative val="0"/>
          <c:cat>
            <c:strRef>
              <c:f>Pivot!$B$9:$B$14</c:f>
              <c:strCache>
                <c:ptCount val="5"/>
                <c:pt idx="0">
                  <c:v>2024</c:v>
                </c:pt>
                <c:pt idx="1">
                  <c:v>2025</c:v>
                </c:pt>
                <c:pt idx="2">
                  <c:v>2026</c:v>
                </c:pt>
                <c:pt idx="3">
                  <c:v>2027</c:v>
                </c:pt>
                <c:pt idx="4">
                  <c:v>2028</c:v>
                </c:pt>
              </c:strCache>
            </c:strRef>
          </c:cat>
          <c:val>
            <c:numRef>
              <c:f>Pivot!$C$9:$C$14</c:f>
              <c:numCache>
                <c:formatCode>#,##0</c:formatCode>
                <c:ptCount val="5"/>
                <c:pt idx="0">
                  <c:v>3758400</c:v>
                </c:pt>
                <c:pt idx="1">
                  <c:v>9000000</c:v>
                </c:pt>
                <c:pt idx="2">
                  <c:v>16320000</c:v>
                </c:pt>
                <c:pt idx="3">
                  <c:v>19440000</c:v>
                </c:pt>
                <c:pt idx="4">
                  <c:v>28128000</c:v>
                </c:pt>
              </c:numCache>
            </c:numRef>
          </c:val>
          <c:extLst>
            <c:ext xmlns:c16="http://schemas.microsoft.com/office/drawing/2014/chart" uri="{C3380CC4-5D6E-409C-BE32-E72D297353CC}">
              <c16:uniqueId val="{00000000-C06D-451F-9FB0-DB02D2A0168F}"/>
            </c:ext>
          </c:extLst>
        </c:ser>
        <c:ser>
          <c:idx val="1"/>
          <c:order val="1"/>
          <c:tx>
            <c:strRef>
              <c:f>Pivot!$D$8</c:f>
              <c:strCache>
                <c:ptCount val="1"/>
                <c:pt idx="0">
                  <c:v>Sum of Cost of Sales</c:v>
                </c:pt>
              </c:strCache>
            </c:strRef>
          </c:tx>
          <c:spPr>
            <a:solidFill>
              <a:schemeClr val="accent2"/>
            </a:solidFill>
            <a:ln>
              <a:noFill/>
            </a:ln>
            <a:effectLst/>
          </c:spPr>
          <c:invertIfNegative val="0"/>
          <c:cat>
            <c:strRef>
              <c:f>Pivot!$B$9:$B$14</c:f>
              <c:strCache>
                <c:ptCount val="5"/>
                <c:pt idx="0">
                  <c:v>2024</c:v>
                </c:pt>
                <c:pt idx="1">
                  <c:v>2025</c:v>
                </c:pt>
                <c:pt idx="2">
                  <c:v>2026</c:v>
                </c:pt>
                <c:pt idx="3">
                  <c:v>2027</c:v>
                </c:pt>
                <c:pt idx="4">
                  <c:v>2028</c:v>
                </c:pt>
              </c:strCache>
            </c:strRef>
          </c:cat>
          <c:val>
            <c:numRef>
              <c:f>Pivot!$D$9:$D$14</c:f>
              <c:numCache>
                <c:formatCode>#,##0</c:formatCode>
                <c:ptCount val="5"/>
                <c:pt idx="0">
                  <c:v>2060288</c:v>
                </c:pt>
                <c:pt idx="1">
                  <c:v>5806959</c:v>
                </c:pt>
                <c:pt idx="2">
                  <c:v>11386950.19836</c:v>
                </c:pt>
                <c:pt idx="3">
                  <c:v>13486306.493988002</c:v>
                </c:pt>
                <c:pt idx="4">
                  <c:v>20714295.199985906</c:v>
                </c:pt>
              </c:numCache>
            </c:numRef>
          </c:val>
          <c:extLst>
            <c:ext xmlns:c16="http://schemas.microsoft.com/office/drawing/2014/chart" uri="{C3380CC4-5D6E-409C-BE32-E72D297353CC}">
              <c16:uniqueId val="{00000001-C06D-451F-9FB0-DB02D2A0168F}"/>
            </c:ext>
          </c:extLst>
        </c:ser>
        <c:ser>
          <c:idx val="2"/>
          <c:order val="2"/>
          <c:tx>
            <c:strRef>
              <c:f>Pivot!$E$8</c:f>
              <c:strCache>
                <c:ptCount val="1"/>
                <c:pt idx="0">
                  <c:v>Sum of Gross proft</c:v>
                </c:pt>
              </c:strCache>
            </c:strRef>
          </c:tx>
          <c:spPr>
            <a:solidFill>
              <a:schemeClr val="accent3"/>
            </a:solidFill>
            <a:ln>
              <a:noFill/>
            </a:ln>
            <a:effectLst/>
          </c:spPr>
          <c:invertIfNegative val="0"/>
          <c:cat>
            <c:strRef>
              <c:f>Pivot!$B$9:$B$14</c:f>
              <c:strCache>
                <c:ptCount val="5"/>
                <c:pt idx="0">
                  <c:v>2024</c:v>
                </c:pt>
                <c:pt idx="1">
                  <c:v>2025</c:v>
                </c:pt>
                <c:pt idx="2">
                  <c:v>2026</c:v>
                </c:pt>
                <c:pt idx="3">
                  <c:v>2027</c:v>
                </c:pt>
                <c:pt idx="4">
                  <c:v>2028</c:v>
                </c:pt>
              </c:strCache>
            </c:strRef>
          </c:cat>
          <c:val>
            <c:numRef>
              <c:f>Pivot!$E$9:$E$14</c:f>
              <c:numCache>
                <c:formatCode>#,##0</c:formatCode>
                <c:ptCount val="5"/>
                <c:pt idx="0">
                  <c:v>1698112</c:v>
                </c:pt>
                <c:pt idx="1">
                  <c:v>3193041</c:v>
                </c:pt>
                <c:pt idx="2">
                  <c:v>4933049.8016400002</c:v>
                </c:pt>
                <c:pt idx="3">
                  <c:v>5953693.5060119983</c:v>
                </c:pt>
                <c:pt idx="4">
                  <c:v>7413704.8000140935</c:v>
                </c:pt>
              </c:numCache>
            </c:numRef>
          </c:val>
          <c:extLst>
            <c:ext xmlns:c16="http://schemas.microsoft.com/office/drawing/2014/chart" uri="{C3380CC4-5D6E-409C-BE32-E72D297353CC}">
              <c16:uniqueId val="{00000002-C06D-451F-9FB0-DB02D2A0168F}"/>
            </c:ext>
          </c:extLst>
        </c:ser>
        <c:dLbls>
          <c:showLegendKey val="0"/>
          <c:showVal val="0"/>
          <c:showCatName val="0"/>
          <c:showSerName val="0"/>
          <c:showPercent val="0"/>
          <c:showBubbleSize val="0"/>
        </c:dLbls>
        <c:gapWidth val="150"/>
        <c:axId val="577858559"/>
        <c:axId val="547231631"/>
      </c:barChart>
      <c:catAx>
        <c:axId val="5778585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bg1"/>
                </a:solidFill>
                <a:latin typeface="Century Gothic" panose="020B0502020202020204" pitchFamily="34" charset="0"/>
                <a:ea typeface="+mn-ea"/>
                <a:cs typeface="+mn-cs"/>
              </a:defRPr>
            </a:pPr>
            <a:endParaRPr lang="en-US"/>
          </a:p>
        </c:txPr>
        <c:crossAx val="547231631"/>
        <c:crosses val="autoZero"/>
        <c:auto val="1"/>
        <c:lblAlgn val="ctr"/>
        <c:lblOffset val="100"/>
        <c:noMultiLvlLbl val="0"/>
      </c:catAx>
      <c:valAx>
        <c:axId val="547231631"/>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bg1"/>
                </a:solidFill>
                <a:latin typeface="Century Gothic" panose="020B0502020202020204" pitchFamily="34" charset="0"/>
                <a:ea typeface="+mn-ea"/>
                <a:cs typeface="+mn-cs"/>
              </a:defRPr>
            </a:pPr>
            <a:endParaRPr lang="en-US"/>
          </a:p>
        </c:txPr>
        <c:crossAx val="577858559"/>
        <c:crosses val="autoZero"/>
        <c:crossBetween val="between"/>
      </c:valAx>
      <c:spPr>
        <a:noFill/>
        <a:ln w="25400">
          <a:noFill/>
        </a:ln>
        <a:effectLst/>
      </c:spPr>
    </c:plotArea>
    <c:legend>
      <c:legendPos val="b"/>
      <c:layout>
        <c:manualLayout>
          <c:xMode val="edge"/>
          <c:yMode val="edge"/>
          <c:x val="9.6905520550266567E-3"/>
          <c:y val="0.87042037683144813"/>
          <c:w val="0.95833380778579846"/>
          <c:h val="0.10396911822939521"/>
        </c:manualLayout>
      </c:layout>
      <c:overlay val="0"/>
      <c:spPr>
        <a:noFill/>
        <a:ln>
          <a:noFill/>
        </a:ln>
        <a:effectLst/>
      </c:spPr>
      <c:txPr>
        <a:bodyPr rot="0" spcFirstLastPara="1" vertOverflow="ellipsis" vert="horz" wrap="square" anchor="ctr" anchorCtr="1"/>
        <a:lstStyle/>
        <a:p>
          <a:pPr>
            <a:defRPr sz="700" b="0" i="0" u="none" strike="noStrike" kern="1200" baseline="0">
              <a:solidFill>
                <a:schemeClr val="bg1"/>
              </a:solidFill>
              <a:latin typeface="Century Gothic" panose="020B0502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[Nutri Elixir- Hafsat Itanola Capstone Project.xlsx]Pivot!PivotTable4</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Pivot!$C$18:$C$19</c:f>
              <c:strCache>
                <c:ptCount val="1"/>
                <c:pt idx="0">
                  <c:v>Dry Tigernut</c:v>
                </c:pt>
              </c:strCache>
            </c:strRef>
          </c:tx>
          <c:spPr>
            <a:solidFill>
              <a:schemeClr val="accent1"/>
            </a:solidFill>
            <a:ln>
              <a:noFill/>
            </a:ln>
            <a:effectLst/>
          </c:spPr>
          <c:invertIfNegative val="0"/>
          <c:cat>
            <c:strRef>
              <c:f>Pivot!$B$20:$B$25</c:f>
              <c:strCache>
                <c:ptCount val="5"/>
                <c:pt idx="0">
                  <c:v>2024</c:v>
                </c:pt>
                <c:pt idx="1">
                  <c:v>2025</c:v>
                </c:pt>
                <c:pt idx="2">
                  <c:v>2026</c:v>
                </c:pt>
                <c:pt idx="3">
                  <c:v>2027</c:v>
                </c:pt>
                <c:pt idx="4">
                  <c:v>2028</c:v>
                </c:pt>
              </c:strCache>
            </c:strRef>
          </c:cat>
          <c:val>
            <c:numRef>
              <c:f>Pivot!$C$20:$C$25</c:f>
              <c:numCache>
                <c:formatCode>#,##0</c:formatCode>
                <c:ptCount val="5"/>
                <c:pt idx="0">
                  <c:v>432000</c:v>
                </c:pt>
                <c:pt idx="1">
                  <c:v>1800000</c:v>
                </c:pt>
                <c:pt idx="2">
                  <c:v>2040000</c:v>
                </c:pt>
                <c:pt idx="3">
                  <c:v>2856000</c:v>
                </c:pt>
                <c:pt idx="4">
                  <c:v>3192000</c:v>
                </c:pt>
              </c:numCache>
            </c:numRef>
          </c:val>
          <c:extLst>
            <c:ext xmlns:c16="http://schemas.microsoft.com/office/drawing/2014/chart" uri="{C3380CC4-5D6E-409C-BE32-E72D297353CC}">
              <c16:uniqueId val="{00000000-491F-41F6-990B-A64FE4729537}"/>
            </c:ext>
          </c:extLst>
        </c:ser>
        <c:ser>
          <c:idx val="1"/>
          <c:order val="1"/>
          <c:tx>
            <c:strRef>
              <c:f>Pivot!$D$18:$D$19</c:f>
              <c:strCache>
                <c:ptCount val="1"/>
                <c:pt idx="0">
                  <c:v>Tigernut drink</c:v>
                </c:pt>
              </c:strCache>
            </c:strRef>
          </c:tx>
          <c:spPr>
            <a:solidFill>
              <a:schemeClr val="accent2"/>
            </a:solidFill>
            <a:ln>
              <a:noFill/>
            </a:ln>
            <a:effectLst/>
          </c:spPr>
          <c:invertIfNegative val="0"/>
          <c:cat>
            <c:strRef>
              <c:f>Pivot!$B$20:$B$25</c:f>
              <c:strCache>
                <c:ptCount val="5"/>
                <c:pt idx="0">
                  <c:v>2024</c:v>
                </c:pt>
                <c:pt idx="1">
                  <c:v>2025</c:v>
                </c:pt>
                <c:pt idx="2">
                  <c:v>2026</c:v>
                </c:pt>
                <c:pt idx="3">
                  <c:v>2027</c:v>
                </c:pt>
                <c:pt idx="4">
                  <c:v>2028</c:v>
                </c:pt>
              </c:strCache>
            </c:strRef>
          </c:cat>
          <c:val>
            <c:numRef>
              <c:f>Pivot!$D$20:$D$25</c:f>
              <c:numCache>
                <c:formatCode>#,##0</c:formatCode>
                <c:ptCount val="5"/>
                <c:pt idx="0">
                  <c:v>2462400</c:v>
                </c:pt>
                <c:pt idx="1">
                  <c:v>5760000</c:v>
                </c:pt>
                <c:pt idx="2">
                  <c:v>11520000</c:v>
                </c:pt>
                <c:pt idx="3">
                  <c:v>13824000</c:v>
                </c:pt>
                <c:pt idx="4">
                  <c:v>20736000</c:v>
                </c:pt>
              </c:numCache>
            </c:numRef>
          </c:val>
          <c:extLst>
            <c:ext xmlns:c16="http://schemas.microsoft.com/office/drawing/2014/chart" uri="{C3380CC4-5D6E-409C-BE32-E72D297353CC}">
              <c16:uniqueId val="{00000001-491F-41F6-990B-A64FE4729537}"/>
            </c:ext>
          </c:extLst>
        </c:ser>
        <c:ser>
          <c:idx val="2"/>
          <c:order val="2"/>
          <c:tx>
            <c:strRef>
              <c:f>Pivot!$E$18:$E$19</c:f>
              <c:strCache>
                <c:ptCount val="1"/>
                <c:pt idx="0">
                  <c:v>Whole Dates</c:v>
                </c:pt>
              </c:strCache>
            </c:strRef>
          </c:tx>
          <c:spPr>
            <a:solidFill>
              <a:schemeClr val="accent3"/>
            </a:solidFill>
            <a:ln>
              <a:noFill/>
            </a:ln>
            <a:effectLst/>
          </c:spPr>
          <c:invertIfNegative val="0"/>
          <c:cat>
            <c:strRef>
              <c:f>Pivot!$B$20:$B$25</c:f>
              <c:strCache>
                <c:ptCount val="5"/>
                <c:pt idx="0">
                  <c:v>2024</c:v>
                </c:pt>
                <c:pt idx="1">
                  <c:v>2025</c:v>
                </c:pt>
                <c:pt idx="2">
                  <c:v>2026</c:v>
                </c:pt>
                <c:pt idx="3">
                  <c:v>2027</c:v>
                </c:pt>
                <c:pt idx="4">
                  <c:v>2028</c:v>
                </c:pt>
              </c:strCache>
            </c:strRef>
          </c:cat>
          <c:val>
            <c:numRef>
              <c:f>Pivot!$E$20:$E$25</c:f>
              <c:numCache>
                <c:formatCode>#,##0</c:formatCode>
                <c:ptCount val="5"/>
                <c:pt idx="0">
                  <c:v>864000</c:v>
                </c:pt>
                <c:pt idx="1">
                  <c:v>1440000</c:v>
                </c:pt>
                <c:pt idx="2">
                  <c:v>2760000</c:v>
                </c:pt>
                <c:pt idx="3">
                  <c:v>2760000</c:v>
                </c:pt>
                <c:pt idx="4">
                  <c:v>4200000</c:v>
                </c:pt>
              </c:numCache>
            </c:numRef>
          </c:val>
          <c:extLst>
            <c:ext xmlns:c16="http://schemas.microsoft.com/office/drawing/2014/chart" uri="{C3380CC4-5D6E-409C-BE32-E72D297353CC}">
              <c16:uniqueId val="{00000002-491F-41F6-990B-A64FE4729537}"/>
            </c:ext>
          </c:extLst>
        </c:ser>
        <c:dLbls>
          <c:showLegendKey val="0"/>
          <c:showVal val="0"/>
          <c:showCatName val="0"/>
          <c:showSerName val="0"/>
          <c:showPercent val="0"/>
          <c:showBubbleSize val="0"/>
        </c:dLbls>
        <c:gapWidth val="150"/>
        <c:overlap val="100"/>
        <c:axId val="715941727"/>
        <c:axId val="723674383"/>
      </c:barChart>
      <c:catAx>
        <c:axId val="715941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accent2">
                    <a:lumMod val="50000"/>
                  </a:schemeClr>
                </a:solidFill>
                <a:latin typeface="Century Gothic" panose="020B0502020202020204" pitchFamily="34" charset="0"/>
                <a:ea typeface="+mn-ea"/>
                <a:cs typeface="+mn-cs"/>
              </a:defRPr>
            </a:pPr>
            <a:endParaRPr lang="en-US"/>
          </a:p>
        </c:txPr>
        <c:crossAx val="723674383"/>
        <c:crosses val="autoZero"/>
        <c:auto val="1"/>
        <c:lblAlgn val="ctr"/>
        <c:lblOffset val="100"/>
        <c:noMultiLvlLbl val="0"/>
      </c:catAx>
      <c:valAx>
        <c:axId val="723674383"/>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accent2">
                    <a:lumMod val="50000"/>
                  </a:schemeClr>
                </a:solidFill>
                <a:latin typeface="Century Gothic" panose="020B0502020202020204" pitchFamily="34" charset="0"/>
                <a:ea typeface="+mn-ea"/>
                <a:cs typeface="+mn-cs"/>
              </a:defRPr>
            </a:pPr>
            <a:endParaRPr lang="en-US"/>
          </a:p>
        </c:txPr>
        <c:crossAx val="715941727"/>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accent2">
                  <a:lumMod val="50000"/>
                </a:schemeClr>
              </a:solidFill>
              <a:latin typeface="Century Gothic" panose="020B0502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[Nutri Elixir- Hafsat Itanola Capstone Project.xlsx]Pivot!PivotTable7</c:name>
    <c:fmtId val="4"/>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Century Gothic" panose="020B05020202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lumMod val="20000"/>
                <a:lumOff val="80000"/>
              </a:schemeClr>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Century Gothic" panose="020B0502020202020204" pitchFamily="34" charset="0"/>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Century Gothic" panose="020B05020202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2"/>
            </a:solidFill>
            <a:round/>
          </a:ln>
          <a:effectLst/>
        </c:spPr>
        <c:marker>
          <c:symbol val="circle"/>
          <c:size val="5"/>
          <c:spPr>
            <a:solidFill>
              <a:schemeClr val="accent2">
                <a:lumMod val="20000"/>
                <a:lumOff val="80000"/>
              </a:schemeClr>
            </a:solidFill>
            <a:ln w="9525">
              <a:solidFill>
                <a:schemeClr val="accent2"/>
              </a:solidFill>
            </a:ln>
            <a:effectLst/>
          </c:spPr>
        </c:marker>
      </c:pivotFmt>
      <c:pivotFmt>
        <c:idx val="10"/>
        <c:spPr>
          <a:solidFill>
            <a:schemeClr val="accent1"/>
          </a:solidFill>
          <a:ln w="28575" cap="rnd">
            <a:solidFill>
              <a:schemeClr val="accent2"/>
            </a:solidFill>
            <a:round/>
          </a:ln>
          <a:effectLst/>
        </c:spPr>
        <c:marker>
          <c:symbol val="circle"/>
          <c:size val="5"/>
          <c:spPr>
            <a:solidFill>
              <a:schemeClr val="accent2">
                <a:lumMod val="20000"/>
                <a:lumOff val="80000"/>
              </a:schemeClr>
            </a:solidFill>
            <a:ln w="9525">
              <a:solidFill>
                <a:schemeClr val="accent2"/>
              </a:solidFill>
            </a:ln>
            <a:effectLst/>
          </c:spPr>
        </c:marker>
      </c:pivotFmt>
      <c:pivotFmt>
        <c:idx val="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6.5606174698795178E-2"/>
              <c:y val="-5.6286142794841884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Century Gothic" panose="020B0502020202020204" pitchFamily="34" charset="0"/>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3"/>
            </a:solidFill>
            <a:round/>
          </a:ln>
          <a:effectLst/>
        </c:spPr>
        <c:marker>
          <c:symbol val="circle"/>
          <c:size val="5"/>
          <c:spPr>
            <a:solidFill>
              <a:schemeClr val="accent3"/>
            </a:solidFill>
            <a:ln w="9525">
              <a:solidFill>
                <a:schemeClr val="accent3"/>
              </a:solidFill>
            </a:ln>
            <a:effectLst/>
          </c:spPr>
        </c:marker>
        <c:dLbl>
          <c:idx val="0"/>
          <c:layout>
            <c:manualLayout>
              <c:x val="-0.12211630613362541"/>
              <c:y val="-5.6286142794841881E-3"/>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Century Gothic" panose="020B0502020202020204" pitchFamily="34" charset="0"/>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Century Gothic" panose="020B05020202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6.5606174698795178E-2"/>
              <c:y val="-5.6286142794841884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Century Gothic" panose="020B0502020202020204" pitchFamily="34" charset="0"/>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circle"/>
          <c:size val="5"/>
          <c:spPr>
            <a:solidFill>
              <a:schemeClr val="accent2">
                <a:lumMod val="20000"/>
                <a:lumOff val="80000"/>
              </a:schemeClr>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Century Gothic" panose="020B0502020202020204" pitchFamily="34" charset="0"/>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Century Gothic" panose="020B05020202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3"/>
            </a:solidFill>
            <a:round/>
          </a:ln>
          <a:effectLst/>
        </c:spPr>
        <c:marker>
          <c:symbol val="circle"/>
          <c:size val="5"/>
          <c:spPr>
            <a:solidFill>
              <a:schemeClr val="accent3"/>
            </a:solidFill>
            <a:ln w="9525">
              <a:solidFill>
                <a:schemeClr val="accent3"/>
              </a:solidFill>
            </a:ln>
            <a:effectLst/>
          </c:spPr>
        </c:marker>
        <c:dLbl>
          <c:idx val="0"/>
          <c:layout>
            <c:manualLayout>
              <c:x val="-0.12211630613362541"/>
              <c:y val="-5.6286142794841881E-3"/>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Century Gothic" panose="020B0502020202020204" pitchFamily="34" charset="0"/>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Century Gothic" panose="020B05020202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6.5606174698795178E-2"/>
              <c:y val="-5.6286142794841884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Century Gothic" panose="020B0502020202020204" pitchFamily="34" charset="0"/>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circle"/>
          <c:size val="5"/>
          <c:spPr>
            <a:solidFill>
              <a:schemeClr val="accent2">
                <a:lumMod val="20000"/>
                <a:lumOff val="80000"/>
              </a:schemeClr>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Century Gothic" panose="020B0502020202020204" pitchFamily="34" charset="0"/>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Century Gothic" panose="020B05020202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ln w="28575" cap="rnd">
            <a:solidFill>
              <a:schemeClr val="accent3"/>
            </a:solidFill>
            <a:round/>
          </a:ln>
          <a:effectLst/>
        </c:spPr>
        <c:marker>
          <c:symbol val="circle"/>
          <c:size val="5"/>
          <c:spPr>
            <a:solidFill>
              <a:schemeClr val="accent3"/>
            </a:solidFill>
            <a:ln w="9525">
              <a:solidFill>
                <a:schemeClr val="accent3"/>
              </a:solidFill>
            </a:ln>
            <a:effectLst/>
          </c:spPr>
        </c:marker>
        <c:dLbl>
          <c:idx val="0"/>
          <c:layout>
            <c:manualLayout>
              <c:x val="-0.12211630613362541"/>
              <c:y val="-5.6286142794841881E-3"/>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Century Gothic" panose="020B0502020202020204" pitchFamily="34" charset="0"/>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410016554938981"/>
          <c:y val="6.6603446521532286E-2"/>
          <c:w val="0.7915197050165832"/>
          <c:h val="0.83529281609509221"/>
        </c:manualLayout>
      </c:layout>
      <c:lineChart>
        <c:grouping val="standard"/>
        <c:varyColors val="0"/>
        <c:ser>
          <c:idx val="0"/>
          <c:order val="0"/>
          <c:tx>
            <c:strRef>
              <c:f>Pivot!$C$43</c:f>
              <c:strCache>
                <c:ptCount val="1"/>
                <c:pt idx="0">
                  <c:v>Sum of Gross Profit Margin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0"/>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0-1FFC-4F28-9AB3-E217C737FF6E}"/>
              </c:ext>
            </c:extLst>
          </c:dPt>
          <c:dLbls>
            <c:dLbl>
              <c:idx val="0"/>
              <c:layout>
                <c:manualLayout>
                  <c:x val="-6.5606174698795178E-2"/>
                  <c:y val="-5.628614279484188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1FFC-4F28-9AB3-E217C737FF6E}"/>
                </c:ext>
              </c:extLst>
            </c:dLbl>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Century Gothic" panose="020B0502020202020204" pitchFamily="34" charset="0"/>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Pivot!$B$44:$B$49</c:f>
              <c:strCache>
                <c:ptCount val="5"/>
                <c:pt idx="0">
                  <c:v>2024</c:v>
                </c:pt>
                <c:pt idx="1">
                  <c:v>2025</c:v>
                </c:pt>
                <c:pt idx="2">
                  <c:v>2026</c:v>
                </c:pt>
                <c:pt idx="3">
                  <c:v>2027</c:v>
                </c:pt>
                <c:pt idx="4">
                  <c:v>2028</c:v>
                </c:pt>
              </c:strCache>
            </c:strRef>
          </c:cat>
          <c:val>
            <c:numRef>
              <c:f>Pivot!$C$44:$C$49</c:f>
              <c:numCache>
                <c:formatCode>0%</c:formatCode>
                <c:ptCount val="5"/>
                <c:pt idx="0">
                  <c:v>0.45181779480630058</c:v>
                </c:pt>
                <c:pt idx="1">
                  <c:v>0.35478233333333331</c:v>
                </c:pt>
                <c:pt idx="2">
                  <c:v>0.30227020843382352</c:v>
                </c:pt>
                <c:pt idx="3">
                  <c:v>0.30625995401296285</c:v>
                </c:pt>
                <c:pt idx="4">
                  <c:v>0.26357027872632582</c:v>
                </c:pt>
              </c:numCache>
            </c:numRef>
          </c:val>
          <c:smooth val="0"/>
          <c:extLst>
            <c:ext xmlns:c16="http://schemas.microsoft.com/office/drawing/2014/chart" uri="{C3380CC4-5D6E-409C-BE32-E72D297353CC}">
              <c16:uniqueId val="{00000001-1FFC-4F28-9AB3-E217C737FF6E}"/>
            </c:ext>
          </c:extLst>
        </c:ser>
        <c:ser>
          <c:idx val="1"/>
          <c:order val="1"/>
          <c:tx>
            <c:strRef>
              <c:f>Pivot!$D$43</c:f>
              <c:strCache>
                <c:ptCount val="1"/>
                <c:pt idx="0">
                  <c:v>Sum of Net Profit Margin</c:v>
                </c:pt>
              </c:strCache>
            </c:strRef>
          </c:tx>
          <c:spPr>
            <a:ln w="28575" cap="rnd">
              <a:solidFill>
                <a:schemeClr val="accent2"/>
              </a:solidFill>
              <a:round/>
            </a:ln>
            <a:effectLst/>
          </c:spPr>
          <c:marker>
            <c:symbol val="circle"/>
            <c:size val="5"/>
            <c:spPr>
              <a:solidFill>
                <a:schemeClr val="accent2">
                  <a:lumMod val="20000"/>
                  <a:lumOff val="80000"/>
                </a:schemeClr>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Century Gothic" panose="020B0502020202020204" pitchFamily="34" charset="0"/>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Pivot!$B$44:$B$49</c:f>
              <c:strCache>
                <c:ptCount val="5"/>
                <c:pt idx="0">
                  <c:v>2024</c:v>
                </c:pt>
                <c:pt idx="1">
                  <c:v>2025</c:v>
                </c:pt>
                <c:pt idx="2">
                  <c:v>2026</c:v>
                </c:pt>
                <c:pt idx="3">
                  <c:v>2027</c:v>
                </c:pt>
                <c:pt idx="4">
                  <c:v>2028</c:v>
                </c:pt>
              </c:strCache>
            </c:strRef>
          </c:cat>
          <c:val>
            <c:numRef>
              <c:f>Pivot!$D$44:$D$49</c:f>
              <c:numCache>
                <c:formatCode>0%</c:formatCode>
                <c:ptCount val="5"/>
                <c:pt idx="0">
                  <c:v>2.6876997303817179E-2</c:v>
                </c:pt>
                <c:pt idx="1">
                  <c:v>4.5279568296296271E-2</c:v>
                </c:pt>
                <c:pt idx="2">
                  <c:v>9.8571741915849692E-2</c:v>
                </c:pt>
                <c:pt idx="3">
                  <c:v>7.6043346306347626E-2</c:v>
                </c:pt>
                <c:pt idx="4">
                  <c:v>6.202777992067722E-2</c:v>
                </c:pt>
              </c:numCache>
            </c:numRef>
          </c:val>
          <c:smooth val="0"/>
          <c:extLst>
            <c:ext xmlns:c16="http://schemas.microsoft.com/office/drawing/2014/chart" uri="{C3380CC4-5D6E-409C-BE32-E72D297353CC}">
              <c16:uniqueId val="{00000002-1FFC-4F28-9AB3-E217C737FF6E}"/>
            </c:ext>
          </c:extLst>
        </c:ser>
        <c:ser>
          <c:idx val="2"/>
          <c:order val="2"/>
          <c:tx>
            <c:strRef>
              <c:f>Pivot!$E$43</c:f>
              <c:strCache>
                <c:ptCount val="1"/>
                <c:pt idx="0">
                  <c:v>Sum of Return on Equity</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dPt>
            <c:idx val="0"/>
            <c:marker>
              <c:symbol val="circle"/>
              <c:size val="5"/>
              <c:spPr>
                <a:solidFill>
                  <a:schemeClr val="accent3"/>
                </a:solidFill>
                <a:ln w="9525">
                  <a:solidFill>
                    <a:schemeClr val="accent3"/>
                  </a:solidFill>
                </a:ln>
                <a:effectLst/>
              </c:spPr>
            </c:marker>
            <c:bubble3D val="0"/>
            <c:spPr>
              <a:ln w="28575" cap="rnd">
                <a:solidFill>
                  <a:schemeClr val="accent3"/>
                </a:solidFill>
                <a:round/>
              </a:ln>
              <a:effectLst/>
            </c:spPr>
            <c:extLst>
              <c:ext xmlns:c16="http://schemas.microsoft.com/office/drawing/2014/chart" uri="{C3380CC4-5D6E-409C-BE32-E72D297353CC}">
                <c16:uniqueId val="{00000003-1FFC-4F28-9AB3-E217C737FF6E}"/>
              </c:ext>
            </c:extLst>
          </c:dPt>
          <c:dLbls>
            <c:dLbl>
              <c:idx val="0"/>
              <c:layout>
                <c:manualLayout>
                  <c:x val="-0.12211630613362541"/>
                  <c:y val="-5.6286142794841881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FFC-4F28-9AB3-E217C737FF6E}"/>
                </c:ext>
              </c:extLst>
            </c:dLbl>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Century Gothic" panose="020B0502020202020204" pitchFamily="34" charset="0"/>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Pivot!$B$44:$B$49</c:f>
              <c:strCache>
                <c:ptCount val="5"/>
                <c:pt idx="0">
                  <c:v>2024</c:v>
                </c:pt>
                <c:pt idx="1">
                  <c:v>2025</c:v>
                </c:pt>
                <c:pt idx="2">
                  <c:v>2026</c:v>
                </c:pt>
                <c:pt idx="3">
                  <c:v>2027</c:v>
                </c:pt>
                <c:pt idx="4">
                  <c:v>2028</c:v>
                </c:pt>
              </c:strCache>
            </c:strRef>
          </c:cat>
          <c:val>
            <c:numRef>
              <c:f>Pivot!$E$44:$E$49</c:f>
              <c:numCache>
                <c:formatCode>0%</c:formatCode>
                <c:ptCount val="5"/>
                <c:pt idx="0">
                  <c:v>0.12042292497783404</c:v>
                </c:pt>
                <c:pt idx="1">
                  <c:v>0.4858142075147735</c:v>
                </c:pt>
                <c:pt idx="2">
                  <c:v>1.9177765777747264</c:v>
                </c:pt>
                <c:pt idx="3">
                  <c:v>1.7623124321024275</c:v>
                </c:pt>
                <c:pt idx="4">
                  <c:v>2.0799386021988795</c:v>
                </c:pt>
              </c:numCache>
            </c:numRef>
          </c:val>
          <c:smooth val="0"/>
          <c:extLst>
            <c:ext xmlns:c16="http://schemas.microsoft.com/office/drawing/2014/chart" uri="{C3380CC4-5D6E-409C-BE32-E72D297353CC}">
              <c16:uniqueId val="{00000004-1FFC-4F28-9AB3-E217C737FF6E}"/>
            </c:ext>
          </c:extLst>
        </c:ser>
        <c:dLbls>
          <c:dLblPos val="ctr"/>
          <c:showLegendKey val="0"/>
          <c:showVal val="1"/>
          <c:showCatName val="0"/>
          <c:showSerName val="0"/>
          <c:showPercent val="0"/>
          <c:showBubbleSize val="0"/>
        </c:dLbls>
        <c:marker val="1"/>
        <c:smooth val="0"/>
        <c:axId val="1047119887"/>
        <c:axId val="767209903"/>
      </c:lineChart>
      <c:catAx>
        <c:axId val="1047119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1"/>
                </a:solidFill>
                <a:latin typeface="Century Gothic" panose="020B0502020202020204" pitchFamily="34" charset="0"/>
                <a:ea typeface="+mn-ea"/>
                <a:cs typeface="+mn-cs"/>
              </a:defRPr>
            </a:pPr>
            <a:endParaRPr lang="en-US"/>
          </a:p>
        </c:txPr>
        <c:crossAx val="767209903"/>
        <c:crosses val="autoZero"/>
        <c:auto val="1"/>
        <c:lblAlgn val="ctr"/>
        <c:lblOffset val="100"/>
        <c:noMultiLvlLbl val="0"/>
      </c:catAx>
      <c:valAx>
        <c:axId val="767209903"/>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bg1"/>
                </a:solidFill>
                <a:latin typeface="Century Gothic" panose="020B0502020202020204" pitchFamily="34" charset="0"/>
                <a:ea typeface="+mn-ea"/>
                <a:cs typeface="+mn-cs"/>
              </a:defRPr>
            </a:pPr>
            <a:endParaRPr lang="en-US"/>
          </a:p>
        </c:txPr>
        <c:crossAx val="1047119887"/>
        <c:crosses val="autoZero"/>
        <c:crossBetween val="between"/>
      </c:valAx>
      <c:spPr>
        <a:noFill/>
        <a:ln>
          <a:noFill/>
        </a:ln>
        <a:effectLst/>
      </c:spPr>
    </c:plotArea>
    <c:legend>
      <c:legendPos val="r"/>
      <c:layout>
        <c:manualLayout>
          <c:xMode val="edge"/>
          <c:yMode val="edge"/>
          <c:x val="0.64091016075626051"/>
          <c:y val="0.2481226998176235"/>
          <c:w val="0.33184143744792544"/>
          <c:h val="0.39313885728900155"/>
        </c:manualLayout>
      </c:layout>
      <c:overlay val="0"/>
      <c:spPr>
        <a:noFill/>
        <a:ln>
          <a:noFill/>
        </a:ln>
        <a:effectLst/>
      </c:spPr>
      <c:txPr>
        <a:bodyPr rot="0" spcFirstLastPara="1" vertOverflow="ellipsis" vert="horz" wrap="square" anchor="ctr" anchorCtr="1"/>
        <a:lstStyle/>
        <a:p>
          <a:pPr>
            <a:defRPr sz="700" b="0" i="0" u="none" strike="noStrike" kern="1200" baseline="0">
              <a:solidFill>
                <a:schemeClr val="bg1"/>
              </a:solidFill>
              <a:latin typeface="Century Gothic" panose="020B0502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[Nutri Elixir- Hafsat Itanola Capstone Project.xlsx]Pivot!PivotTable2</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Century Gothic" panose="020B0502020202020204" pitchFamily="34" charset="0"/>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noFill/>
          </a:ln>
          <a:effectLst/>
        </c:spPr>
      </c:pivotFmt>
      <c:pivotFmt>
        <c:idx val="10"/>
        <c:spPr>
          <a:solidFill>
            <a:schemeClr val="accent1"/>
          </a:solidFill>
          <a:ln w="19050">
            <a:noFill/>
          </a:ln>
          <a:effectLst/>
        </c:spPr>
        <c:dLbl>
          <c:idx val="0"/>
          <c:layout>
            <c:manualLayout>
              <c:x val="-0.13854626920355556"/>
              <c:y val="-0.19321957874491877"/>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Century Gothic" panose="020B0502020202020204" pitchFamily="34"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w="19050">
            <a:no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Pivot!$C$27</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C665-4A77-BFF9-908B40E466AB}"/>
              </c:ext>
            </c:extLst>
          </c:dPt>
          <c:dPt>
            <c:idx val="1"/>
            <c:bubble3D val="0"/>
            <c:spPr>
              <a:solidFill>
                <a:schemeClr val="accent2"/>
              </a:solidFill>
              <a:ln w="19050">
                <a:noFill/>
              </a:ln>
              <a:effectLst/>
            </c:spPr>
            <c:extLst>
              <c:ext xmlns:c16="http://schemas.microsoft.com/office/drawing/2014/chart" uri="{C3380CC4-5D6E-409C-BE32-E72D297353CC}">
                <c16:uniqueId val="{0000000D-E77E-4EC1-BDD1-96F17C54BDF2}"/>
              </c:ext>
            </c:extLst>
          </c:dPt>
          <c:dPt>
            <c:idx val="2"/>
            <c:bubble3D val="0"/>
            <c:spPr>
              <a:solidFill>
                <a:schemeClr val="accent3"/>
              </a:solidFill>
              <a:ln w="19050">
                <a:noFill/>
              </a:ln>
              <a:effectLst/>
            </c:spPr>
            <c:extLst>
              <c:ext xmlns:c16="http://schemas.microsoft.com/office/drawing/2014/chart" uri="{C3380CC4-5D6E-409C-BE32-E72D297353CC}">
                <c16:uniqueId val="{00000005-C665-4A77-BFF9-908B40E466AB}"/>
              </c:ext>
            </c:extLst>
          </c:dPt>
          <c:dLbls>
            <c:dLbl>
              <c:idx val="1"/>
              <c:layout>
                <c:manualLayout>
                  <c:x val="-0.13854626920355556"/>
                  <c:y val="-0.19321957874491877"/>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D-E77E-4EC1-BDD1-96F17C54BDF2}"/>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Century Gothic" panose="020B0502020202020204" pitchFamily="34" charset="0"/>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Pivot!$B$28:$B$31</c:f>
              <c:strCache>
                <c:ptCount val="3"/>
                <c:pt idx="0">
                  <c:v>Depreciation</c:v>
                </c:pt>
                <c:pt idx="1">
                  <c:v>Other Operating Expenses</c:v>
                </c:pt>
                <c:pt idx="2">
                  <c:v>Personnel Expenses</c:v>
                </c:pt>
              </c:strCache>
            </c:strRef>
          </c:cat>
          <c:val>
            <c:numRef>
              <c:f>Pivot!$C$28:$C$31</c:f>
              <c:numCache>
                <c:formatCode>#,##0</c:formatCode>
                <c:ptCount val="3"/>
                <c:pt idx="0">
                  <c:v>1382749.1299512</c:v>
                </c:pt>
                <c:pt idx="1">
                  <c:v>10180475.319284305</c:v>
                </c:pt>
                <c:pt idx="2">
                  <c:v>5340000</c:v>
                </c:pt>
              </c:numCache>
            </c:numRef>
          </c:val>
          <c:extLst>
            <c:ext xmlns:c16="http://schemas.microsoft.com/office/drawing/2014/chart" uri="{C3380CC4-5D6E-409C-BE32-E72D297353CC}">
              <c16:uniqueId val="{0000000B-E77E-4EC1-BDD1-96F17C54BDF2}"/>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800" b="0" i="0" u="none" strike="noStrike" kern="1200" baseline="0">
              <a:solidFill>
                <a:schemeClr val="accent2">
                  <a:lumMod val="50000"/>
                </a:schemeClr>
              </a:solidFill>
              <a:latin typeface="Century Gothic" panose="020B0502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Drop" dropLines="3" dropStyle="combo" dx="31" fmlaLink="Assumptions!$G$5" fmlaRange="Assumptions!$E$21:$E$23" sel="2" val="0"/>
</file>

<file path=xl/ctrlProps/ctrlProp2.xml><?xml version="1.0" encoding="utf-8"?>
<formControlPr xmlns="http://schemas.microsoft.com/office/spreadsheetml/2009/9/main" objectType="Drop" dropLines="3" dropStyle="combo" dx="31" fmlaLink="Assumptions!$G$5" fmlaRange="Assumptions!$E$21:$E$23" sel="2" val="0"/>
</file>

<file path=xl/ctrlProps/ctrlProp3.xml><?xml version="1.0" encoding="utf-8"?>
<formControlPr xmlns="http://schemas.microsoft.com/office/spreadsheetml/2009/9/main" objectType="Drop" dropLines="3" dropStyle="combo" dx="31" fmlaLink="Assumptions!$G$5" fmlaRange="Assumptions!$E$21:$E$23" sel="2" val="0"/>
</file>

<file path=xl/ctrlProps/ctrlProp4.xml><?xml version="1.0" encoding="utf-8"?>
<formControlPr xmlns="http://schemas.microsoft.com/office/spreadsheetml/2009/9/main" objectType="Drop" dropLines="3" dropStyle="combo" dx="31" fmlaLink="Assumptions!$G$5" fmlaRange="Assumptions!$E$21:$E$23" sel="2" val="0"/>
</file>

<file path=xl/ctrlProps/ctrlProp5.xml><?xml version="1.0" encoding="utf-8"?>
<formControlPr xmlns="http://schemas.microsoft.com/office/spreadsheetml/2009/9/main" objectType="Drop" dropLines="3" dropStyle="combo" dx="31" fmlaLink="Assumptions!$G$5" fmlaRange="Assumptions!$E$21:$E$23" sel="2" val="0"/>
</file>

<file path=xl/ctrlProps/ctrlProp6.xml><?xml version="1.0" encoding="utf-8"?>
<formControlPr xmlns="http://schemas.microsoft.com/office/spreadsheetml/2009/9/main" objectType="Drop" dropLines="3" dropStyle="combo" dx="31" fmlaLink="Assumptions!$G$5" fmlaRange="Assumptions!$E$21:$E$23" sel="2" val="0"/>
</file>

<file path=xl/ctrlProps/ctrlProp7.xml><?xml version="1.0" encoding="utf-8"?>
<formControlPr xmlns="http://schemas.microsoft.com/office/spreadsheetml/2009/9/main" objectType="Drop" dropLines="3" dropStyle="combo" dx="31" fmlaLink="Assumptions!$G$5" fmlaRange="Assumptions!$E$21:$E$23" sel="2" val="0"/>
</file>

<file path=xl/ctrlProps/ctrlProp8.xml><?xml version="1.0" encoding="utf-8"?>
<formControlPr xmlns="http://schemas.microsoft.com/office/spreadsheetml/2009/9/main" objectType="Drop" dropLines="3" dropStyle="combo" dx="31" fmlaLink="Assumptions!$G$5" fmlaRange="Assumptions!$E$21:$E$23" sel="2" val="0"/>
</file>

<file path=xl/ctrlProps/ctrlProp9.xml><?xml version="1.0" encoding="utf-8"?>
<formControlPr xmlns="http://schemas.microsoft.com/office/spreadsheetml/2009/9/main" objectType="Drop" dropLines="3" dropStyle="combo" dx="31" fmlaLink="Assumptions!$G$5" fmlaRange="Assumptions!$E$21:$E$23" sel="2" val="0"/>
</file>

<file path=xl/drawings/_rels/drawing1.xml.rels><?xml version="1.0" encoding="UTF-8" standalone="yes"?>
<Relationships xmlns="http://schemas.openxmlformats.org/package/2006/relationships"><Relationship Id="rId3" Type="http://schemas.openxmlformats.org/officeDocument/2006/relationships/image" Target="../media/image3.svg"/><Relationship Id="rId2" Type="http://schemas.openxmlformats.org/officeDocument/2006/relationships/image" Target="../media/image2.pn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3.svg"/><Relationship Id="rId1" Type="http://schemas.openxmlformats.org/officeDocument/2006/relationships/image" Target="../media/image2.png"/><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568546</xdr:colOff>
      <xdr:row>3</xdr:row>
      <xdr:rowOff>29535</xdr:rowOff>
    </xdr:from>
    <xdr:to>
      <xdr:col>15</xdr:col>
      <xdr:colOff>177208</xdr:colOff>
      <xdr:row>22</xdr:row>
      <xdr:rowOff>140290</xdr:rowOff>
    </xdr:to>
    <xdr:sp macro="" textlink="">
      <xdr:nvSpPr>
        <xdr:cNvPr id="9" name="Rectangle 8">
          <a:extLst>
            <a:ext uri="{FF2B5EF4-FFF2-40B4-BE49-F238E27FC236}">
              <a16:creationId xmlns:a16="http://schemas.microsoft.com/office/drawing/2014/main" id="{00000000-0008-0000-0000-000009000000}"/>
            </a:ext>
          </a:extLst>
        </xdr:cNvPr>
        <xdr:cNvSpPr/>
      </xdr:nvSpPr>
      <xdr:spPr>
        <a:xfrm>
          <a:off x="3632790" y="583314"/>
          <a:ext cx="7575697" cy="3618023"/>
        </a:xfrm>
        <a:prstGeom prst="rect">
          <a:avLst/>
        </a:prstGeom>
        <a:solidFill>
          <a:schemeClr val="accent2">
            <a:lumMod val="75000"/>
          </a:schemeClr>
        </a:solidFill>
        <a:ln>
          <a:solidFill>
            <a:schemeClr val="accent2">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cap="none" spc="0">
            <a:ln w="22225">
              <a:solidFill>
                <a:schemeClr val="accent2"/>
              </a:solidFill>
              <a:prstDash val="solid"/>
            </a:ln>
            <a:solidFill>
              <a:schemeClr val="accent2">
                <a:lumMod val="40000"/>
                <a:lumOff val="60000"/>
              </a:schemeClr>
            </a:solidFill>
            <a:effectLst/>
          </a:endParaRPr>
        </a:p>
      </xdr:txBody>
    </xdr:sp>
    <xdr:clientData/>
  </xdr:twoCellAnchor>
  <xdr:twoCellAnchor editAs="oneCell">
    <xdr:from>
      <xdr:col>9</xdr:col>
      <xdr:colOff>101600</xdr:colOff>
      <xdr:row>3</xdr:row>
      <xdr:rowOff>31456</xdr:rowOff>
    </xdr:from>
    <xdr:to>
      <xdr:col>15</xdr:col>
      <xdr:colOff>177653</xdr:colOff>
      <xdr:row>22</xdr:row>
      <xdr:rowOff>148617</xdr:rowOff>
    </xdr:to>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54472" y="538105"/>
          <a:ext cx="4048181" cy="3413757"/>
        </a:xfrm>
        <a:prstGeom prst="rect">
          <a:avLst/>
        </a:prstGeom>
      </xdr:spPr>
    </xdr:pic>
    <xdr:clientData/>
  </xdr:twoCellAnchor>
  <xdr:twoCellAnchor editAs="oneCell">
    <xdr:from>
      <xdr:col>2</xdr:col>
      <xdr:colOff>553779</xdr:colOff>
      <xdr:row>3</xdr:row>
      <xdr:rowOff>51686</xdr:rowOff>
    </xdr:from>
    <xdr:to>
      <xdr:col>4</xdr:col>
      <xdr:colOff>261963</xdr:colOff>
      <xdr:row>8</xdr:row>
      <xdr:rowOff>29139</xdr:rowOff>
    </xdr:to>
    <xdr:pic>
      <xdr:nvPicPr>
        <xdr:cNvPr id="14" name="Graphic 13" descr="Bottle">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3618023" y="605465"/>
          <a:ext cx="914400" cy="914400"/>
        </a:xfrm>
        <a:prstGeom prst="rect">
          <a:avLst/>
        </a:prstGeom>
      </xdr:spPr>
    </xdr:pic>
    <xdr:clientData/>
  </xdr:twoCellAnchor>
  <xdr:twoCellAnchor>
    <xdr:from>
      <xdr:col>4</xdr:col>
      <xdr:colOff>66452</xdr:colOff>
      <xdr:row>4</xdr:row>
      <xdr:rowOff>66454</xdr:rowOff>
    </xdr:from>
    <xdr:to>
      <xdr:col>8</xdr:col>
      <xdr:colOff>391336</xdr:colOff>
      <xdr:row>8</xdr:row>
      <xdr:rowOff>7384</xdr:rowOff>
    </xdr:to>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356394" y="804826"/>
          <a:ext cx="2776279" cy="6793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b="1">
              <a:solidFill>
                <a:schemeClr val="accent4">
                  <a:lumMod val="40000"/>
                  <a:lumOff val="60000"/>
                </a:schemeClr>
              </a:solidFill>
              <a:latin typeface="Bradley Hand ITC" panose="03070402050302030203" pitchFamily="66" charset="0"/>
            </a:rPr>
            <a:t>Nutri</a:t>
          </a:r>
          <a:r>
            <a:rPr lang="en-US" sz="3600" b="1" baseline="0">
              <a:solidFill>
                <a:schemeClr val="accent4">
                  <a:lumMod val="40000"/>
                  <a:lumOff val="60000"/>
                </a:schemeClr>
              </a:solidFill>
              <a:latin typeface="Bradley Hand ITC" panose="03070402050302030203" pitchFamily="66" charset="0"/>
            </a:rPr>
            <a:t> </a:t>
          </a:r>
          <a:r>
            <a:rPr lang="en-US" sz="3600" b="1" baseline="0">
              <a:solidFill>
                <a:schemeClr val="bg1"/>
              </a:solidFill>
              <a:latin typeface="Bradley Hand ITC" panose="03070402050302030203" pitchFamily="66" charset="0"/>
            </a:rPr>
            <a:t>Elixir</a:t>
          </a:r>
          <a:endParaRPr lang="en-US" sz="3600" b="1">
            <a:solidFill>
              <a:schemeClr val="bg1"/>
            </a:solidFill>
            <a:latin typeface="Bradley Hand ITC" panose="03070402050302030203" pitchFamily="66" charset="0"/>
          </a:endParaRPr>
        </a:p>
      </xdr:txBody>
    </xdr:sp>
    <xdr:clientData/>
  </xdr:twoCellAnchor>
  <xdr:twoCellAnchor>
    <xdr:from>
      <xdr:col>4</xdr:col>
      <xdr:colOff>418215</xdr:colOff>
      <xdr:row>7</xdr:row>
      <xdr:rowOff>56412</xdr:rowOff>
    </xdr:from>
    <xdr:to>
      <xdr:col>8</xdr:col>
      <xdr:colOff>565890</xdr:colOff>
      <xdr:row>9</xdr:row>
      <xdr:rowOff>14767</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708157" y="1348563"/>
          <a:ext cx="2599070" cy="3275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latin typeface="Bradley Hand ITC" panose="03070402050302030203" pitchFamily="66" charset="0"/>
            </a:rPr>
            <a:t>...beyond</a:t>
          </a:r>
          <a:r>
            <a:rPr lang="en-US" sz="1400" b="1" baseline="0">
              <a:solidFill>
                <a:schemeClr val="bg1"/>
              </a:solidFill>
              <a:latin typeface="Bradley Hand ITC" panose="03070402050302030203" pitchFamily="66" charset="0"/>
            </a:rPr>
            <a:t> quenching your thirst</a:t>
          </a:r>
          <a:endParaRPr lang="en-US" sz="1400" b="1">
            <a:solidFill>
              <a:schemeClr val="bg1"/>
            </a:solidFill>
            <a:latin typeface="Bradley Hand ITC" panose="03070402050302030203" pitchFamily="66" charset="0"/>
          </a:endParaRPr>
        </a:p>
      </xdr:txBody>
    </xdr:sp>
    <xdr:clientData/>
  </xdr:twoCellAnchor>
  <xdr:twoCellAnchor>
    <xdr:from>
      <xdr:col>3</xdr:col>
      <xdr:colOff>361803</xdr:colOff>
      <xdr:row>11</xdr:row>
      <xdr:rowOff>132908</xdr:rowOff>
    </xdr:from>
    <xdr:to>
      <xdr:col>7</xdr:col>
      <xdr:colOff>539012</xdr:colOff>
      <xdr:row>17</xdr:row>
      <xdr:rowOff>177210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038896" y="2163431"/>
          <a:ext cx="2628604" cy="1151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1"/>
              </a:solidFill>
              <a:latin typeface="Bradley Hand ITC" panose="03070402050302030203" pitchFamily="66" charset="0"/>
            </a:rPr>
            <a:t>Five</a:t>
          </a:r>
          <a:r>
            <a:rPr lang="en-US" sz="2800" b="1" baseline="0">
              <a:solidFill>
                <a:schemeClr val="bg1"/>
              </a:solidFill>
              <a:latin typeface="Bradley Hand ITC" panose="03070402050302030203" pitchFamily="66" charset="0"/>
            </a:rPr>
            <a:t> Years </a:t>
          </a:r>
        </a:p>
        <a:p>
          <a:r>
            <a:rPr lang="en-US" sz="2800" b="1" baseline="0">
              <a:solidFill>
                <a:schemeClr val="bg1"/>
              </a:solidFill>
              <a:latin typeface="Bradley Hand ITC" panose="03070402050302030203" pitchFamily="66" charset="0"/>
            </a:rPr>
            <a:t>Financial Model</a:t>
          </a:r>
          <a:endParaRPr lang="en-US" sz="2800" b="1">
            <a:solidFill>
              <a:schemeClr val="bg1"/>
            </a:solidFill>
            <a:latin typeface="Bradley Hand ITC" panose="03070402050302030203" pitchFamily="66" charset="0"/>
          </a:endParaRPr>
        </a:p>
      </xdr:txBody>
    </xdr:sp>
    <xdr:clientData/>
  </xdr:twoCellAnchor>
  <xdr:twoCellAnchor>
    <xdr:from>
      <xdr:col>3</xdr:col>
      <xdr:colOff>95989</xdr:colOff>
      <xdr:row>21</xdr:row>
      <xdr:rowOff>1</xdr:rowOff>
    </xdr:from>
    <xdr:to>
      <xdr:col>4</xdr:col>
      <xdr:colOff>132907</xdr:colOff>
      <xdr:row>22</xdr:row>
      <xdr:rowOff>118139</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3773082" y="3876454"/>
          <a:ext cx="649767" cy="3027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latin typeface="Bradley Hand ITC" panose="03070402050302030203" pitchFamily="66" charset="0"/>
            </a:rPr>
            <a:t>2023</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388056</xdr:colOff>
      <xdr:row>5</xdr:row>
      <xdr:rowOff>79375</xdr:rowOff>
    </xdr:from>
    <xdr:to>
      <xdr:col>14</xdr:col>
      <xdr:colOff>446852</xdr:colOff>
      <xdr:row>37</xdr:row>
      <xdr:rowOff>70556</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388056" y="961319"/>
          <a:ext cx="9278055" cy="5635626"/>
        </a:xfrm>
        <a:prstGeom prst="rect">
          <a:avLst/>
        </a:prstGeom>
        <a:solidFill>
          <a:schemeClr val="bg1"/>
        </a:solidFill>
        <a:ln w="76200">
          <a:solidFill>
            <a:schemeClr val="accent2">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388056</xdr:colOff>
      <xdr:row>5</xdr:row>
      <xdr:rowOff>105834</xdr:rowOff>
    </xdr:from>
    <xdr:to>
      <xdr:col>14</xdr:col>
      <xdr:colOff>414867</xdr:colOff>
      <xdr:row>9</xdr:row>
      <xdr:rowOff>160867</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388056" y="952501"/>
          <a:ext cx="9272411" cy="732366"/>
        </a:xfrm>
        <a:prstGeom prst="rect">
          <a:avLst/>
        </a:prstGeom>
        <a:solidFill>
          <a:schemeClr val="accent2">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323014</xdr:colOff>
      <xdr:row>5</xdr:row>
      <xdr:rowOff>35280</xdr:rowOff>
    </xdr:from>
    <xdr:to>
      <xdr:col>1</xdr:col>
      <xdr:colOff>474455</xdr:colOff>
      <xdr:row>9</xdr:row>
      <xdr:rowOff>141112</xdr:rowOff>
    </xdr:to>
    <xdr:pic>
      <xdr:nvPicPr>
        <xdr:cNvPr id="4" name="Graphic 3" descr="Bottle">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23014" y="917224"/>
          <a:ext cx="809960" cy="811388"/>
        </a:xfrm>
        <a:prstGeom prst="rect">
          <a:avLst/>
        </a:prstGeom>
      </xdr:spPr>
    </xdr:pic>
    <xdr:clientData/>
  </xdr:twoCellAnchor>
  <xdr:twoCellAnchor>
    <xdr:from>
      <xdr:col>1</xdr:col>
      <xdr:colOff>210132</xdr:colOff>
      <xdr:row>5</xdr:row>
      <xdr:rowOff>45108</xdr:rowOff>
    </xdr:from>
    <xdr:to>
      <xdr:col>5</xdr:col>
      <xdr:colOff>126711</xdr:colOff>
      <xdr:row>8</xdr:row>
      <xdr:rowOff>8975</xdr:rowOff>
    </xdr:to>
    <xdr:sp macro="" textlink="">
      <xdr:nvSpPr>
        <xdr:cNvPr id="5" name="TextBox 4">
          <a:extLst>
            <a:ext uri="{FF2B5EF4-FFF2-40B4-BE49-F238E27FC236}">
              <a16:creationId xmlns:a16="http://schemas.microsoft.com/office/drawing/2014/main" id="{00000000-0008-0000-0100-000005000000}"/>
            </a:ext>
          </a:extLst>
        </xdr:cNvPr>
        <xdr:cNvSpPr txBox="1"/>
      </xdr:nvSpPr>
      <xdr:spPr>
        <a:xfrm>
          <a:off x="868651" y="927052"/>
          <a:ext cx="2550653" cy="4930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b="1">
              <a:solidFill>
                <a:schemeClr val="accent4">
                  <a:lumMod val="40000"/>
                  <a:lumOff val="60000"/>
                </a:schemeClr>
              </a:solidFill>
              <a:latin typeface="Bradley Hand ITC" panose="03070402050302030203" pitchFamily="66" charset="0"/>
            </a:rPr>
            <a:t>Nutri</a:t>
          </a:r>
          <a:r>
            <a:rPr lang="en-US" sz="3600" b="1" baseline="0">
              <a:solidFill>
                <a:schemeClr val="accent4">
                  <a:lumMod val="40000"/>
                  <a:lumOff val="60000"/>
                </a:schemeClr>
              </a:solidFill>
              <a:latin typeface="Bradley Hand ITC" panose="03070402050302030203" pitchFamily="66" charset="0"/>
            </a:rPr>
            <a:t> </a:t>
          </a:r>
          <a:r>
            <a:rPr lang="en-US" sz="3600" b="1" baseline="0">
              <a:solidFill>
                <a:schemeClr val="bg1"/>
              </a:solidFill>
              <a:latin typeface="Bradley Hand ITC" panose="03070402050302030203" pitchFamily="66" charset="0"/>
            </a:rPr>
            <a:t>Elixir</a:t>
          </a:r>
          <a:endParaRPr lang="en-US" sz="3600" b="1">
            <a:solidFill>
              <a:schemeClr val="bg1"/>
            </a:solidFill>
            <a:latin typeface="Bradley Hand ITC" panose="03070402050302030203" pitchFamily="66" charset="0"/>
          </a:endParaRPr>
        </a:p>
      </xdr:txBody>
    </xdr:sp>
    <xdr:clientData/>
  </xdr:twoCellAnchor>
  <xdr:twoCellAnchor>
    <xdr:from>
      <xdr:col>1</xdr:col>
      <xdr:colOff>647366</xdr:colOff>
      <xdr:row>7</xdr:row>
      <xdr:rowOff>161361</xdr:rowOff>
    </xdr:from>
    <xdr:to>
      <xdr:col>5</xdr:col>
      <xdr:colOff>411576</xdr:colOff>
      <xdr:row>9</xdr:row>
      <xdr:rowOff>45573</xdr:rowOff>
    </xdr:to>
    <xdr:sp macro="" textlink="">
      <xdr:nvSpPr>
        <xdr:cNvPr id="6" name="TextBox 5">
          <a:extLst>
            <a:ext uri="{FF2B5EF4-FFF2-40B4-BE49-F238E27FC236}">
              <a16:creationId xmlns:a16="http://schemas.microsoft.com/office/drawing/2014/main" id="{00000000-0008-0000-0100-000006000000}"/>
            </a:ext>
          </a:extLst>
        </xdr:cNvPr>
        <xdr:cNvSpPr txBox="1"/>
      </xdr:nvSpPr>
      <xdr:spPr>
        <a:xfrm>
          <a:off x="1305885" y="1396083"/>
          <a:ext cx="2398284" cy="2369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latin typeface="Bradley Hand ITC" panose="03070402050302030203" pitchFamily="66" charset="0"/>
            </a:rPr>
            <a:t>...beyond</a:t>
          </a:r>
          <a:r>
            <a:rPr lang="en-US" sz="1400" b="1" baseline="0">
              <a:solidFill>
                <a:schemeClr val="bg1"/>
              </a:solidFill>
              <a:latin typeface="Bradley Hand ITC" panose="03070402050302030203" pitchFamily="66" charset="0"/>
            </a:rPr>
            <a:t> quenching your thirst</a:t>
          </a:r>
          <a:endParaRPr lang="en-US" sz="1400" b="1">
            <a:solidFill>
              <a:schemeClr val="bg1"/>
            </a:solidFill>
            <a:latin typeface="Bradley Hand ITC" panose="03070402050302030203" pitchFamily="66" charset="0"/>
          </a:endParaRPr>
        </a:p>
      </xdr:txBody>
    </xdr:sp>
    <xdr:clientData/>
  </xdr:twoCellAnchor>
  <xdr:twoCellAnchor>
    <xdr:from>
      <xdr:col>9</xdr:col>
      <xdr:colOff>104424</xdr:colOff>
      <xdr:row>7</xdr:row>
      <xdr:rowOff>58215</xdr:rowOff>
    </xdr:from>
    <xdr:to>
      <xdr:col>16</xdr:col>
      <xdr:colOff>33261</xdr:colOff>
      <xdr:row>9</xdr:row>
      <xdr:rowOff>127001</xdr:rowOff>
    </xdr:to>
    <xdr:sp macro="" textlink="">
      <xdr:nvSpPr>
        <xdr:cNvPr id="7" name="TextBox 6">
          <a:extLst>
            <a:ext uri="{FF2B5EF4-FFF2-40B4-BE49-F238E27FC236}">
              <a16:creationId xmlns:a16="http://schemas.microsoft.com/office/drawing/2014/main" id="{00000000-0008-0000-0100-000007000000}"/>
            </a:ext>
          </a:extLst>
        </xdr:cNvPr>
        <xdr:cNvSpPr txBox="1"/>
      </xdr:nvSpPr>
      <xdr:spPr>
        <a:xfrm>
          <a:off x="6064353" y="1264715"/>
          <a:ext cx="4564337" cy="413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1"/>
              </a:solidFill>
              <a:latin typeface="Bradley Hand ITC" panose="03070402050302030203" pitchFamily="66" charset="0"/>
            </a:rPr>
            <a:t>Five</a:t>
          </a:r>
          <a:r>
            <a:rPr lang="en-US" sz="2400" b="1" baseline="0">
              <a:solidFill>
                <a:schemeClr val="bg1"/>
              </a:solidFill>
              <a:latin typeface="Bradley Hand ITC" panose="03070402050302030203" pitchFamily="66" charset="0"/>
            </a:rPr>
            <a:t> Years Financial Model</a:t>
          </a:r>
          <a:endParaRPr lang="en-US" sz="2400" b="1">
            <a:solidFill>
              <a:schemeClr val="bg1"/>
            </a:solidFill>
            <a:latin typeface="Bradley Hand ITC" panose="03070402050302030203" pitchFamily="66" charset="0"/>
          </a:endParaRPr>
        </a:p>
      </xdr:txBody>
    </xdr:sp>
    <xdr:clientData/>
  </xdr:twoCellAnchor>
  <mc:AlternateContent xmlns:mc="http://schemas.openxmlformats.org/markup-compatibility/2006">
    <mc:Choice xmlns:a14="http://schemas.microsoft.com/office/drawing/2010/main" Requires="a14">
      <xdr:twoCellAnchor editAs="oneCell">
        <xdr:from>
          <xdr:col>5</xdr:col>
          <xdr:colOff>565150</xdr:colOff>
          <xdr:row>7</xdr:row>
          <xdr:rowOff>165100</xdr:rowOff>
        </xdr:from>
        <xdr:to>
          <xdr:col>7</xdr:col>
          <xdr:colOff>584200</xdr:colOff>
          <xdr:row>9</xdr:row>
          <xdr:rowOff>101600</xdr:rowOff>
        </xdr:to>
        <xdr:sp macro="" textlink="">
          <xdr:nvSpPr>
            <xdr:cNvPr id="14337" name="Drop Down 1" hidden="1">
              <a:extLst>
                <a:ext uri="{63B3BB69-23CF-44E3-9099-C40C66FF867C}">
                  <a14:compatExt spid="_x0000_s14337"/>
                </a:ext>
                <a:ext uri="{FF2B5EF4-FFF2-40B4-BE49-F238E27FC236}">
                  <a16:creationId xmlns:a16="http://schemas.microsoft.com/office/drawing/2014/main" id="{00000000-0008-0000-0100-0000013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0</xdr:col>
      <xdr:colOff>493420</xdr:colOff>
      <xdr:row>10</xdr:row>
      <xdr:rowOff>40707</xdr:rowOff>
    </xdr:from>
    <xdr:to>
      <xdr:col>7</xdr:col>
      <xdr:colOff>561730</xdr:colOff>
      <xdr:row>19</xdr:row>
      <xdr:rowOff>8141</xdr:rowOff>
    </xdr:to>
    <xdr:sp macro="" textlink="">
      <xdr:nvSpPr>
        <xdr:cNvPr id="8" name="Rectangle 7">
          <a:extLst>
            <a:ext uri="{FF2B5EF4-FFF2-40B4-BE49-F238E27FC236}">
              <a16:creationId xmlns:a16="http://schemas.microsoft.com/office/drawing/2014/main" id="{00000000-0008-0000-0100-000008000000}"/>
            </a:ext>
          </a:extLst>
        </xdr:cNvPr>
        <xdr:cNvSpPr/>
      </xdr:nvSpPr>
      <xdr:spPr>
        <a:xfrm>
          <a:off x="493420" y="1750322"/>
          <a:ext cx="4684272" cy="1506088"/>
        </a:xfrm>
        <a:prstGeom prst="rect">
          <a:avLst/>
        </a:prstGeom>
        <a:solidFill>
          <a:schemeClr val="accent2">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474134</xdr:colOff>
      <xdr:row>19</xdr:row>
      <xdr:rowOff>74789</xdr:rowOff>
    </xdr:from>
    <xdr:to>
      <xdr:col>5</xdr:col>
      <xdr:colOff>179717</xdr:colOff>
      <xdr:row>36</xdr:row>
      <xdr:rowOff>158750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474134" y="3261770"/>
          <a:ext cx="3000394" cy="2935471"/>
        </a:xfrm>
        <a:prstGeom prst="rect">
          <a:avLst/>
        </a:prstGeom>
        <a:solidFill>
          <a:schemeClr val="accent2">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263587</xdr:colOff>
      <xdr:row>19</xdr:row>
      <xdr:rowOff>59452</xdr:rowOff>
    </xdr:from>
    <xdr:to>
      <xdr:col>9</xdr:col>
      <xdr:colOff>623020</xdr:colOff>
      <xdr:row>36</xdr:row>
      <xdr:rowOff>143413</xdr:rowOff>
    </xdr:to>
    <xdr:sp macro="" textlink="">
      <xdr:nvSpPr>
        <xdr:cNvPr id="10" name="Rectangle 9">
          <a:extLst>
            <a:ext uri="{FF2B5EF4-FFF2-40B4-BE49-F238E27FC236}">
              <a16:creationId xmlns:a16="http://schemas.microsoft.com/office/drawing/2014/main" id="{00000000-0008-0000-0100-00000A000000}"/>
            </a:ext>
          </a:extLst>
        </xdr:cNvPr>
        <xdr:cNvSpPr/>
      </xdr:nvSpPr>
      <xdr:spPr>
        <a:xfrm>
          <a:off x="3558398" y="3246433"/>
          <a:ext cx="2995282" cy="2935471"/>
        </a:xfrm>
        <a:prstGeom prst="rect">
          <a:avLst/>
        </a:prstGeom>
        <a:solidFill>
          <a:schemeClr val="accent2">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597896</xdr:colOff>
      <xdr:row>10</xdr:row>
      <xdr:rowOff>32564</xdr:rowOff>
    </xdr:from>
    <xdr:to>
      <xdr:col>10</xdr:col>
      <xdr:colOff>23962</xdr:colOff>
      <xdr:row>19</xdr:row>
      <xdr:rowOff>8141</xdr:rowOff>
    </xdr:to>
    <xdr:sp macro="" textlink="">
      <xdr:nvSpPr>
        <xdr:cNvPr id="11" name="Rectangle 10">
          <a:extLst>
            <a:ext uri="{FF2B5EF4-FFF2-40B4-BE49-F238E27FC236}">
              <a16:creationId xmlns:a16="http://schemas.microsoft.com/office/drawing/2014/main" id="{00000000-0008-0000-0100-00000B000000}"/>
            </a:ext>
          </a:extLst>
        </xdr:cNvPr>
        <xdr:cNvSpPr/>
      </xdr:nvSpPr>
      <xdr:spPr>
        <a:xfrm>
          <a:off x="5213858" y="1742179"/>
          <a:ext cx="1404335" cy="1514231"/>
        </a:xfrm>
        <a:prstGeom prst="rect">
          <a:avLst/>
        </a:prstGeom>
        <a:solidFill>
          <a:schemeClr val="accent2">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80975</xdr:colOff>
      <xdr:row>10</xdr:row>
      <xdr:rowOff>36751</xdr:rowOff>
    </xdr:from>
    <xdr:to>
      <xdr:col>14</xdr:col>
      <xdr:colOff>383857</xdr:colOff>
      <xdr:row>22</xdr:row>
      <xdr:rowOff>122115</xdr:rowOff>
    </xdr:to>
    <xdr:sp macro="" textlink="">
      <xdr:nvSpPr>
        <xdr:cNvPr id="12" name="Rectangle 11">
          <a:extLst>
            <a:ext uri="{FF2B5EF4-FFF2-40B4-BE49-F238E27FC236}">
              <a16:creationId xmlns:a16="http://schemas.microsoft.com/office/drawing/2014/main" id="{00000000-0008-0000-0100-00000C000000}"/>
            </a:ext>
          </a:extLst>
        </xdr:cNvPr>
        <xdr:cNvSpPr/>
      </xdr:nvSpPr>
      <xdr:spPr>
        <a:xfrm>
          <a:off x="6675206" y="1746366"/>
          <a:ext cx="2940574" cy="2136903"/>
        </a:xfrm>
        <a:prstGeom prst="rect">
          <a:avLst/>
        </a:prstGeom>
        <a:solidFill>
          <a:schemeClr val="accent2">
            <a:lumMod val="60000"/>
            <a:lumOff val="40000"/>
          </a:schemeClr>
        </a:solidFill>
        <a:ln>
          <a:solidFill>
            <a:schemeClr val="accent2">
              <a:lumMod val="40000"/>
              <a:lumOff val="6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53197</xdr:colOff>
      <xdr:row>22</xdr:row>
      <xdr:rowOff>146538</xdr:rowOff>
    </xdr:from>
    <xdr:to>
      <xdr:col>14</xdr:col>
      <xdr:colOff>356079</xdr:colOff>
      <xdr:row>36</xdr:row>
      <xdr:rowOff>164383</xdr:rowOff>
    </xdr:to>
    <xdr:sp macro="" textlink="">
      <xdr:nvSpPr>
        <xdr:cNvPr id="13" name="Rectangle 12">
          <a:extLst>
            <a:ext uri="{FF2B5EF4-FFF2-40B4-BE49-F238E27FC236}">
              <a16:creationId xmlns:a16="http://schemas.microsoft.com/office/drawing/2014/main" id="{00000000-0008-0000-0100-00000D000000}"/>
            </a:ext>
          </a:extLst>
        </xdr:cNvPr>
        <xdr:cNvSpPr/>
      </xdr:nvSpPr>
      <xdr:spPr>
        <a:xfrm>
          <a:off x="6647428" y="3907692"/>
          <a:ext cx="2940574" cy="2411306"/>
        </a:xfrm>
        <a:prstGeom prst="rect">
          <a:avLst/>
        </a:prstGeom>
        <a:solidFill>
          <a:schemeClr val="accent2">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262467</xdr:colOff>
      <xdr:row>19</xdr:row>
      <xdr:rowOff>66648</xdr:rowOff>
    </xdr:from>
    <xdr:to>
      <xdr:col>9</xdr:col>
      <xdr:colOff>618718</xdr:colOff>
      <xdr:row>36</xdr:row>
      <xdr:rowOff>135632</xdr:rowOff>
    </xdr:to>
    <xdr:graphicFrame macro="">
      <xdr:nvGraphicFramePr>
        <xdr:cNvPr id="14" name="Chart 13">
          <a:extLst>
            <a:ext uri="{FF2B5EF4-FFF2-40B4-BE49-F238E27FC236}">
              <a16:creationId xmlns:a16="http://schemas.microsoft.com/office/drawing/2014/main" id="{00000000-0008-0000-01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474134</xdr:colOff>
      <xdr:row>19</xdr:row>
      <xdr:rowOff>67235</xdr:rowOff>
    </xdr:from>
    <xdr:to>
      <xdr:col>5</xdr:col>
      <xdr:colOff>164353</xdr:colOff>
      <xdr:row>36</xdr:row>
      <xdr:rowOff>141941</xdr:rowOff>
    </xdr:to>
    <xdr:graphicFrame macro="">
      <xdr:nvGraphicFramePr>
        <xdr:cNvPr id="15" name="Chart 14">
          <a:extLst>
            <a:ext uri="{FF2B5EF4-FFF2-40B4-BE49-F238E27FC236}">
              <a16:creationId xmlns:a16="http://schemas.microsoft.com/office/drawing/2014/main" id="{00000000-0008-0000-01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153288</xdr:colOff>
      <xdr:row>10</xdr:row>
      <xdr:rowOff>138398</xdr:rowOff>
    </xdr:from>
    <xdr:to>
      <xdr:col>5</xdr:col>
      <xdr:colOff>238777</xdr:colOff>
      <xdr:row>18</xdr:row>
      <xdr:rowOff>40704</xdr:rowOff>
    </xdr:to>
    <xdr:sp macro="" textlink="">
      <xdr:nvSpPr>
        <xdr:cNvPr id="18" name="Rectangle 17">
          <a:extLst>
            <a:ext uri="{FF2B5EF4-FFF2-40B4-BE49-F238E27FC236}">
              <a16:creationId xmlns:a16="http://schemas.microsoft.com/office/drawing/2014/main" id="{00000000-0008-0000-0100-000012000000}"/>
            </a:ext>
          </a:extLst>
        </xdr:cNvPr>
        <xdr:cNvSpPr/>
      </xdr:nvSpPr>
      <xdr:spPr>
        <a:xfrm>
          <a:off x="2131557" y="1848013"/>
          <a:ext cx="1404335" cy="1269999"/>
        </a:xfrm>
        <a:prstGeom prst="rect">
          <a:avLst/>
        </a:prstGeom>
        <a:solidFill>
          <a:schemeClr val="accent2">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430083</xdr:colOff>
      <xdr:row>10</xdr:row>
      <xdr:rowOff>154680</xdr:rowOff>
    </xdr:from>
    <xdr:to>
      <xdr:col>7</xdr:col>
      <xdr:colOff>515571</xdr:colOff>
      <xdr:row>18</xdr:row>
      <xdr:rowOff>89551</xdr:rowOff>
    </xdr:to>
    <xdr:sp macro="" textlink="">
      <xdr:nvSpPr>
        <xdr:cNvPr id="19" name="Rectangle 18">
          <a:extLst>
            <a:ext uri="{FF2B5EF4-FFF2-40B4-BE49-F238E27FC236}">
              <a16:creationId xmlns:a16="http://schemas.microsoft.com/office/drawing/2014/main" id="{00000000-0008-0000-0100-000013000000}"/>
            </a:ext>
          </a:extLst>
        </xdr:cNvPr>
        <xdr:cNvSpPr/>
      </xdr:nvSpPr>
      <xdr:spPr>
        <a:xfrm>
          <a:off x="3727198" y="1864295"/>
          <a:ext cx="1404335" cy="1302564"/>
        </a:xfrm>
        <a:prstGeom prst="rect">
          <a:avLst/>
        </a:prstGeom>
        <a:solidFill>
          <a:schemeClr val="accent2">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552198</xdr:colOff>
      <xdr:row>10</xdr:row>
      <xdr:rowOff>130258</xdr:rowOff>
    </xdr:from>
    <xdr:to>
      <xdr:col>2</xdr:col>
      <xdr:colOff>637687</xdr:colOff>
      <xdr:row>18</xdr:row>
      <xdr:rowOff>73269</xdr:rowOff>
    </xdr:to>
    <xdr:sp macro="" textlink="">
      <xdr:nvSpPr>
        <xdr:cNvPr id="20" name="Rectangle 19">
          <a:extLst>
            <a:ext uri="{FF2B5EF4-FFF2-40B4-BE49-F238E27FC236}">
              <a16:creationId xmlns:a16="http://schemas.microsoft.com/office/drawing/2014/main" id="{00000000-0008-0000-0100-000014000000}"/>
            </a:ext>
          </a:extLst>
        </xdr:cNvPr>
        <xdr:cNvSpPr/>
      </xdr:nvSpPr>
      <xdr:spPr>
        <a:xfrm>
          <a:off x="552198" y="1839873"/>
          <a:ext cx="1404335" cy="1310704"/>
        </a:xfrm>
        <a:prstGeom prst="rect">
          <a:avLst/>
        </a:prstGeom>
        <a:solidFill>
          <a:schemeClr val="accent2">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53197</xdr:colOff>
      <xdr:row>23</xdr:row>
      <xdr:rowOff>24423</xdr:rowOff>
    </xdr:from>
    <xdr:to>
      <xdr:col>14</xdr:col>
      <xdr:colOff>353601</xdr:colOff>
      <xdr:row>37</xdr:row>
      <xdr:rowOff>8141</xdr:rowOff>
    </xdr:to>
    <xdr:graphicFrame macro="">
      <xdr:nvGraphicFramePr>
        <xdr:cNvPr id="21" name="Chart 20">
          <a:extLst>
            <a:ext uri="{FF2B5EF4-FFF2-40B4-BE49-F238E27FC236}">
              <a16:creationId xmlns:a16="http://schemas.microsoft.com/office/drawing/2014/main" id="{00000000-0008-0000-01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119063</xdr:colOff>
      <xdr:row>11</xdr:row>
      <xdr:rowOff>32564</xdr:rowOff>
    </xdr:from>
    <xdr:to>
      <xdr:col>14</xdr:col>
      <xdr:colOff>456406</xdr:colOff>
      <xdr:row>22</xdr:row>
      <xdr:rowOff>113974</xdr:rowOff>
    </xdr:to>
    <xdr:graphicFrame macro="">
      <xdr:nvGraphicFramePr>
        <xdr:cNvPr id="16" name="Chart 15">
          <a:extLst>
            <a:ext uri="{FF2B5EF4-FFF2-40B4-BE49-F238E27FC236}">
              <a16:creationId xmlns:a16="http://schemas.microsoft.com/office/drawing/2014/main" id="{00000000-0008-0000-01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582484</xdr:colOff>
      <xdr:row>11</xdr:row>
      <xdr:rowOff>5862</xdr:rowOff>
    </xdr:from>
    <xdr:to>
      <xdr:col>2</xdr:col>
      <xdr:colOff>512885</xdr:colOff>
      <xdr:row>13</xdr:row>
      <xdr:rowOff>105834</xdr:rowOff>
    </xdr:to>
    <xdr:sp macro="" textlink="">
      <xdr:nvSpPr>
        <xdr:cNvPr id="17" name="Rectangle 16">
          <a:extLst>
            <a:ext uri="{FF2B5EF4-FFF2-40B4-BE49-F238E27FC236}">
              <a16:creationId xmlns:a16="http://schemas.microsoft.com/office/drawing/2014/main" id="{00000000-0008-0000-0100-000011000000}"/>
            </a:ext>
          </a:extLst>
        </xdr:cNvPr>
        <xdr:cNvSpPr/>
      </xdr:nvSpPr>
      <xdr:spPr>
        <a:xfrm>
          <a:off x="582484" y="1886439"/>
          <a:ext cx="1249247" cy="441895"/>
        </a:xfrm>
        <a:prstGeom prst="rect">
          <a:avLst/>
        </a:prstGeom>
        <a:solidFill>
          <a:schemeClr val="accent2">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50" b="1">
              <a:latin typeface="Century Gothic" panose="020B0502020202020204" pitchFamily="34" charset="0"/>
            </a:rPr>
            <a:t>Avg Revenue</a:t>
          </a:r>
        </a:p>
      </xdr:txBody>
    </xdr:sp>
    <xdr:clientData/>
  </xdr:twoCellAnchor>
  <xdr:twoCellAnchor>
    <xdr:from>
      <xdr:col>3</xdr:col>
      <xdr:colOff>219808</xdr:colOff>
      <xdr:row>11</xdr:row>
      <xdr:rowOff>45014</xdr:rowOff>
    </xdr:from>
    <xdr:to>
      <xdr:col>5</xdr:col>
      <xdr:colOff>181382</xdr:colOff>
      <xdr:row>13</xdr:row>
      <xdr:rowOff>144986</xdr:rowOff>
    </xdr:to>
    <xdr:sp macro="" textlink="">
      <xdr:nvSpPr>
        <xdr:cNvPr id="22" name="Rectangle 21">
          <a:extLst>
            <a:ext uri="{FF2B5EF4-FFF2-40B4-BE49-F238E27FC236}">
              <a16:creationId xmlns:a16="http://schemas.microsoft.com/office/drawing/2014/main" id="{00000000-0008-0000-0100-000016000000}"/>
            </a:ext>
          </a:extLst>
        </xdr:cNvPr>
        <xdr:cNvSpPr/>
      </xdr:nvSpPr>
      <xdr:spPr>
        <a:xfrm>
          <a:off x="2198077" y="1925591"/>
          <a:ext cx="1280420" cy="441895"/>
        </a:xfrm>
        <a:prstGeom prst="rect">
          <a:avLst/>
        </a:prstGeom>
        <a:solidFill>
          <a:schemeClr val="accent2">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latin typeface="Century Gothic" panose="020B0502020202020204" pitchFamily="34" charset="0"/>
            </a:rPr>
            <a:t>Avg</a:t>
          </a:r>
          <a:r>
            <a:rPr lang="en-US" sz="1100" b="1" baseline="0">
              <a:latin typeface="Century Gothic" panose="020B0502020202020204" pitchFamily="34" charset="0"/>
            </a:rPr>
            <a:t> Gross Profit</a:t>
          </a:r>
          <a:endParaRPr lang="en-US" sz="1100" b="1">
            <a:latin typeface="Century Gothic" panose="020B0502020202020204" pitchFamily="34" charset="0"/>
          </a:endParaRPr>
        </a:p>
      </xdr:txBody>
    </xdr:sp>
    <xdr:clientData/>
  </xdr:twoCellAnchor>
  <xdr:twoCellAnchor>
    <xdr:from>
      <xdr:col>5</xdr:col>
      <xdr:colOff>480321</xdr:colOff>
      <xdr:row>11</xdr:row>
      <xdr:rowOff>26452</xdr:rowOff>
    </xdr:from>
    <xdr:to>
      <xdr:col>7</xdr:col>
      <xdr:colOff>455897</xdr:colOff>
      <xdr:row>13</xdr:row>
      <xdr:rowOff>126424</xdr:rowOff>
    </xdr:to>
    <xdr:sp macro="" textlink="">
      <xdr:nvSpPr>
        <xdr:cNvPr id="23" name="Rectangle 22">
          <a:extLst>
            <a:ext uri="{FF2B5EF4-FFF2-40B4-BE49-F238E27FC236}">
              <a16:creationId xmlns:a16="http://schemas.microsoft.com/office/drawing/2014/main" id="{00000000-0008-0000-0100-000017000000}"/>
            </a:ext>
          </a:extLst>
        </xdr:cNvPr>
        <xdr:cNvSpPr/>
      </xdr:nvSpPr>
      <xdr:spPr>
        <a:xfrm>
          <a:off x="3777436" y="1907029"/>
          <a:ext cx="1294423" cy="441895"/>
        </a:xfrm>
        <a:prstGeom prst="rect">
          <a:avLst/>
        </a:prstGeom>
        <a:solidFill>
          <a:schemeClr val="accent2">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latin typeface="Century Gothic" panose="020B0502020202020204" pitchFamily="34" charset="0"/>
            </a:rPr>
            <a:t>Avg Net Profit</a:t>
          </a:r>
        </a:p>
      </xdr:txBody>
    </xdr:sp>
    <xdr:clientData/>
  </xdr:twoCellAnchor>
  <xdr:twoCellAnchor>
    <xdr:from>
      <xdr:col>0</xdr:col>
      <xdr:colOff>612768</xdr:colOff>
      <xdr:row>15</xdr:row>
      <xdr:rowOff>44288</xdr:rowOff>
    </xdr:from>
    <xdr:to>
      <xdr:col>2</xdr:col>
      <xdr:colOff>561732</xdr:colOff>
      <xdr:row>17</xdr:row>
      <xdr:rowOff>144260</xdr:rowOff>
    </xdr:to>
    <xdr:sp macro="" textlink="Pivot!F39">
      <xdr:nvSpPr>
        <xdr:cNvPr id="24" name="Rectangle 23">
          <a:extLst>
            <a:ext uri="{FF2B5EF4-FFF2-40B4-BE49-F238E27FC236}">
              <a16:creationId xmlns:a16="http://schemas.microsoft.com/office/drawing/2014/main" id="{00000000-0008-0000-0100-000018000000}"/>
            </a:ext>
          </a:extLst>
        </xdr:cNvPr>
        <xdr:cNvSpPr/>
      </xdr:nvSpPr>
      <xdr:spPr>
        <a:xfrm>
          <a:off x="612768" y="2608711"/>
          <a:ext cx="1267810" cy="441895"/>
        </a:xfrm>
        <a:prstGeom prst="rect">
          <a:avLst/>
        </a:prstGeom>
        <a:solidFill>
          <a:schemeClr val="accent2">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D09B72B7-2E0B-4994-8C50-37B821234BD1}" type="TxLink">
            <a:rPr lang="en-US" sz="1400" b="1" i="0" u="none" strike="noStrike">
              <a:solidFill>
                <a:schemeClr val="bg1"/>
              </a:solidFill>
              <a:latin typeface="Century Gothic"/>
            </a:rPr>
            <a:pPr algn="l"/>
            <a:t>₦ 15,329,280</a:t>
          </a:fld>
          <a:endParaRPr lang="en-US" sz="1100" b="1">
            <a:solidFill>
              <a:schemeClr val="bg1"/>
            </a:solidFill>
          </a:endParaRPr>
        </a:p>
      </xdr:txBody>
    </xdr:sp>
    <xdr:clientData/>
  </xdr:twoCellAnchor>
  <xdr:twoCellAnchor>
    <xdr:from>
      <xdr:col>3</xdr:col>
      <xdr:colOff>176902</xdr:colOff>
      <xdr:row>15</xdr:row>
      <xdr:rowOff>34593</xdr:rowOff>
    </xdr:from>
    <xdr:to>
      <xdr:col>5</xdr:col>
      <xdr:colOff>198916</xdr:colOff>
      <xdr:row>17</xdr:row>
      <xdr:rowOff>134565</xdr:rowOff>
    </xdr:to>
    <xdr:sp macro="" textlink="Pivot!G39">
      <xdr:nvSpPr>
        <xdr:cNvPr id="25" name="Rectangle 24">
          <a:extLst>
            <a:ext uri="{FF2B5EF4-FFF2-40B4-BE49-F238E27FC236}">
              <a16:creationId xmlns:a16="http://schemas.microsoft.com/office/drawing/2014/main" id="{00000000-0008-0000-0100-000019000000}"/>
            </a:ext>
          </a:extLst>
        </xdr:cNvPr>
        <xdr:cNvSpPr/>
      </xdr:nvSpPr>
      <xdr:spPr>
        <a:xfrm>
          <a:off x="2150757" y="2559292"/>
          <a:ext cx="1337918" cy="436598"/>
        </a:xfrm>
        <a:prstGeom prst="rect">
          <a:avLst/>
        </a:prstGeom>
        <a:solidFill>
          <a:schemeClr val="accent2">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947C7512-D485-4FD5-8F32-2F6DD7D3B585}" type="TxLink">
            <a:rPr lang="en-US" sz="1600" b="1" i="0" u="none" strike="noStrike">
              <a:solidFill>
                <a:schemeClr val="bg1"/>
              </a:solidFill>
              <a:latin typeface="Century Gothic"/>
            </a:rPr>
            <a:pPr algn="l"/>
            <a:t>₦ 4,638,320</a:t>
          </a:fld>
          <a:endParaRPr lang="en-US" sz="1100" b="1">
            <a:solidFill>
              <a:schemeClr val="bg1"/>
            </a:solidFill>
          </a:endParaRPr>
        </a:p>
      </xdr:txBody>
    </xdr:sp>
    <xdr:clientData/>
  </xdr:twoCellAnchor>
  <xdr:twoCellAnchor>
    <xdr:from>
      <xdr:col>5</xdr:col>
      <xdr:colOff>482512</xdr:colOff>
      <xdr:row>15</xdr:row>
      <xdr:rowOff>73019</xdr:rowOff>
    </xdr:from>
    <xdr:to>
      <xdr:col>7</xdr:col>
      <xdr:colOff>447756</xdr:colOff>
      <xdr:row>18</xdr:row>
      <xdr:rowOff>2029</xdr:rowOff>
    </xdr:to>
    <xdr:sp macro="" textlink="Pivot!H39">
      <xdr:nvSpPr>
        <xdr:cNvPr id="26" name="Rectangle 25">
          <a:extLst>
            <a:ext uri="{FF2B5EF4-FFF2-40B4-BE49-F238E27FC236}">
              <a16:creationId xmlns:a16="http://schemas.microsoft.com/office/drawing/2014/main" id="{00000000-0008-0000-0100-00001A000000}"/>
            </a:ext>
          </a:extLst>
        </xdr:cNvPr>
        <xdr:cNvSpPr/>
      </xdr:nvSpPr>
      <xdr:spPr>
        <a:xfrm>
          <a:off x="3779627" y="2637442"/>
          <a:ext cx="1284091" cy="441895"/>
        </a:xfrm>
        <a:prstGeom prst="rect">
          <a:avLst/>
        </a:prstGeom>
        <a:solidFill>
          <a:schemeClr val="accent2">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6F5EAA12-6622-42C9-AFD5-827EEF5A8E17}" type="TxLink">
            <a:rPr lang="en-US" sz="1400" b="1" i="0" u="none" strike="noStrike">
              <a:solidFill>
                <a:schemeClr val="bg1"/>
              </a:solidFill>
              <a:latin typeface="Century Gothic"/>
            </a:rPr>
            <a:pPr algn="l"/>
            <a:t>₦ 1,068,044</a:t>
          </a:fld>
          <a:endParaRPr lang="en-US" sz="1400" b="1">
            <a:solidFill>
              <a:schemeClr val="bg1"/>
            </a:solidFill>
          </a:endParaRPr>
        </a:p>
      </xdr:txBody>
    </xdr:sp>
    <xdr:clientData/>
  </xdr:twoCellAnchor>
  <xdr:twoCellAnchor>
    <xdr:from>
      <xdr:col>11</xdr:col>
      <xdr:colOff>20633</xdr:colOff>
      <xdr:row>22</xdr:row>
      <xdr:rowOff>154679</xdr:rowOff>
    </xdr:from>
    <xdr:to>
      <xdr:col>13</xdr:col>
      <xdr:colOff>443966</xdr:colOff>
      <xdr:row>24</xdr:row>
      <xdr:rowOff>69208</xdr:rowOff>
    </xdr:to>
    <xdr:sp macro="" textlink="">
      <xdr:nvSpPr>
        <xdr:cNvPr id="28" name="Rectangle 27">
          <a:extLst>
            <a:ext uri="{FF2B5EF4-FFF2-40B4-BE49-F238E27FC236}">
              <a16:creationId xmlns:a16="http://schemas.microsoft.com/office/drawing/2014/main" id="{00000000-0008-0000-0100-00001C000000}"/>
            </a:ext>
          </a:extLst>
        </xdr:cNvPr>
        <xdr:cNvSpPr/>
      </xdr:nvSpPr>
      <xdr:spPr>
        <a:xfrm>
          <a:off x="7274287" y="3915833"/>
          <a:ext cx="1742179" cy="256452"/>
        </a:xfrm>
        <a:prstGeom prst="rect">
          <a:avLst/>
        </a:prstGeom>
        <a:solidFill>
          <a:schemeClr val="accent2">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100" b="1">
              <a:latin typeface="Century Gothic" panose="020B0502020202020204" pitchFamily="34" charset="0"/>
            </a:rPr>
            <a:t>Profitability</a:t>
          </a:r>
          <a:r>
            <a:rPr lang="en-US" sz="1100" b="1" baseline="0">
              <a:latin typeface="Century Gothic" panose="020B0502020202020204" pitchFamily="34" charset="0"/>
            </a:rPr>
            <a:t> Ratio</a:t>
          </a:r>
          <a:endParaRPr lang="en-US" sz="1100" b="1">
            <a:latin typeface="Century Gothic" panose="020B0502020202020204" pitchFamily="34" charset="0"/>
          </a:endParaRPr>
        </a:p>
      </xdr:txBody>
    </xdr:sp>
    <xdr:clientData/>
  </xdr:twoCellAnchor>
  <xdr:twoCellAnchor>
    <xdr:from>
      <xdr:col>10</xdr:col>
      <xdr:colOff>642706</xdr:colOff>
      <xdr:row>10</xdr:row>
      <xdr:rowOff>69315</xdr:rowOff>
    </xdr:from>
    <xdr:to>
      <xdr:col>13</xdr:col>
      <xdr:colOff>406616</xdr:colOff>
      <xdr:row>11</xdr:row>
      <xdr:rowOff>154805</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7236937" y="1778930"/>
          <a:ext cx="1742179" cy="256452"/>
        </a:xfrm>
        <a:prstGeom prst="rect">
          <a:avLst/>
        </a:prstGeom>
        <a:solidFill>
          <a:schemeClr val="accent2">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100" b="1">
              <a:latin typeface="Century Gothic" panose="020B0502020202020204" pitchFamily="34" charset="0"/>
            </a:rPr>
            <a:t>Operating</a:t>
          </a:r>
          <a:r>
            <a:rPr lang="en-US" sz="1100" b="1" baseline="0">
              <a:latin typeface="Century Gothic" panose="020B0502020202020204" pitchFamily="34" charset="0"/>
            </a:rPr>
            <a:t> Expenses</a:t>
          </a:r>
          <a:endParaRPr lang="en-US" sz="1100" b="1">
            <a:latin typeface="Century Gothic" panose="020B0502020202020204" pitchFamily="34" charset="0"/>
          </a:endParaRPr>
        </a:p>
      </xdr:txBody>
    </xdr:sp>
    <xdr:clientData/>
  </xdr:twoCellAnchor>
  <xdr:twoCellAnchor editAs="oneCell">
    <xdr:from>
      <xdr:col>7</xdr:col>
      <xdr:colOff>597550</xdr:colOff>
      <xdr:row>10</xdr:row>
      <xdr:rowOff>8141</xdr:rowOff>
    </xdr:from>
    <xdr:to>
      <xdr:col>9</xdr:col>
      <xdr:colOff>626859</xdr:colOff>
      <xdr:row>18</xdr:row>
      <xdr:rowOff>130256</xdr:rowOff>
    </xdr:to>
    <mc:AlternateContent xmlns:mc="http://schemas.openxmlformats.org/markup-compatibility/2006" xmlns:a14="http://schemas.microsoft.com/office/drawing/2010/main">
      <mc:Choice Requires="a14">
        <xdr:graphicFrame macro="">
          <xdr:nvGraphicFramePr>
            <xdr:cNvPr id="30" name="Year">
              <a:extLst>
                <a:ext uri="{FF2B5EF4-FFF2-40B4-BE49-F238E27FC236}">
                  <a16:creationId xmlns:a16="http://schemas.microsoft.com/office/drawing/2014/main" id="{00000000-0008-0000-0100-00001E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5233050" y="1731712"/>
              <a:ext cx="1353738" cy="150097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c:userShapes xmlns:c="http://schemas.openxmlformats.org/drawingml/2006/chart">
  <cdr:relSizeAnchor xmlns:cdr="http://schemas.openxmlformats.org/drawingml/2006/chartDrawing">
    <cdr:from>
      <cdr:x>0.23722</cdr:x>
      <cdr:y>0.01707</cdr:y>
    </cdr:from>
    <cdr:to>
      <cdr:x>0.81912</cdr:x>
      <cdr:y>0.10327</cdr:y>
    </cdr:to>
    <cdr:sp macro="" textlink="">
      <cdr:nvSpPr>
        <cdr:cNvPr id="2" name="Rectangle 1">
          <a:extLst xmlns:a="http://schemas.openxmlformats.org/drawingml/2006/main">
            <a:ext uri="{FF2B5EF4-FFF2-40B4-BE49-F238E27FC236}">
              <a16:creationId xmlns:a16="http://schemas.microsoft.com/office/drawing/2014/main" id="{E7ABF47F-EF52-3256-4A46-2AED118506E6}"/>
            </a:ext>
          </a:extLst>
        </cdr:cNvPr>
        <cdr:cNvSpPr/>
      </cdr:nvSpPr>
      <cdr:spPr>
        <a:xfrm xmlns:a="http://schemas.openxmlformats.org/drawingml/2006/main">
          <a:off x="710223" y="50800"/>
          <a:ext cx="1742179" cy="256452"/>
        </a:xfrm>
        <a:prstGeom xmlns:a="http://schemas.openxmlformats.org/drawingml/2006/main" prst="rect">
          <a:avLst/>
        </a:prstGeom>
        <a:solidFill xmlns:a="http://schemas.openxmlformats.org/drawingml/2006/main">
          <a:schemeClr val="accent2">
            <a:lumMod val="60000"/>
            <a:lumOff val="40000"/>
          </a:schemeClr>
        </a:solid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r>
            <a:rPr lang="en-US" sz="1100" b="1">
              <a:latin typeface="Century Gothic" panose="020B0502020202020204" pitchFamily="34" charset="0"/>
            </a:rPr>
            <a:t>Overall</a:t>
          </a:r>
          <a:r>
            <a:rPr lang="en-US" sz="1100" b="1" baseline="0">
              <a:latin typeface="Century Gothic" panose="020B0502020202020204" pitchFamily="34" charset="0"/>
            </a:rPr>
            <a:t> Performance</a:t>
          </a:r>
          <a:endParaRPr lang="en-US" sz="1100" b="1">
            <a:latin typeface="Century Gothic" panose="020B0502020202020204" pitchFamily="34" charset="0"/>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0.23371</cdr:x>
      <cdr:y>0.01704</cdr:y>
    </cdr:from>
    <cdr:to>
      <cdr:x>0.8169</cdr:x>
      <cdr:y>0.10307</cdr:y>
    </cdr:to>
    <cdr:sp macro="" textlink="">
      <cdr:nvSpPr>
        <cdr:cNvPr id="2" name="Rectangle 1">
          <a:extLst xmlns:a="http://schemas.openxmlformats.org/drawingml/2006/main">
            <a:ext uri="{FF2B5EF4-FFF2-40B4-BE49-F238E27FC236}">
              <a16:creationId xmlns:a16="http://schemas.microsoft.com/office/drawing/2014/main" id="{0723EDD1-8739-4EF6-9D56-EA35C52C28A7}"/>
            </a:ext>
          </a:extLst>
        </cdr:cNvPr>
        <cdr:cNvSpPr/>
      </cdr:nvSpPr>
      <cdr:spPr>
        <a:xfrm xmlns:a="http://schemas.openxmlformats.org/drawingml/2006/main">
          <a:off x="698174" y="50801"/>
          <a:ext cx="1742179" cy="256452"/>
        </a:xfrm>
        <a:prstGeom xmlns:a="http://schemas.openxmlformats.org/drawingml/2006/main" prst="rect">
          <a:avLst/>
        </a:prstGeom>
        <a:solidFill xmlns:a="http://schemas.openxmlformats.org/drawingml/2006/main">
          <a:schemeClr val="accent2">
            <a:lumMod val="75000"/>
          </a:schemeClr>
        </a:solid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r>
            <a:rPr lang="en-US" sz="1100" b="1">
              <a:latin typeface="Century Gothic" panose="020B0502020202020204" pitchFamily="34" charset="0"/>
            </a:rPr>
            <a:t>Revenue</a:t>
          </a:r>
          <a:r>
            <a:rPr lang="en-US" sz="1100" b="1" baseline="0">
              <a:latin typeface="Century Gothic" panose="020B0502020202020204" pitchFamily="34" charset="0"/>
            </a:rPr>
            <a:t> Breakdown</a:t>
          </a:r>
          <a:endParaRPr lang="en-US" sz="1100" b="1">
            <a:latin typeface="Century Gothic" panose="020B0502020202020204" pitchFamily="34" charset="0"/>
          </a:endParaRPr>
        </a:p>
      </cdr:txBody>
    </cdr:sp>
  </cdr:relSizeAnchor>
</c:userShapes>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1758950</xdr:colOff>
          <xdr:row>3</xdr:row>
          <xdr:rowOff>63500</xdr:rowOff>
        </xdr:from>
        <xdr:to>
          <xdr:col>4</xdr:col>
          <xdr:colOff>3092450</xdr:colOff>
          <xdr:row>4</xdr:row>
          <xdr:rowOff>171450</xdr:rowOff>
        </xdr:to>
        <xdr:sp macro="" textlink="">
          <xdr:nvSpPr>
            <xdr:cNvPr id="2049" name="Drop Down 1" hidden="1">
              <a:extLst>
                <a:ext uri="{63B3BB69-23CF-44E3-9099-C40C66FF867C}">
                  <a14:compatExt spid="_x0000_s2049"/>
                </a:ext>
                <a:ext uri="{FF2B5EF4-FFF2-40B4-BE49-F238E27FC236}">
                  <a16:creationId xmlns:a16="http://schemas.microsoft.com/office/drawing/2014/main" id="{00000000-0008-0000-0200-000001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2317750</xdr:colOff>
          <xdr:row>3</xdr:row>
          <xdr:rowOff>88900</xdr:rowOff>
        </xdr:from>
        <xdr:to>
          <xdr:col>8</xdr:col>
          <xdr:colOff>44450</xdr:colOff>
          <xdr:row>4</xdr:row>
          <xdr:rowOff>152400</xdr:rowOff>
        </xdr:to>
        <xdr:sp macro="" textlink="">
          <xdr:nvSpPr>
            <xdr:cNvPr id="7169" name="Drop Down 1" hidden="1">
              <a:extLst>
                <a:ext uri="{63B3BB69-23CF-44E3-9099-C40C66FF867C}">
                  <a14:compatExt spid="_x0000_s7169"/>
                </a:ext>
                <a:ext uri="{FF2B5EF4-FFF2-40B4-BE49-F238E27FC236}">
                  <a16:creationId xmlns:a16="http://schemas.microsoft.com/office/drawing/2014/main" id="{00000000-0008-0000-0300-0000011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12700</xdr:colOff>
          <xdr:row>3</xdr:row>
          <xdr:rowOff>25400</xdr:rowOff>
        </xdr:from>
        <xdr:to>
          <xdr:col>7</xdr:col>
          <xdr:colOff>12700</xdr:colOff>
          <xdr:row>4</xdr:row>
          <xdr:rowOff>165100</xdr:rowOff>
        </xdr:to>
        <xdr:sp macro="" textlink="">
          <xdr:nvSpPr>
            <xdr:cNvPr id="4097" name="Drop Down 1" hidden="1">
              <a:extLst>
                <a:ext uri="{63B3BB69-23CF-44E3-9099-C40C66FF867C}">
                  <a14:compatExt spid="_x0000_s4097"/>
                </a:ext>
                <a:ext uri="{FF2B5EF4-FFF2-40B4-BE49-F238E27FC236}">
                  <a16:creationId xmlns:a16="http://schemas.microsoft.com/office/drawing/2014/main" id="{00000000-0008-0000-0400-000001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2120900</xdr:colOff>
          <xdr:row>2</xdr:row>
          <xdr:rowOff>171450</xdr:rowOff>
        </xdr:from>
        <xdr:to>
          <xdr:col>6</xdr:col>
          <xdr:colOff>177800</xdr:colOff>
          <xdr:row>4</xdr:row>
          <xdr:rowOff>133350</xdr:rowOff>
        </xdr:to>
        <xdr:sp macro="" textlink="">
          <xdr:nvSpPr>
            <xdr:cNvPr id="5121" name="Drop Down 1" hidden="1">
              <a:extLst>
                <a:ext uri="{63B3BB69-23CF-44E3-9099-C40C66FF867C}">
                  <a14:compatExt spid="_x0000_s5121"/>
                </a:ext>
                <a:ext uri="{FF2B5EF4-FFF2-40B4-BE49-F238E27FC236}">
                  <a16:creationId xmlns:a16="http://schemas.microsoft.com/office/drawing/2014/main" id="{00000000-0008-0000-0500-0000011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1600200</xdr:colOff>
          <xdr:row>3</xdr:row>
          <xdr:rowOff>127000</xdr:rowOff>
        </xdr:from>
        <xdr:to>
          <xdr:col>4</xdr:col>
          <xdr:colOff>2686050</xdr:colOff>
          <xdr:row>4</xdr:row>
          <xdr:rowOff>165100</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6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2755900</xdr:colOff>
          <xdr:row>3</xdr:row>
          <xdr:rowOff>19050</xdr:rowOff>
        </xdr:from>
        <xdr:to>
          <xdr:col>8</xdr:col>
          <xdr:colOff>241300</xdr:colOff>
          <xdr:row>4</xdr:row>
          <xdr:rowOff>127000</xdr:rowOff>
        </xdr:to>
        <xdr:sp macro="" textlink="">
          <xdr:nvSpPr>
            <xdr:cNvPr id="9217" name="Drop Down 1" hidden="1">
              <a:extLst>
                <a:ext uri="{63B3BB69-23CF-44E3-9099-C40C66FF867C}">
                  <a14:compatExt spid="_x0000_s9217"/>
                </a:ext>
                <a:ext uri="{FF2B5EF4-FFF2-40B4-BE49-F238E27FC236}">
                  <a16:creationId xmlns:a16="http://schemas.microsoft.com/office/drawing/2014/main" id="{00000000-0008-0000-0700-000001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63500</xdr:colOff>
          <xdr:row>3</xdr:row>
          <xdr:rowOff>25400</xdr:rowOff>
        </xdr:from>
        <xdr:to>
          <xdr:col>6</xdr:col>
          <xdr:colOff>260350</xdr:colOff>
          <xdr:row>4</xdr:row>
          <xdr:rowOff>139700</xdr:rowOff>
        </xdr:to>
        <xdr:sp macro="" textlink="">
          <xdr:nvSpPr>
            <xdr:cNvPr id="10241" name="Drop Down 1" hidden="1">
              <a:extLst>
                <a:ext uri="{63B3BB69-23CF-44E3-9099-C40C66FF867C}">
                  <a14:compatExt spid="_x0000_s10241"/>
                </a:ext>
                <a:ext uri="{FF2B5EF4-FFF2-40B4-BE49-F238E27FC236}">
                  <a16:creationId xmlns:a16="http://schemas.microsoft.com/office/drawing/2014/main" id="{00000000-0008-0000-0800-0000012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63500</xdr:colOff>
          <xdr:row>3</xdr:row>
          <xdr:rowOff>25400</xdr:rowOff>
        </xdr:from>
        <xdr:to>
          <xdr:col>6</xdr:col>
          <xdr:colOff>533401</xdr:colOff>
          <xdr:row>4</xdr:row>
          <xdr:rowOff>139700</xdr:rowOff>
        </xdr:to>
        <xdr:sp macro="" textlink="">
          <xdr:nvSpPr>
            <xdr:cNvPr id="13313" name="Drop Down 1" hidden="1">
              <a:extLst>
                <a:ext uri="{63B3BB69-23CF-44E3-9099-C40C66FF867C}">
                  <a14:compatExt spid="_x0000_s13313"/>
                </a:ext>
                <a:ext uri="{FF2B5EF4-FFF2-40B4-BE49-F238E27FC236}">
                  <a16:creationId xmlns:a16="http://schemas.microsoft.com/office/drawing/2014/main" id="{00000000-0008-0000-0900-0000013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150.94542314815" createdVersion="8" refreshedVersion="8" minRefreshableVersion="3" recordCount="20" xr:uid="{E43ABAB3-4AAB-4C6E-97CD-557515F109EA}">
  <cacheSource type="worksheet">
    <worksheetSource name="Table1"/>
  </cacheSource>
  <cacheFields count="11">
    <cacheField name="Year" numFmtId="0">
      <sharedItems containsSemiMixedTypes="0" containsString="0" containsNumber="1" containsInteger="1" minValue="2024" maxValue="2028" count="5">
        <n v="2024"/>
        <n v="2025"/>
        <n v="2026"/>
        <n v="2027"/>
        <n v="2028"/>
      </sharedItems>
    </cacheField>
    <cacheField name="Revenue Items" numFmtId="0">
      <sharedItems containsBlank="1" count="4">
        <s v="Tigernut drink"/>
        <s v="Dry Tigernut"/>
        <s v="Whole Dates"/>
        <m/>
      </sharedItems>
    </cacheField>
    <cacheField name="Revenue" numFmtId="164">
      <sharedItems containsString="0" containsBlank="1" containsNumber="1" containsInteger="1" minValue="432000" maxValue="20736000"/>
    </cacheField>
    <cacheField name="Cost of Sales" numFmtId="164">
      <sharedItems containsString="0" containsBlank="1" containsNumber="1" minValue="2060288" maxValue="20714295.199985906"/>
    </cacheField>
    <cacheField name="Gross proft" numFmtId="164">
      <sharedItems containsString="0" containsBlank="1" containsNumber="1" minValue="1698112" maxValue="7413704.8000140935"/>
    </cacheField>
    <cacheField name="OPEX Item" numFmtId="0">
      <sharedItems containsBlank="1" count="5">
        <s v="Personnel Expenses"/>
        <s v="Depreciation"/>
        <s v="Other Operating Expenses"/>
        <m/>
        <s v=" "/>
      </sharedItems>
    </cacheField>
    <cacheField name="Opex" numFmtId="164">
      <sharedItems containsString="0" containsBlank="1" containsNumber="1" minValue="128333.33333333334" maxValue="2975675.6613507043"/>
    </cacheField>
    <cacheField name="Profit after Tax" numFmtId="164">
      <sharedItems containsString="0" containsBlank="1" containsNumber="1" minValue="101014.50666666649" maxValue="1744717.3936088088"/>
    </cacheField>
    <cacheField name="Gross Profit Margin" numFmtId="0">
      <sharedItems containsString="0" containsBlank="1" containsNumber="1" minValue="0.26357027872632582" maxValue="0.45181779480630058"/>
    </cacheField>
    <cacheField name="Net Profit Margin" numFmtId="0">
      <sharedItems containsString="0" containsBlank="1" containsNumber="1" minValue="2.6876997303817179E-2" maxValue="9.8571741915849692E-2"/>
    </cacheField>
    <cacheField name="Return on Equity" numFmtId="0">
      <sharedItems containsString="0" containsBlank="1" containsNumber="1" minValue="0.12042292497783404" maxValue="2.0799386021988795"/>
    </cacheField>
  </cacheFields>
  <extLst>
    <ext xmlns:x14="http://schemas.microsoft.com/office/spreadsheetml/2009/9/main" uri="{725AE2AE-9491-48be-B2B4-4EB974FC3084}">
      <x14:pivotCacheDefinition pivotCacheId="12741325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x v="0"/>
    <n v="2462400"/>
    <m/>
    <m/>
    <x v="0"/>
    <n v="300000"/>
    <m/>
    <m/>
    <m/>
    <m/>
  </r>
  <r>
    <x v="0"/>
    <x v="1"/>
    <n v="432000"/>
    <m/>
    <m/>
    <x v="1"/>
    <n v="128333.33333333334"/>
    <m/>
    <m/>
    <m/>
    <m/>
  </r>
  <r>
    <x v="0"/>
    <x v="2"/>
    <n v="864000"/>
    <m/>
    <m/>
    <x v="2"/>
    <n v="1056920"/>
    <m/>
    <m/>
    <m/>
    <m/>
  </r>
  <r>
    <x v="1"/>
    <x v="0"/>
    <n v="5760000"/>
    <m/>
    <m/>
    <x v="0"/>
    <n v="840000"/>
    <m/>
    <m/>
    <m/>
    <m/>
  </r>
  <r>
    <x v="1"/>
    <x v="1"/>
    <n v="1800000"/>
    <m/>
    <m/>
    <x v="1"/>
    <n v="204793.33333333334"/>
    <m/>
    <m/>
    <m/>
    <m/>
  </r>
  <r>
    <x v="1"/>
    <x v="2"/>
    <n v="1440000"/>
    <m/>
    <m/>
    <x v="2"/>
    <n v="1634479.6"/>
    <m/>
    <m/>
    <m/>
    <m/>
  </r>
  <r>
    <x v="2"/>
    <x v="0"/>
    <n v="11520000"/>
    <m/>
    <m/>
    <x v="0"/>
    <n v="960000"/>
    <m/>
    <m/>
    <m/>
    <m/>
  </r>
  <r>
    <x v="2"/>
    <x v="1"/>
    <n v="2040000"/>
    <m/>
    <m/>
    <x v="1"/>
    <n v="248639.32033333334"/>
    <m/>
    <m/>
    <m/>
    <m/>
  </r>
  <r>
    <x v="2"/>
    <x v="2"/>
    <n v="2760000"/>
    <m/>
    <m/>
    <x v="2"/>
    <n v="2115719.6532399999"/>
    <m/>
    <m/>
    <m/>
    <m/>
  </r>
  <r>
    <x v="3"/>
    <x v="0"/>
    <n v="13824000"/>
    <m/>
    <m/>
    <x v="0"/>
    <n v="1620000"/>
    <m/>
    <m/>
    <m/>
    <m/>
  </r>
  <r>
    <x v="3"/>
    <x v="1"/>
    <n v="2856000"/>
    <m/>
    <m/>
    <x v="1"/>
    <n v="457730.44912300009"/>
    <m/>
    <m/>
    <m/>
    <m/>
  </r>
  <r>
    <x v="3"/>
    <x v="2"/>
    <n v="2760000"/>
    <m/>
    <m/>
    <x v="2"/>
    <n v="2397680.4046936003"/>
    <m/>
    <m/>
    <m/>
    <m/>
  </r>
  <r>
    <x v="4"/>
    <x v="0"/>
    <n v="20736000"/>
    <m/>
    <m/>
    <x v="0"/>
    <n v="1620000"/>
    <m/>
    <m/>
    <m/>
    <m/>
  </r>
  <r>
    <x v="4"/>
    <x v="1"/>
    <n v="3192000"/>
    <m/>
    <m/>
    <x v="1"/>
    <n v="343252.69382820011"/>
    <m/>
    <m/>
    <m/>
    <m/>
  </r>
  <r>
    <x v="4"/>
    <x v="2"/>
    <n v="4200000"/>
    <m/>
    <m/>
    <x v="2"/>
    <n v="2975675.6613507043"/>
    <m/>
    <m/>
    <m/>
    <m/>
  </r>
  <r>
    <x v="0"/>
    <x v="3"/>
    <m/>
    <n v="2060288"/>
    <n v="1698112"/>
    <x v="3"/>
    <m/>
    <n v="101014.50666666649"/>
    <n v="0.45181779480630058"/>
    <n v="2.6876997303817179E-2"/>
    <n v="0.12042292497783404"/>
  </r>
  <r>
    <x v="1"/>
    <x v="3"/>
    <m/>
    <n v="5806959"/>
    <n v="3193041"/>
    <x v="4"/>
    <m/>
    <n v="407516.11466666643"/>
    <n v="0.35478233333333331"/>
    <n v="4.5279568296296271E-2"/>
    <n v="0.4858142075147735"/>
  </r>
  <r>
    <x v="2"/>
    <x v="3"/>
    <m/>
    <n v="11386950.19836"/>
    <n v="4933049.8016400002"/>
    <x v="3"/>
    <m/>
    <n v="1608690.8280666671"/>
    <n v="0.30227020843382352"/>
    <n v="9.8571741915849692E-2"/>
    <n v="1.9177765777747264"/>
  </r>
  <r>
    <x v="3"/>
    <x v="3"/>
    <m/>
    <n v="13486306.493988002"/>
    <n v="5953693.5060119983"/>
    <x v="3"/>
    <m/>
    <n v="1478282.6521953978"/>
    <n v="0.30625995401296285"/>
    <n v="7.6043346306347626E-2"/>
    <n v="1.7623124321024275"/>
  </r>
  <r>
    <x v="4"/>
    <x v="3"/>
    <m/>
    <n v="20714295.199985906"/>
    <n v="7413704.8000140935"/>
    <x v="3"/>
    <m/>
    <n v="1744717.3936088088"/>
    <n v="0.26357027872632582"/>
    <n v="6.202777992067722E-2"/>
    <n v="2.07993860219887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BF1F00B-7847-42C0-BE1B-F8A342A4F3B4}" name="SOCI Breakdown"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8:E14" firstHeaderRow="0" firstDataRow="1" firstDataCol="1"/>
  <pivotFields count="11">
    <pivotField axis="axisRow" showAll="0">
      <items count="6">
        <item x="0"/>
        <item x="1"/>
        <item x="2"/>
        <item x="3"/>
        <item x="4"/>
        <item t="default"/>
      </items>
    </pivotField>
    <pivotField showAll="0"/>
    <pivotField dataField="1" showAll="0"/>
    <pivotField dataField="1" showAll="0"/>
    <pivotField dataField="1" showAll="0"/>
    <pivotField showAll="0"/>
    <pivotField showAll="0"/>
    <pivotField showAll="0"/>
    <pivotField showAll="0"/>
    <pivotField showAll="0"/>
    <pivotField showAll="0"/>
  </pivotFields>
  <rowFields count="1">
    <field x="0"/>
  </rowFields>
  <rowItems count="6">
    <i>
      <x/>
    </i>
    <i>
      <x v="1"/>
    </i>
    <i>
      <x v="2"/>
    </i>
    <i>
      <x v="3"/>
    </i>
    <i>
      <x v="4"/>
    </i>
    <i t="grand">
      <x/>
    </i>
  </rowItems>
  <colFields count="1">
    <field x="-2"/>
  </colFields>
  <colItems count="3">
    <i>
      <x/>
    </i>
    <i i="1">
      <x v="1"/>
    </i>
    <i i="2">
      <x v="2"/>
    </i>
  </colItems>
  <dataFields count="3">
    <dataField name="Sum of Revenue" fld="2" baseField="0" baseItem="0"/>
    <dataField name="Sum of Cost of Sales" fld="3" baseField="0" baseItem="0"/>
    <dataField name="Sum of Gross proft" fld="4" baseField="0" baseItem="0"/>
  </dataFields>
  <formats count="2">
    <format dxfId="15">
      <pivotArea collapsedLevelsAreSubtotals="1" fieldPosition="0">
        <references count="2">
          <reference field="4294967294" count="1" selected="0">
            <x v="0"/>
          </reference>
          <reference field="0" count="1">
            <x v="2"/>
          </reference>
        </references>
      </pivotArea>
    </format>
    <format dxfId="14">
      <pivotArea outline="0" collapsedLevelsAreSubtotals="1" fieldPosition="0"/>
    </format>
  </formats>
  <chartFormats count="3">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1"/>
          </reference>
        </references>
      </pivotArea>
    </chartFormat>
    <chartFormat chart="3" format="8" series="1">
      <pivotArea type="data" outline="0" fieldPosition="0">
        <references count="1">
          <reference field="4294967294" count="1" selected="0">
            <x v="2"/>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502AF51-C14D-4A52-8B89-64963BFED1DF}" name="PivotTable9"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3:E39" firstHeaderRow="0" firstDataRow="1" firstDataCol="1"/>
  <pivotFields count="11">
    <pivotField axis="axisRow" showAll="0">
      <items count="6">
        <item x="0"/>
        <item x="1"/>
        <item x="2"/>
        <item x="3"/>
        <item x="4"/>
        <item t="default"/>
      </items>
    </pivotField>
    <pivotField showAll="0"/>
    <pivotField dataField="1" showAll="0"/>
    <pivotField showAll="0"/>
    <pivotField dataField="1" showAll="0"/>
    <pivotField showAll="0"/>
    <pivotField showAll="0"/>
    <pivotField dataField="1" showAll="0"/>
    <pivotField showAll="0"/>
    <pivotField showAll="0"/>
    <pivotField showAll="0"/>
  </pivotFields>
  <rowFields count="1">
    <field x="0"/>
  </rowFields>
  <rowItems count="6">
    <i>
      <x/>
    </i>
    <i>
      <x v="1"/>
    </i>
    <i>
      <x v="2"/>
    </i>
    <i>
      <x v="3"/>
    </i>
    <i>
      <x v="4"/>
    </i>
    <i t="grand">
      <x/>
    </i>
  </rowItems>
  <colFields count="1">
    <field x="-2"/>
  </colFields>
  <colItems count="3">
    <i>
      <x/>
    </i>
    <i i="1">
      <x v="1"/>
    </i>
    <i i="2">
      <x v="2"/>
    </i>
  </colItems>
  <dataFields count="3">
    <dataField name="Average of Gross proft" fld="4" subtotal="average" baseField="0" baseItem="0"/>
    <dataField name="Average of Profit after Tax" fld="7" subtotal="average" baseField="0" baseItem="0"/>
    <dataField name="Average of Revenue" fld="2" subtotal="average" baseField="0" baseItem="0"/>
  </dataFields>
  <formats count="1">
    <format dxfId="16">
      <pivotArea outline="0" collapsedLevelsAreSubtotals="1" fieldPosition="0"/>
    </format>
  </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9B4A8A-F4A6-4490-BAB0-EB74F8DBDDE6}" name="PivotTable7"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43:E49" firstHeaderRow="0" firstDataRow="1" firstDataCol="1"/>
  <pivotFields count="11">
    <pivotField axis="axisRow" showAll="0">
      <items count="6">
        <item x="0"/>
        <item x="1"/>
        <item x="2"/>
        <item x="3"/>
        <item x="4"/>
        <item t="default"/>
      </items>
    </pivotField>
    <pivotField showAll="0"/>
    <pivotField showAll="0"/>
    <pivotField showAll="0"/>
    <pivotField showAll="0"/>
    <pivotField showAll="0"/>
    <pivotField showAll="0"/>
    <pivotField showAll="0"/>
    <pivotField dataField="1" showAll="0"/>
    <pivotField dataField="1" showAll="0"/>
    <pivotField dataField="1" showAll="0"/>
  </pivotFields>
  <rowFields count="1">
    <field x="0"/>
  </rowFields>
  <rowItems count="6">
    <i>
      <x/>
    </i>
    <i>
      <x v="1"/>
    </i>
    <i>
      <x v="2"/>
    </i>
    <i>
      <x v="3"/>
    </i>
    <i>
      <x v="4"/>
    </i>
    <i t="grand">
      <x/>
    </i>
  </rowItems>
  <colFields count="1">
    <field x="-2"/>
  </colFields>
  <colItems count="3">
    <i>
      <x/>
    </i>
    <i i="1">
      <x v="1"/>
    </i>
    <i i="2">
      <x v="2"/>
    </i>
  </colItems>
  <dataFields count="3">
    <dataField name="Sum of Gross Profit Margin" fld="8" baseField="0" baseItem="0"/>
    <dataField name="Sum of Net Profit Margin" fld="9" baseField="0" baseItem="0"/>
    <dataField name="Sum of Return on Equity" fld="10" baseField="0" baseItem="0"/>
  </dataFields>
  <formats count="1">
    <format dxfId="17">
      <pivotArea outline="0" collapsedLevelsAreSubtotals="1" fieldPosition="0"/>
    </format>
  </formats>
  <chartFormats count="12">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 chart="2" format="8" series="1">
      <pivotArea type="data" outline="0" fieldPosition="0">
        <references count="1">
          <reference field="4294967294" count="1" selected="0">
            <x v="2"/>
          </reference>
        </references>
      </pivotArea>
    </chartFormat>
    <chartFormat chart="2" format="9">
      <pivotArea type="data" outline="0" fieldPosition="0">
        <references count="2">
          <reference field="4294967294" count="1" selected="0">
            <x v="1"/>
          </reference>
          <reference field="0" count="1" selected="0">
            <x v="0"/>
          </reference>
        </references>
      </pivotArea>
    </chartFormat>
    <chartFormat chart="2" format="10">
      <pivotArea type="data" outline="0" fieldPosition="0">
        <references count="2">
          <reference field="4294967294" count="1" selected="0">
            <x v="1"/>
          </reference>
          <reference field="0" count="1" selected="0">
            <x v="1"/>
          </reference>
        </references>
      </pivotArea>
    </chartFormat>
    <chartFormat chart="2" format="11">
      <pivotArea type="data" outline="0" fieldPosition="0">
        <references count="2">
          <reference field="4294967294" count="1" selected="0">
            <x v="0"/>
          </reference>
          <reference field="0" count="1" selected="0">
            <x v="0"/>
          </reference>
        </references>
      </pivotArea>
    </chartFormat>
    <chartFormat chart="2" format="12">
      <pivotArea type="data" outline="0" fieldPosition="0">
        <references count="2">
          <reference field="4294967294" count="1" selected="0">
            <x v="2"/>
          </reference>
          <reference field="0" count="1" selected="0">
            <x v="0"/>
          </reference>
        </references>
      </pivotArea>
    </chartFormat>
    <chartFormat chart="4" format="18" series="1">
      <pivotArea type="data" outline="0" fieldPosition="0">
        <references count="1">
          <reference field="4294967294" count="1" selected="0">
            <x v="0"/>
          </reference>
        </references>
      </pivotArea>
    </chartFormat>
    <chartFormat chart="4" format="19">
      <pivotArea type="data" outline="0" fieldPosition="0">
        <references count="2">
          <reference field="4294967294" count="1" selected="0">
            <x v="0"/>
          </reference>
          <reference field="0" count="1" selected="0">
            <x v="0"/>
          </reference>
        </references>
      </pivotArea>
    </chartFormat>
    <chartFormat chart="4" format="20" series="1">
      <pivotArea type="data" outline="0" fieldPosition="0">
        <references count="1">
          <reference field="4294967294" count="1" selected="0">
            <x v="1"/>
          </reference>
        </references>
      </pivotArea>
    </chartFormat>
    <chartFormat chart="4" format="21" series="1">
      <pivotArea type="data" outline="0" fieldPosition="0">
        <references count="1">
          <reference field="4294967294" count="1" selected="0">
            <x v="2"/>
          </reference>
        </references>
      </pivotArea>
    </chartFormat>
    <chartFormat chart="4" format="22">
      <pivotArea type="data" outline="0" fieldPosition="0">
        <references count="2">
          <reference field="4294967294" count="1" selected="0">
            <x v="2"/>
          </reference>
          <reference field="0"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1D75E6B-370E-48C1-A9AA-FBF448C72239}" name="PivotTable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27:C31" firstHeaderRow="1" firstDataRow="1" firstDataCol="1"/>
  <pivotFields count="11">
    <pivotField showAll="0">
      <items count="6">
        <item x="0"/>
        <item x="1"/>
        <item x="2"/>
        <item x="3"/>
        <item x="4"/>
        <item t="default"/>
      </items>
    </pivotField>
    <pivotField showAll="0"/>
    <pivotField showAll="0"/>
    <pivotField showAll="0"/>
    <pivotField showAll="0"/>
    <pivotField axis="axisRow" showAll="0">
      <items count="6">
        <item h="1" x="4"/>
        <item x="1"/>
        <item x="2"/>
        <item x="0"/>
        <item h="1" x="3"/>
        <item t="default"/>
      </items>
    </pivotField>
    <pivotField dataField="1" showAll="0"/>
    <pivotField showAll="0"/>
    <pivotField showAll="0"/>
    <pivotField showAll="0"/>
    <pivotField showAll="0"/>
  </pivotFields>
  <rowFields count="1">
    <field x="5"/>
  </rowFields>
  <rowItems count="4">
    <i>
      <x v="1"/>
    </i>
    <i>
      <x v="2"/>
    </i>
    <i>
      <x v="3"/>
    </i>
    <i t="grand">
      <x/>
    </i>
  </rowItems>
  <colItems count="1">
    <i/>
  </colItems>
  <dataFields count="1">
    <dataField name="Sum of Opex" fld="6" baseField="0" baseItem="0"/>
  </dataFields>
  <formats count="1">
    <format dxfId="18">
      <pivotArea outline="0" collapsedLevelsAreSubtotals="1" fieldPosition="0"/>
    </format>
  </formats>
  <chartFormats count="6">
    <chartFormat chart="6" format="7" series="1">
      <pivotArea type="data" outline="0" fieldPosition="0">
        <references count="1">
          <reference field="4294967294" count="1" selected="0">
            <x v="0"/>
          </reference>
        </references>
      </pivotArea>
    </chartFormat>
    <chartFormat chart="6" format="8">
      <pivotArea type="data" outline="0" fieldPosition="0">
        <references count="2">
          <reference field="4294967294" count="1" selected="0">
            <x v="0"/>
          </reference>
          <reference field="5" count="1" selected="0">
            <x v="0"/>
          </reference>
        </references>
      </pivotArea>
    </chartFormat>
    <chartFormat chart="6" format="9">
      <pivotArea type="data" outline="0" fieldPosition="0">
        <references count="2">
          <reference field="4294967294" count="1" selected="0">
            <x v="0"/>
          </reference>
          <reference field="5" count="1" selected="0">
            <x v="1"/>
          </reference>
        </references>
      </pivotArea>
    </chartFormat>
    <chartFormat chart="6" format="10">
      <pivotArea type="data" outline="0" fieldPosition="0">
        <references count="2">
          <reference field="4294967294" count="1" selected="0">
            <x v="0"/>
          </reference>
          <reference field="5" count="1" selected="0">
            <x v="2"/>
          </reference>
        </references>
      </pivotArea>
    </chartFormat>
    <chartFormat chart="6" format="11">
      <pivotArea type="data" outline="0" fieldPosition="0">
        <references count="2">
          <reference field="4294967294" count="1" selected="0">
            <x v="0"/>
          </reference>
          <reference field="5" count="1" selected="0">
            <x v="3"/>
          </reference>
        </references>
      </pivotArea>
    </chartFormat>
    <chartFormat chart="6" format="12">
      <pivotArea type="data" outline="0" fieldPosition="0">
        <references count="2">
          <reference field="4294967294" count="1" selected="0">
            <x v="0"/>
          </reference>
          <reference field="5" count="1" selected="0">
            <x v="4"/>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941624C-B4A4-401A-9901-2651D2B54B29}" name="PivotTable4"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18:F25" firstHeaderRow="1" firstDataRow="2" firstDataCol="1"/>
  <pivotFields count="11">
    <pivotField axis="axisRow" showAll="0">
      <items count="6">
        <item x="0"/>
        <item x="1"/>
        <item x="2"/>
        <item x="3"/>
        <item x="4"/>
        <item t="default"/>
      </items>
    </pivotField>
    <pivotField axis="axisCol" showAll="0">
      <items count="5">
        <item x="1"/>
        <item x="0"/>
        <item x="2"/>
        <item h="1" x="3"/>
        <item t="default"/>
      </items>
    </pivotField>
    <pivotField dataField="1" showAll="0"/>
    <pivotField showAll="0"/>
    <pivotField showAll="0"/>
    <pivotField showAll="0"/>
    <pivotField showAll="0"/>
    <pivotField showAll="0"/>
    <pivotField showAll="0"/>
    <pivotField showAll="0"/>
    <pivotField showAll="0"/>
  </pivotFields>
  <rowFields count="1">
    <field x="0"/>
  </rowFields>
  <rowItems count="6">
    <i>
      <x/>
    </i>
    <i>
      <x v="1"/>
    </i>
    <i>
      <x v="2"/>
    </i>
    <i>
      <x v="3"/>
    </i>
    <i>
      <x v="4"/>
    </i>
    <i t="grand">
      <x/>
    </i>
  </rowItems>
  <colFields count="1">
    <field x="1"/>
  </colFields>
  <colItems count="4">
    <i>
      <x/>
    </i>
    <i>
      <x v="1"/>
    </i>
    <i>
      <x v="2"/>
    </i>
    <i t="grand">
      <x/>
    </i>
  </colItems>
  <dataFields count="1">
    <dataField name="Sum of Revenue" fld="2" baseField="0" baseItem="0"/>
  </dataFields>
  <formats count="2">
    <format dxfId="20">
      <pivotArea collapsedLevelsAreSubtotals="1" fieldPosition="0">
        <references count="2">
          <reference field="4294967294" count="1" selected="0">
            <x v="0"/>
          </reference>
          <reference field="0" count="1">
            <x v="2"/>
          </reference>
        </references>
      </pivotArea>
    </format>
    <format dxfId="19">
      <pivotArea outline="0" collapsedLevelsAreSubtotals="1" fieldPosition="0"/>
    </format>
  </formats>
  <chartFormats count="4">
    <chartFormat chart="2" format="8" series="1">
      <pivotArea type="data" outline="0" fieldPosition="0">
        <references count="2">
          <reference field="4294967294" count="1" selected="0">
            <x v="0"/>
          </reference>
          <reference field="1" count="1" selected="0">
            <x v="0"/>
          </reference>
        </references>
      </pivotArea>
    </chartFormat>
    <chartFormat chart="2" format="9" series="1">
      <pivotArea type="data" outline="0" fieldPosition="0">
        <references count="2">
          <reference field="4294967294" count="1" selected="0">
            <x v="0"/>
          </reference>
          <reference field="1" count="1" selected="0">
            <x v="1"/>
          </reference>
        </references>
      </pivotArea>
    </chartFormat>
    <chartFormat chart="2" format="10" series="1">
      <pivotArea type="data" outline="0" fieldPosition="0">
        <references count="2">
          <reference field="4294967294" count="1" selected="0">
            <x v="0"/>
          </reference>
          <reference field="1" count="1" selected="0">
            <x v="2"/>
          </reference>
        </references>
      </pivotArea>
    </chartFormat>
    <chartFormat chart="2" format="11" series="1">
      <pivotArea type="data" outline="0" fieldPosition="0">
        <references count="2">
          <reference field="4294967294" count="1" selected="0">
            <x v="0"/>
          </reference>
          <reference field="1" count="1" selected="0">
            <x v="3"/>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82F989C9-F4C2-4C0B-A397-6B31FAAEF677}" sourceName="Year">
  <pivotTables>
    <pivotTable tabId="12" name="SOCI Breakdown"/>
    <pivotTable tabId="12" name="PivotTable2"/>
    <pivotTable tabId="12" name="PivotTable4"/>
    <pivotTable tabId="12" name="PivotTable7"/>
    <pivotTable tabId="12" name="PivotTable9"/>
  </pivotTables>
  <data>
    <tabular pivotCacheId="1274132579">
      <items count="5">
        <i x="0" s="1"/>
        <i x="1" s="1"/>
        <i x="2"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87CA506C-F267-4EA1-99ED-98F195C56873}" cache="Slicer_Year" caption="Year" style="SlicerStyleLigh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CC8A15-A33F-4537-BAF0-149D4BE5CAEB}" name="Table1" displayName="Table1" ref="F7:P27" totalsRowShown="0" dataDxfId="30" dataCellStyle="Percent">
  <autoFilter ref="F7:P27" xr:uid="{7FCC8A15-A33F-4537-BAF0-149D4BE5CAEB}"/>
  <tableColumns count="11">
    <tableColumn id="1" xr3:uid="{8850CD6B-21AF-4667-A82D-CE09F2E309DC}" name="Year"/>
    <tableColumn id="2" xr3:uid="{C79E91BA-3822-4FF8-A6BF-C732E82652A8}" name="Revenue Items"/>
    <tableColumn id="3" xr3:uid="{EE9E8090-5B14-4E8F-8130-EFCFAB56D8B2}" name="Revenue" dataDxfId="29" dataCellStyle="Comma"/>
    <tableColumn id="4" xr3:uid="{1C5BE366-3C31-4300-887A-B7DBABA9F34B}" name="Cost of Sales" dataDxfId="28" dataCellStyle="Comma"/>
    <tableColumn id="5" xr3:uid="{D605364C-AC13-4A6D-B5A9-A8D81EA978D5}" name="Gross proft" dataDxfId="27" dataCellStyle="Comma"/>
    <tableColumn id="6" xr3:uid="{714ABAF6-74B1-4ED8-AA5E-B663409BBC14}" name="OPEX Item" dataDxfId="26" dataCellStyle="Comma"/>
    <tableColumn id="7" xr3:uid="{EC7569FA-8471-4954-BF69-7E5AE655A95F}" name="Opex" dataDxfId="25" dataCellStyle="Comma"/>
    <tableColumn id="8" xr3:uid="{74B19EF2-22E9-4E53-B3FC-0D90426FBF16}" name="Profit after Tax" dataDxfId="24" dataCellStyle="Comma"/>
    <tableColumn id="9" xr3:uid="{5F051CAB-CC9A-4CA6-9ED8-F266B596C4EB}" name="Gross Profit Margin" dataDxfId="23" dataCellStyle="Percent"/>
    <tableColumn id="10" xr3:uid="{DC6AEDE7-EF4B-4927-BC10-501727403981}" name="Net Profit Margin" dataDxfId="22" dataCellStyle="Percent"/>
    <tableColumn id="11" xr3:uid="{5A1A168B-AA0E-4013-9AAD-FEAEB261E4B6}" name="Return on Equity" dataDxfId="21" dataCellStyle="Percent"/>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07/relationships/slicer" Target="../slicers/slicer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5.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3.xml"/><Relationship Id="rId2" Type="http://schemas.openxmlformats.org/officeDocument/2006/relationships/vmlDrawing" Target="../drawings/vmlDrawing3.vml"/><Relationship Id="rId1" Type="http://schemas.openxmlformats.org/officeDocument/2006/relationships/drawing" Target="../drawings/drawing6.xml"/></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4.xml"/><Relationship Id="rId2" Type="http://schemas.openxmlformats.org/officeDocument/2006/relationships/vmlDrawing" Target="../drawings/vmlDrawing4.vml"/><Relationship Id="rId1" Type="http://schemas.openxmlformats.org/officeDocument/2006/relationships/drawing" Target="../drawings/drawing7.xml"/><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3" Type="http://schemas.openxmlformats.org/officeDocument/2006/relationships/ctrlProp" Target="../ctrlProps/ctrlProp5.xml"/><Relationship Id="rId2" Type="http://schemas.openxmlformats.org/officeDocument/2006/relationships/vmlDrawing" Target="../drawings/vmlDrawing5.vml"/><Relationship Id="rId1" Type="http://schemas.openxmlformats.org/officeDocument/2006/relationships/drawing" Target="../drawings/drawing8.xml"/></Relationships>
</file>

<file path=xl/worksheets/_rels/sheet7.xml.rels><?xml version="1.0" encoding="UTF-8" standalone="yes"?>
<Relationships xmlns="http://schemas.openxmlformats.org/package/2006/relationships"><Relationship Id="rId3" Type="http://schemas.openxmlformats.org/officeDocument/2006/relationships/ctrlProp" Target="../ctrlProps/ctrlProp6.xml"/><Relationship Id="rId2" Type="http://schemas.openxmlformats.org/officeDocument/2006/relationships/vmlDrawing" Target="../drawings/vmlDrawing6.vml"/><Relationship Id="rId1" Type="http://schemas.openxmlformats.org/officeDocument/2006/relationships/drawing" Target="../drawings/drawing9.xml"/></Relationships>
</file>

<file path=xl/worksheets/_rels/sheet8.xml.rels><?xml version="1.0" encoding="UTF-8" standalone="yes"?>
<Relationships xmlns="http://schemas.openxmlformats.org/package/2006/relationships"><Relationship Id="rId3" Type="http://schemas.openxmlformats.org/officeDocument/2006/relationships/ctrlProp" Target="../ctrlProps/ctrlProp7.xml"/><Relationship Id="rId2" Type="http://schemas.openxmlformats.org/officeDocument/2006/relationships/vmlDrawing" Target="../drawings/vmlDrawing7.vml"/><Relationship Id="rId1" Type="http://schemas.openxmlformats.org/officeDocument/2006/relationships/drawing" Target="../drawings/drawing10.xml"/></Relationships>
</file>

<file path=xl/worksheets/_rels/sheet9.xml.rels><?xml version="1.0" encoding="UTF-8" standalone="yes"?>
<Relationships xmlns="http://schemas.openxmlformats.org/package/2006/relationships"><Relationship Id="rId3" Type="http://schemas.openxmlformats.org/officeDocument/2006/relationships/ctrlProp" Target="../ctrlProps/ctrlProp8.xml"/><Relationship Id="rId2" Type="http://schemas.openxmlformats.org/officeDocument/2006/relationships/vmlDrawing" Target="../drawings/vmlDrawing8.vml"/><Relationship Id="rId1" Type="http://schemas.openxmlformats.org/officeDocument/2006/relationships/drawing" Target="../drawings/drawing11.xml"/><Relationship Id="rId4"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8" Type="http://schemas.openxmlformats.org/officeDocument/2006/relationships/ctrlProp" Target="../ctrlProps/ctrlProp9.xml"/><Relationship Id="rId3" Type="http://schemas.openxmlformats.org/officeDocument/2006/relationships/pivotTable" Target="../pivotTables/pivotTable3.xml"/><Relationship Id="rId7" Type="http://schemas.openxmlformats.org/officeDocument/2006/relationships/vmlDrawing" Target="../drawings/vmlDrawing9.v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2.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882A6-2242-4424-AA29-C107BCFA1040}">
  <sheetPr>
    <tabColor theme="7" tint="-0.249977111117893"/>
  </sheetPr>
  <dimension ref="Q4:S23"/>
  <sheetViews>
    <sheetView tabSelected="1" topLeftCell="C2" zoomScale="94" zoomScaleNormal="94" workbookViewId="0">
      <selection activeCell="H24" sqref="H24"/>
    </sheetView>
  </sheetViews>
  <sheetFormatPr defaultRowHeight="13.5" x14ac:dyDescent="0.25"/>
  <cols>
    <col min="1" max="3" width="8.6640625" style="1"/>
    <col min="4" max="5" width="7.25" style="1" customWidth="1"/>
    <col min="6" max="7" width="8.6640625" style="1"/>
    <col min="8" max="9" width="7.4140625" style="1" customWidth="1"/>
    <col min="10" max="16" width="8.6640625" style="1"/>
    <col min="17" max="17" width="6.1640625" style="1" customWidth="1"/>
    <col min="18" max="18" width="23" style="1" customWidth="1"/>
    <col min="19" max="16384" width="8.6640625" style="1"/>
  </cols>
  <sheetData>
    <row r="4" spans="17:19" ht="20" x14ac:dyDescent="0.25">
      <c r="Q4" s="64" t="s">
        <v>265</v>
      </c>
      <c r="R4" s="64"/>
      <c r="S4" s="64"/>
    </row>
    <row r="5" spans="17:19" x14ac:dyDescent="0.25">
      <c r="Q5" s="57"/>
      <c r="R5" s="57"/>
      <c r="S5" s="57"/>
    </row>
    <row r="6" spans="17:19" x14ac:dyDescent="0.25">
      <c r="Q6" s="57"/>
      <c r="R6" s="2" t="s">
        <v>258</v>
      </c>
      <c r="S6" s="59"/>
    </row>
    <row r="7" spans="17:19" x14ac:dyDescent="0.25">
      <c r="Q7" s="57"/>
      <c r="R7" s="2" t="s">
        <v>259</v>
      </c>
      <c r="S7" s="58"/>
    </row>
    <row r="8" spans="17:19" x14ac:dyDescent="0.25">
      <c r="Q8" s="57"/>
      <c r="R8" s="2" t="s">
        <v>260</v>
      </c>
      <c r="S8" s="60"/>
    </row>
    <row r="9" spans="17:19" x14ac:dyDescent="0.25">
      <c r="Q9" s="57"/>
      <c r="R9" s="57"/>
      <c r="S9" s="57"/>
    </row>
    <row r="10" spans="17:19" x14ac:dyDescent="0.25">
      <c r="Q10" s="57"/>
      <c r="R10" s="57"/>
      <c r="S10" s="57"/>
    </row>
    <row r="11" spans="17:19" x14ac:dyDescent="0.25">
      <c r="Q11" s="57"/>
      <c r="R11" s="61" t="s">
        <v>261</v>
      </c>
      <c r="S11" s="57"/>
    </row>
    <row r="12" spans="17:19" x14ac:dyDescent="0.25">
      <c r="Q12" s="57"/>
      <c r="R12" s="61" t="s">
        <v>6</v>
      </c>
      <c r="S12" s="57"/>
    </row>
    <row r="13" spans="17:19" x14ac:dyDescent="0.25">
      <c r="Q13" s="57"/>
      <c r="R13" s="61" t="s">
        <v>7</v>
      </c>
      <c r="S13" s="57"/>
    </row>
    <row r="14" spans="17:19" x14ac:dyDescent="0.25">
      <c r="Q14" s="57"/>
      <c r="R14" s="61" t="s">
        <v>2</v>
      </c>
      <c r="S14" s="57"/>
    </row>
    <row r="15" spans="17:19" x14ac:dyDescent="0.25">
      <c r="Q15" s="57"/>
      <c r="R15" s="61" t="s">
        <v>4</v>
      </c>
      <c r="S15" s="57"/>
    </row>
    <row r="16" spans="17:19" x14ac:dyDescent="0.25">
      <c r="Q16" s="57"/>
      <c r="R16" s="61" t="s">
        <v>5</v>
      </c>
      <c r="S16" s="57"/>
    </row>
    <row r="17" spans="17:19" x14ac:dyDescent="0.25">
      <c r="Q17" s="57"/>
      <c r="R17" s="61" t="s">
        <v>262</v>
      </c>
      <c r="S17" s="57"/>
    </row>
    <row r="18" spans="17:19" x14ac:dyDescent="0.25">
      <c r="Q18" s="57"/>
      <c r="R18" s="61" t="s">
        <v>263</v>
      </c>
      <c r="S18" s="57"/>
    </row>
    <row r="19" spans="17:19" x14ac:dyDescent="0.25">
      <c r="Q19" s="57"/>
      <c r="R19" s="61" t="s">
        <v>264</v>
      </c>
      <c r="S19" s="57"/>
    </row>
    <row r="20" spans="17:19" x14ac:dyDescent="0.25">
      <c r="Q20" s="57"/>
      <c r="R20" s="57"/>
      <c r="S20" s="57"/>
    </row>
    <row r="21" spans="17:19" x14ac:dyDescent="0.25">
      <c r="Q21" s="57"/>
      <c r="R21" s="57"/>
      <c r="S21" s="57"/>
    </row>
    <row r="22" spans="17:19" x14ac:dyDescent="0.25">
      <c r="Q22" s="57"/>
      <c r="R22" s="57"/>
      <c r="S22" s="57"/>
    </row>
    <row r="23" spans="17:19" x14ac:dyDescent="0.25">
      <c r="Q23" s="57"/>
      <c r="R23" s="57"/>
      <c r="S23" s="57"/>
    </row>
  </sheetData>
  <mergeCells count="1">
    <mergeCell ref="Q4:S4"/>
  </mergeCells>
  <hyperlinks>
    <hyperlink ref="R11" location="Dashboard!A1" display="Dashboard" xr:uid="{C6BE3CC3-BDFA-406E-8E15-C45B1371F333}"/>
    <hyperlink ref="R12" location="'Financial Statements'!A1" display="Financial Statements" xr:uid="{C1274431-BFA4-4349-BDB5-967E573341F8}"/>
    <hyperlink ref="R13" location="Valuation!A1" display="Valuation" xr:uid="{F7D1BAB9-6AA8-4E4B-9BCB-FA198882029B}"/>
    <hyperlink ref="R14" location="Assumptions!A1" display="Assumptions" xr:uid="{279B1EBC-01FB-4799-B836-8B002C09C3AC}"/>
    <hyperlink ref="R15" location="Workings!A1" display="Workings" xr:uid="{EC8CE4DA-4499-45D8-B1F2-80BF063DD5C2}"/>
    <hyperlink ref="R16" location="CAPEX!A1" display="CAPEX" xr:uid="{33FD1DCD-1A26-48CC-9A94-1E0FDBC7F803}"/>
    <hyperlink ref="R17" location="Analysis!A1" display="Analysis" xr:uid="{6D14E908-DD8E-440D-BA6D-E5EF9B3FB0CC}"/>
    <hyperlink ref="R18" location="Dataset!A1" display="Dataset" xr:uid="{479D5872-E9ED-40D6-8163-20CA8EDF705C}"/>
    <hyperlink ref="R19" location="Pivot!A1" display="Pivot" xr:uid="{5EC31D9F-8E1E-466B-B9CF-05FB448ACCEE}"/>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98E55-FFC5-4016-891E-F99F2F45CFF3}">
  <sheetPr>
    <tabColor theme="7" tint="-0.249977111117893"/>
  </sheetPr>
  <dimension ref="L1"/>
  <sheetViews>
    <sheetView topLeftCell="A5" zoomScale="70" zoomScaleNormal="70" workbookViewId="0">
      <selection activeCell="Q12" sqref="Q12"/>
    </sheetView>
  </sheetViews>
  <sheetFormatPr defaultRowHeight="13.5" x14ac:dyDescent="0.25"/>
  <cols>
    <col min="1" max="16384" width="8.6640625" style="53"/>
  </cols>
  <sheetData>
    <row r="1" spans="12:12" x14ac:dyDescent="0.25">
      <c r="L1" s="62" t="s">
        <v>266</v>
      </c>
    </row>
  </sheetData>
  <hyperlinks>
    <hyperlink ref="L1" location="'Cover Page'!A1" display="MENU" xr:uid="{007AF0C1-6156-499E-B584-308735FCD40E}"/>
  </hyperlink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4337" r:id="rId4" name="Drop Down 1">
              <controlPr defaultSize="0" autoLine="0" autoPict="0">
                <anchor moveWithCells="1">
                  <from>
                    <xdr:col>5</xdr:col>
                    <xdr:colOff>565150</xdr:colOff>
                    <xdr:row>7</xdr:row>
                    <xdr:rowOff>165100</xdr:rowOff>
                  </from>
                  <to>
                    <xdr:col>7</xdr:col>
                    <xdr:colOff>584200</xdr:colOff>
                    <xdr:row>9</xdr:row>
                    <xdr:rowOff>101600</xdr:rowOff>
                  </to>
                </anchor>
              </controlPr>
            </control>
          </mc:Choice>
        </mc:AlternateContent>
      </controls>
    </mc:Choice>
  </mc:AlternateContent>
  <extLs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BFF1D-FF6B-46BF-B4C7-3E4F58A7B6FF}">
  <sheetPr>
    <tabColor theme="7" tint="-0.249977111117893"/>
  </sheetPr>
  <dimension ref="A1:T107"/>
  <sheetViews>
    <sheetView zoomScale="66" zoomScaleNormal="66" workbookViewId="0">
      <pane xSplit="5" ySplit="7" topLeftCell="F8" activePane="bottomRight" state="frozen"/>
      <selection pane="topRight" activeCell="F1" sqref="F1"/>
      <selection pane="bottomLeft" activeCell="A8" sqref="A8"/>
      <selection pane="bottomRight" activeCell="J21" sqref="J21"/>
    </sheetView>
  </sheetViews>
  <sheetFormatPr defaultRowHeight="13.5" x14ac:dyDescent="0.25"/>
  <cols>
    <col min="1" max="4" width="4.5" customWidth="1"/>
    <col min="5" max="5" width="40.9140625" customWidth="1"/>
    <col min="6" max="6" width="3.5" customWidth="1"/>
    <col min="7" max="9" width="4.4140625" customWidth="1"/>
    <col min="10" max="11" width="11.5" style="27" bestFit="1" customWidth="1"/>
    <col min="12" max="12" width="12.33203125" style="27" bestFit="1" customWidth="1"/>
    <col min="13" max="14" width="12.58203125" style="27" bestFit="1" customWidth="1"/>
    <col min="15" max="15" width="8.6640625" style="27"/>
    <col min="16" max="16" width="10.9140625" style="27" bestFit="1" customWidth="1"/>
    <col min="17" max="16384" width="8.6640625" style="27"/>
  </cols>
  <sheetData>
    <row r="1" spans="1:20" s="8" customFormat="1" ht="14" x14ac:dyDescent="0.3">
      <c r="A1" s="8" t="s">
        <v>0</v>
      </c>
      <c r="M1" s="63" t="s">
        <v>267</v>
      </c>
    </row>
    <row r="2" spans="1:20" s="8" customFormat="1" ht="14" x14ac:dyDescent="0.3">
      <c r="A2" s="8" t="s">
        <v>1</v>
      </c>
    </row>
    <row r="3" spans="1:20" s="8" customFormat="1" ht="14" x14ac:dyDescent="0.3">
      <c r="A3" s="8" t="s">
        <v>6</v>
      </c>
    </row>
    <row r="4" spans="1:20" s="8" customFormat="1" ht="14" x14ac:dyDescent="0.3"/>
    <row r="5" spans="1:20" s="8" customFormat="1" ht="14" x14ac:dyDescent="0.3">
      <c r="A5" s="8" t="s">
        <v>3</v>
      </c>
      <c r="J5" s="8">
        <v>2024</v>
      </c>
      <c r="K5" s="8">
        <f>J5+1</f>
        <v>2025</v>
      </c>
      <c r="L5" s="8">
        <f t="shared" ref="L5:N5" si="0">K5+1</f>
        <v>2026</v>
      </c>
      <c r="M5" s="8">
        <f t="shared" si="0"/>
        <v>2027</v>
      </c>
      <c r="N5" s="8">
        <f t="shared" si="0"/>
        <v>2028</v>
      </c>
    </row>
    <row r="6" spans="1:20" customFormat="1" x14ac:dyDescent="0.25"/>
    <row r="7" spans="1:20" s="4" customFormat="1" ht="14" x14ac:dyDescent="0.3">
      <c r="A7" s="6" t="s">
        <v>8</v>
      </c>
      <c r="B7" s="5" t="s">
        <v>115</v>
      </c>
    </row>
    <row r="8" spans="1:20" x14ac:dyDescent="0.25">
      <c r="E8" t="s">
        <v>86</v>
      </c>
      <c r="J8" s="27">
        <f>Workings!J11</f>
        <v>3758400</v>
      </c>
      <c r="K8" s="27">
        <f>Workings!K11</f>
        <v>9000000</v>
      </c>
      <c r="L8" s="27">
        <f>Workings!L11</f>
        <v>16320000</v>
      </c>
      <c r="M8" s="27">
        <f>Workings!M11</f>
        <v>19440000</v>
      </c>
      <c r="N8" s="27">
        <f>Workings!N11</f>
        <v>28128000</v>
      </c>
    </row>
    <row r="10" spans="1:20" x14ac:dyDescent="0.25">
      <c r="E10" t="s">
        <v>91</v>
      </c>
      <c r="J10" s="27">
        <f>-Workings!J25</f>
        <v>-2060288</v>
      </c>
      <c r="K10" s="27">
        <f>-Workings!K25</f>
        <v>-5806959</v>
      </c>
      <c r="L10" s="27">
        <f>-Workings!L25</f>
        <v>-11386950.19836</v>
      </c>
      <c r="M10" s="27">
        <f>-Workings!M25</f>
        <v>-13486306.493988002</v>
      </c>
      <c r="N10" s="27">
        <f>-Workings!N25</f>
        <v>-20714295.199985906</v>
      </c>
      <c r="P10" s="37"/>
      <c r="Q10" s="37"/>
      <c r="R10" s="37"/>
      <c r="S10" s="37"/>
      <c r="T10" s="37"/>
    </row>
    <row r="11" spans="1:20" ht="14" thickBot="1" x14ac:dyDescent="0.3"/>
    <row r="12" spans="1:20" ht="14" x14ac:dyDescent="0.3">
      <c r="E12" s="21" t="s">
        <v>116</v>
      </c>
      <c r="F12" s="35"/>
      <c r="J12" s="29">
        <f>SUM(J8:J10)</f>
        <v>1698112</v>
      </c>
      <c r="K12" s="29">
        <f t="shared" ref="K12:N12" si="1">SUM(K8:K10)</f>
        <v>3193041</v>
      </c>
      <c r="L12" s="29">
        <f t="shared" si="1"/>
        <v>4933049.8016400002</v>
      </c>
      <c r="M12" s="29">
        <f t="shared" si="1"/>
        <v>5953693.5060119983</v>
      </c>
      <c r="N12" s="29">
        <f t="shared" si="1"/>
        <v>7413704.8000140935</v>
      </c>
    </row>
    <row r="14" spans="1:20" ht="14" x14ac:dyDescent="0.3">
      <c r="E14" s="21" t="s">
        <v>118</v>
      </c>
      <c r="J14" s="36">
        <f ca="1">SUM(J15:J17)</f>
        <v>-1485253.3333333335</v>
      </c>
      <c r="K14" s="36">
        <f t="shared" ref="K14:N14" ca="1" si="2">SUM(K15:K17)</f>
        <v>-2679272.9333333336</v>
      </c>
      <c r="L14" s="36">
        <f t="shared" ca="1" si="2"/>
        <v>-3324358.9735733331</v>
      </c>
      <c r="M14" s="36">
        <f t="shared" ca="1" si="2"/>
        <v>-4475410.8538166005</v>
      </c>
      <c r="N14" s="36">
        <f t="shared" ca="1" si="2"/>
        <v>-4938928.3551789038</v>
      </c>
    </row>
    <row r="15" spans="1:20" x14ac:dyDescent="0.25">
      <c r="E15" t="s">
        <v>46</v>
      </c>
      <c r="J15" s="27">
        <f>-Workings!J51</f>
        <v>-300000</v>
      </c>
      <c r="K15" s="27">
        <f>-Workings!K51</f>
        <v>-840000</v>
      </c>
      <c r="L15" s="27">
        <f>-Workings!L51</f>
        <v>-960000</v>
      </c>
      <c r="M15" s="27">
        <f>-Workings!M51</f>
        <v>-1620000</v>
      </c>
      <c r="N15" s="27">
        <f>-Workings!N51</f>
        <v>-1620000</v>
      </c>
    </row>
    <row r="16" spans="1:20" x14ac:dyDescent="0.25">
      <c r="E16" t="s">
        <v>68</v>
      </c>
      <c r="J16" s="27">
        <f ca="1">-Workings!J69</f>
        <v>-128333.33333333334</v>
      </c>
      <c r="K16" s="27">
        <f ca="1">-Workings!K69</f>
        <v>-204793.33333333334</v>
      </c>
      <c r="L16" s="27">
        <f ca="1">-Workings!L69</f>
        <v>-248639.32033333334</v>
      </c>
      <c r="M16" s="27">
        <f ca="1">-Workings!M69</f>
        <v>-457730.44912300009</v>
      </c>
      <c r="N16" s="27">
        <f ca="1">-Workings!N69</f>
        <v>-343252.69382820011</v>
      </c>
    </row>
    <row r="17" spans="1:14" x14ac:dyDescent="0.25">
      <c r="E17" t="s">
        <v>117</v>
      </c>
      <c r="J17" s="27">
        <f>-Workings!J45</f>
        <v>-1056920</v>
      </c>
      <c r="K17" s="27">
        <f>-Workings!K45</f>
        <v>-1634479.6</v>
      </c>
      <c r="L17" s="27">
        <f>-Workings!L45</f>
        <v>-2115719.6532399999</v>
      </c>
      <c r="M17" s="27">
        <f>-Workings!M45</f>
        <v>-2397680.4046936003</v>
      </c>
      <c r="N17" s="27">
        <f>-Workings!N45</f>
        <v>-2975675.6613507043</v>
      </c>
    </row>
    <row r="18" spans="1:14" ht="14" thickBot="1" x14ac:dyDescent="0.3"/>
    <row r="19" spans="1:14" ht="14" x14ac:dyDescent="0.3">
      <c r="E19" s="21" t="s">
        <v>119</v>
      </c>
      <c r="J19" s="29">
        <f ca="1">SUM(J12:J14)</f>
        <v>212858.66666666651</v>
      </c>
      <c r="K19" s="29">
        <f t="shared" ref="K19:N19" ca="1" si="3">SUM(K12:K14)</f>
        <v>513768.06666666642</v>
      </c>
      <c r="L19" s="29">
        <f t="shared" ca="1" si="3"/>
        <v>1608690.8280666671</v>
      </c>
      <c r="M19" s="29">
        <f t="shared" ca="1" si="3"/>
        <v>1478282.6521953978</v>
      </c>
      <c r="N19" s="29">
        <f t="shared" ca="1" si="3"/>
        <v>2474776.4448351897</v>
      </c>
    </row>
    <row r="21" spans="1:14" s="39" customFormat="1" x14ac:dyDescent="0.25">
      <c r="A21"/>
      <c r="B21"/>
      <c r="C21"/>
      <c r="D21"/>
      <c r="E21" t="s">
        <v>121</v>
      </c>
      <c r="F21"/>
      <c r="G21"/>
      <c r="H21"/>
      <c r="I21"/>
      <c r="J21" s="39">
        <f>-Workings!J105</f>
        <v>-111844.16000000002</v>
      </c>
      <c r="K21" s="39">
        <f>-Workings!K105</f>
        <v>-106251.952</v>
      </c>
      <c r="L21" s="39">
        <f>-Workings!L105</f>
        <v>0</v>
      </c>
      <c r="M21" s="39">
        <f>-Workings!M105</f>
        <v>0</v>
      </c>
      <c r="N21" s="39">
        <f>-Workings!N105</f>
        <v>0</v>
      </c>
    </row>
    <row r="22" spans="1:14" ht="14" thickBot="1" x14ac:dyDescent="0.3"/>
    <row r="23" spans="1:14" ht="14" x14ac:dyDescent="0.3">
      <c r="E23" s="21" t="s">
        <v>122</v>
      </c>
      <c r="J23" s="29">
        <f ca="1">J19+J21</f>
        <v>101014.50666666649</v>
      </c>
      <c r="K23" s="29">
        <f t="shared" ref="K23:N23" ca="1" si="4">K19+K21</f>
        <v>407516.11466666643</v>
      </c>
      <c r="L23" s="29">
        <f t="shared" ca="1" si="4"/>
        <v>1608690.8280666671</v>
      </c>
      <c r="M23" s="29">
        <f t="shared" ca="1" si="4"/>
        <v>1478282.6521953978</v>
      </c>
      <c r="N23" s="29">
        <f t="shared" ca="1" si="4"/>
        <v>2474776.4448351897</v>
      </c>
    </row>
    <row r="25" spans="1:14" s="39" customFormat="1" x14ac:dyDescent="0.25">
      <c r="A25"/>
      <c r="B25"/>
      <c r="C25"/>
      <c r="D25"/>
      <c r="E25" t="s">
        <v>123</v>
      </c>
      <c r="F25"/>
      <c r="G25"/>
      <c r="H25"/>
      <c r="I25"/>
      <c r="J25" s="39">
        <f>-Workings!J119</f>
        <v>0</v>
      </c>
      <c r="K25" s="39">
        <f>-Workings!K119</f>
        <v>0</v>
      </c>
      <c r="L25" s="39">
        <f>-Workings!L119</f>
        <v>0</v>
      </c>
      <c r="M25" s="39">
        <f>-Workings!M119</f>
        <v>0</v>
      </c>
      <c r="N25" s="39">
        <f ca="1">-Workings!N119</f>
        <v>-730059.05122638098</v>
      </c>
    </row>
    <row r="26" spans="1:14" ht="14" thickBot="1" x14ac:dyDescent="0.3"/>
    <row r="27" spans="1:14" ht="14" x14ac:dyDescent="0.3">
      <c r="E27" s="21" t="s">
        <v>124</v>
      </c>
      <c r="J27" s="29">
        <f ca="1">J23+J25</f>
        <v>101014.50666666649</v>
      </c>
      <c r="K27" s="29">
        <f t="shared" ref="K27:N27" ca="1" si="5">K23+K25</f>
        <v>407516.11466666643</v>
      </c>
      <c r="L27" s="29">
        <f t="shared" ca="1" si="5"/>
        <v>1608690.8280666671</v>
      </c>
      <c r="M27" s="29">
        <f t="shared" ca="1" si="5"/>
        <v>1478282.6521953978</v>
      </c>
      <c r="N27" s="29">
        <f t="shared" ca="1" si="5"/>
        <v>1744717.3936088088</v>
      </c>
    </row>
    <row r="29" spans="1:14" s="39" customFormat="1" x14ac:dyDescent="0.25">
      <c r="A29"/>
      <c r="B29"/>
      <c r="C29"/>
      <c r="D29"/>
      <c r="E29" t="s">
        <v>125</v>
      </c>
      <c r="F29"/>
      <c r="G29"/>
      <c r="H29"/>
      <c r="I29"/>
      <c r="J29" s="39">
        <f ca="1">-Workings!J130</f>
        <v>0</v>
      </c>
      <c r="K29" s="39">
        <f ca="1">-Workings!K130</f>
        <v>-81503.222933333294</v>
      </c>
      <c r="L29" s="39">
        <f ca="1">-Workings!L130</f>
        <v>-321738.16561333346</v>
      </c>
      <c r="M29" s="39">
        <f ca="1">-Workings!M130</f>
        <v>-295656.53043907956</v>
      </c>
      <c r="N29" s="39">
        <f ca="1">-Workings!N130</f>
        <v>-348943.47872176178</v>
      </c>
    </row>
    <row r="30" spans="1:14" ht="14" thickBot="1" x14ac:dyDescent="0.3"/>
    <row r="31" spans="1:14" ht="14" x14ac:dyDescent="0.3">
      <c r="E31" s="21" t="s">
        <v>126</v>
      </c>
      <c r="J31" s="29">
        <f ca="1">J27+J29</f>
        <v>101014.50666666649</v>
      </c>
      <c r="K31" s="29">
        <f t="shared" ref="K31:N31" ca="1" si="6">K27+K29</f>
        <v>326012.89173333312</v>
      </c>
      <c r="L31" s="29">
        <f t="shared" ca="1" si="6"/>
        <v>1286952.6624533336</v>
      </c>
      <c r="M31" s="29">
        <f t="shared" ca="1" si="6"/>
        <v>1182626.1217563183</v>
      </c>
      <c r="N31" s="29">
        <f t="shared" ca="1" si="6"/>
        <v>1395773.9148870469</v>
      </c>
    </row>
    <row r="32" spans="1:14" ht="14.5" thickBot="1" x14ac:dyDescent="0.35">
      <c r="E32" s="21" t="s">
        <v>127</v>
      </c>
      <c r="J32" s="28">
        <f ca="1">I32+J31</f>
        <v>101014.50666666649</v>
      </c>
      <c r="K32" s="28">
        <f t="shared" ref="K32:N32" ca="1" si="7">J32+K31</f>
        <v>427027.3983999996</v>
      </c>
      <c r="L32" s="28">
        <f t="shared" ca="1" si="7"/>
        <v>1713980.0608533332</v>
      </c>
      <c r="M32" s="28">
        <f t="shared" ca="1" si="7"/>
        <v>2896606.1826096512</v>
      </c>
      <c r="N32" s="28">
        <f t="shared" ca="1" si="7"/>
        <v>4292380.0974966977</v>
      </c>
    </row>
    <row r="33" spans="1:14" ht="14" thickTop="1" x14ac:dyDescent="0.25"/>
    <row r="35" spans="1:14" s="4" customFormat="1" ht="14" x14ac:dyDescent="0.3">
      <c r="A35" s="6" t="s">
        <v>8</v>
      </c>
      <c r="B35" s="5" t="s">
        <v>128</v>
      </c>
    </row>
    <row r="36" spans="1:14" ht="14" x14ac:dyDescent="0.3">
      <c r="C36" s="21" t="s">
        <v>129</v>
      </c>
    </row>
    <row r="37" spans="1:14" x14ac:dyDescent="0.25">
      <c r="E37" t="s">
        <v>101</v>
      </c>
      <c r="J37" s="27">
        <f ca="1">Workings!J73</f>
        <v>66666.666666666657</v>
      </c>
      <c r="K37" s="27">
        <f ca="1">Workings!K73</f>
        <v>33333.333333333328</v>
      </c>
      <c r="L37" s="27">
        <f ca="1">Workings!L73</f>
        <v>87691.973999999987</v>
      </c>
      <c r="M37" s="27">
        <f ca="1">Workings!M73</f>
        <v>43845.986999999994</v>
      </c>
      <c r="N37" s="27">
        <f ca="1">Workings!N73</f>
        <v>113964.48941040004</v>
      </c>
    </row>
    <row r="38" spans="1:14" x14ac:dyDescent="0.25">
      <c r="E38" t="s">
        <v>67</v>
      </c>
      <c r="J38" s="27">
        <f ca="1">Workings!J74</f>
        <v>112500</v>
      </c>
      <c r="K38" s="27">
        <f ca="1">Workings!K74</f>
        <v>75000</v>
      </c>
      <c r="L38" s="27">
        <f ca="1">Workings!L74</f>
        <v>37500</v>
      </c>
      <c r="M38" s="27">
        <f ca="1">Workings!M74</f>
        <v>168697.43498250004</v>
      </c>
      <c r="N38" s="27">
        <f ca="1">Workings!N74</f>
        <v>112464.95665500005</v>
      </c>
    </row>
    <row r="39" spans="1:14" x14ac:dyDescent="0.25">
      <c r="E39" t="s">
        <v>56</v>
      </c>
      <c r="J39" s="27">
        <f ca="1">Workings!J75</f>
        <v>172500</v>
      </c>
      <c r="K39" s="27">
        <f ca="1">Workings!K75</f>
        <v>115000</v>
      </c>
      <c r="L39" s="27">
        <f ca="1">Workings!L75</f>
        <v>57500</v>
      </c>
      <c r="M39" s="27">
        <f ca="1">Workings!M75</f>
        <v>258669.40030650009</v>
      </c>
      <c r="N39" s="27">
        <f ca="1">Workings!N75</f>
        <v>172446.26687100006</v>
      </c>
    </row>
    <row r="40" spans="1:14" ht="14" thickBot="1" x14ac:dyDescent="0.3">
      <c r="E40" t="s">
        <v>57</v>
      </c>
      <c r="J40" s="27">
        <f ca="1">Workings!J76</f>
        <v>0</v>
      </c>
      <c r="K40" s="27">
        <f ca="1">Workings!K76</f>
        <v>152920</v>
      </c>
      <c r="L40" s="27">
        <f ca="1">Workings!L76</f>
        <v>76460</v>
      </c>
      <c r="M40" s="27">
        <f ca="1">Workings!M76</f>
        <v>199937.70072000008</v>
      </c>
      <c r="N40" s="27">
        <f ca="1">Workings!N76</f>
        <v>99968.85036000004</v>
      </c>
    </row>
    <row r="41" spans="1:14" ht="14" x14ac:dyDescent="0.3">
      <c r="J41" s="29">
        <f ca="1">SUM(J37:J40)</f>
        <v>351666.66666666663</v>
      </c>
      <c r="K41" s="29">
        <f t="shared" ref="K41:N41" ca="1" si="8">SUM(K37:K40)</f>
        <v>376253.33333333331</v>
      </c>
      <c r="L41" s="29">
        <f t="shared" ca="1" si="8"/>
        <v>259151.97399999999</v>
      </c>
      <c r="M41" s="29">
        <f t="shared" ca="1" si="8"/>
        <v>671150.52300900023</v>
      </c>
      <c r="N41" s="29">
        <f t="shared" ca="1" si="8"/>
        <v>498844.56329640019</v>
      </c>
    </row>
    <row r="42" spans="1:14" x14ac:dyDescent="0.25">
      <c r="D42" t="s">
        <v>130</v>
      </c>
    </row>
    <row r="43" spans="1:14" x14ac:dyDescent="0.25">
      <c r="E43" t="s">
        <v>18</v>
      </c>
      <c r="J43" s="27">
        <f>Workings!J27</f>
        <v>206028.80000000002</v>
      </c>
      <c r="K43" s="27">
        <f>Workings!K27</f>
        <v>580695.9</v>
      </c>
      <c r="L43" s="27">
        <f>Workings!L27</f>
        <v>1138695.0198359999</v>
      </c>
      <c r="M43" s="27">
        <f>Workings!M27</f>
        <v>1348630.6493988002</v>
      </c>
      <c r="N43" s="27">
        <f>Workings!N27</f>
        <v>2071429.5199985907</v>
      </c>
    </row>
    <row r="44" spans="1:14" x14ac:dyDescent="0.25">
      <c r="E44" t="s">
        <v>131</v>
      </c>
      <c r="J44" s="27">
        <f>Workings!J82</f>
        <v>46980</v>
      </c>
      <c r="K44" s="27">
        <f>Workings!K82</f>
        <v>112500</v>
      </c>
      <c r="L44" s="27">
        <f>Workings!L82</f>
        <v>204000</v>
      </c>
      <c r="M44" s="27">
        <f>Workings!M82</f>
        <v>243000</v>
      </c>
      <c r="N44" s="27">
        <f>Workings!N82</f>
        <v>351600</v>
      </c>
    </row>
    <row r="45" spans="1:14" s="39" customFormat="1" ht="14" thickBot="1" x14ac:dyDescent="0.3">
      <c r="A45"/>
      <c r="B45"/>
      <c r="C45"/>
      <c r="D45"/>
      <c r="E45" t="s">
        <v>132</v>
      </c>
      <c r="F45"/>
      <c r="G45"/>
      <c r="H45"/>
      <c r="I45"/>
      <c r="J45" s="39">
        <f ca="1">J106</f>
        <v>913644.93333333323</v>
      </c>
      <c r="K45" s="39">
        <f t="shared" ref="K45:N45" ca="1" si="9">K106</f>
        <v>410988.73174999969</v>
      </c>
      <c r="L45" s="39">
        <f t="shared" ca="1" si="9"/>
        <v>1533653.3746764171</v>
      </c>
      <c r="M45" s="39">
        <f t="shared" ca="1" si="9"/>
        <v>2077373.9311281559</v>
      </c>
      <c r="N45" s="39">
        <f t="shared" ca="1" si="9"/>
        <v>3763042.3424828611</v>
      </c>
    </row>
    <row r="46" spans="1:14" ht="14" x14ac:dyDescent="0.3">
      <c r="D46" s="21" t="s">
        <v>133</v>
      </c>
      <c r="J46" s="29">
        <f ca="1">SUM(J43:J45)</f>
        <v>1166653.7333333332</v>
      </c>
      <c r="K46" s="29">
        <f t="shared" ref="K46:N46" ca="1" si="10">SUM(K43:K45)</f>
        <v>1104184.6317499997</v>
      </c>
      <c r="L46" s="29">
        <f t="shared" ca="1" si="10"/>
        <v>2876348.3945124168</v>
      </c>
      <c r="M46" s="29">
        <f t="shared" ca="1" si="10"/>
        <v>3669004.5805269564</v>
      </c>
      <c r="N46" s="29">
        <f t="shared" ca="1" si="10"/>
        <v>6186071.8624814516</v>
      </c>
    </row>
    <row r="48" spans="1:14" ht="14.5" thickBot="1" x14ac:dyDescent="0.35">
      <c r="C48" s="21" t="s">
        <v>134</v>
      </c>
      <c r="J48" s="28">
        <f ca="1">J41+J46</f>
        <v>1518320.4</v>
      </c>
      <c r="K48" s="28">
        <f t="shared" ref="K48:N48" ca="1" si="11">K41+K46</f>
        <v>1480437.965083333</v>
      </c>
      <c r="L48" s="28">
        <f t="shared" ca="1" si="11"/>
        <v>3135500.3685124167</v>
      </c>
      <c r="M48" s="28">
        <f t="shared" ca="1" si="11"/>
        <v>4340155.1035359567</v>
      </c>
      <c r="N48" s="28">
        <f t="shared" ca="1" si="11"/>
        <v>6684916.4257778516</v>
      </c>
    </row>
    <row r="49" spans="1:14" ht="14" thickTop="1" x14ac:dyDescent="0.25"/>
    <row r="51" spans="1:14" ht="14" x14ac:dyDescent="0.3">
      <c r="C51" s="21" t="s">
        <v>135</v>
      </c>
    </row>
    <row r="52" spans="1:14" ht="14" x14ac:dyDescent="0.3">
      <c r="C52" s="21"/>
      <c r="D52" s="21" t="s">
        <v>78</v>
      </c>
    </row>
    <row r="53" spans="1:14" x14ac:dyDescent="0.25">
      <c r="E53" t="s">
        <v>153</v>
      </c>
      <c r="J53" s="27">
        <f>Workings!$J$97</f>
        <v>838831.2</v>
      </c>
      <c r="K53" s="27">
        <f>Workings!$J$97</f>
        <v>838831.2</v>
      </c>
      <c r="L53" s="27">
        <f>Workings!$J$97</f>
        <v>838831.2</v>
      </c>
      <c r="M53" s="27">
        <f>Workings!$J$97</f>
        <v>838831.2</v>
      </c>
      <c r="N53" s="27">
        <f>Workings!$J$97</f>
        <v>838831.2</v>
      </c>
    </row>
    <row r="54" spans="1:14" ht="14" thickBot="1" x14ac:dyDescent="0.3">
      <c r="E54" t="s">
        <v>154</v>
      </c>
      <c r="J54" s="27">
        <f ca="1">J32</f>
        <v>101014.50666666649</v>
      </c>
      <c r="K54" s="27">
        <f t="shared" ref="K54:N54" ca="1" si="12">K32</f>
        <v>427027.3983999996</v>
      </c>
      <c r="L54" s="27">
        <f t="shared" ca="1" si="12"/>
        <v>1713980.0608533332</v>
      </c>
      <c r="M54" s="27">
        <f t="shared" ca="1" si="12"/>
        <v>2896606.1826096512</v>
      </c>
      <c r="N54" s="27">
        <f t="shared" ca="1" si="12"/>
        <v>4292380.0974966977</v>
      </c>
    </row>
    <row r="55" spans="1:14" ht="14" x14ac:dyDescent="0.3">
      <c r="E55" s="21" t="s">
        <v>155</v>
      </c>
      <c r="J55" s="29">
        <f ca="1">SUM(J53:J54)</f>
        <v>939845.70666666643</v>
      </c>
      <c r="K55" s="29">
        <f t="shared" ref="K55:N55" ca="1" si="13">SUM(K53:K54)</f>
        <v>1265858.5983999996</v>
      </c>
      <c r="L55" s="29">
        <f t="shared" ca="1" si="13"/>
        <v>2552811.2608533334</v>
      </c>
      <c r="M55" s="29">
        <f t="shared" ca="1" si="13"/>
        <v>3735437.3826096514</v>
      </c>
      <c r="N55" s="29">
        <f t="shared" ca="1" si="13"/>
        <v>5131211.2974966979</v>
      </c>
    </row>
    <row r="57" spans="1:14" ht="14" x14ac:dyDescent="0.3">
      <c r="D57" s="21" t="s">
        <v>156</v>
      </c>
    </row>
    <row r="58" spans="1:14" ht="14" x14ac:dyDescent="0.3">
      <c r="D58" s="21" t="s">
        <v>157</v>
      </c>
    </row>
    <row r="59" spans="1:14" ht="14" thickBot="1" x14ac:dyDescent="0.3">
      <c r="E59" t="s">
        <v>158</v>
      </c>
      <c r="J59" s="27">
        <f>Workings!J108</f>
        <v>531259.76</v>
      </c>
      <c r="K59" s="27">
        <f>Workings!K108</f>
        <v>0</v>
      </c>
      <c r="L59" s="27">
        <f>Workings!L108</f>
        <v>0</v>
      </c>
      <c r="M59" s="27">
        <f>Workings!M108</f>
        <v>0</v>
      </c>
      <c r="N59" s="27">
        <f>Workings!N108</f>
        <v>0</v>
      </c>
    </row>
    <row r="60" spans="1:14" ht="14" x14ac:dyDescent="0.3">
      <c r="D60" s="21" t="s">
        <v>159</v>
      </c>
      <c r="J60" s="29">
        <f>SUM(J59)</f>
        <v>531259.76</v>
      </c>
      <c r="K60" s="29">
        <f t="shared" ref="K60:N60" si="14">SUM(K59)</f>
        <v>0</v>
      </c>
      <c r="L60" s="29">
        <f t="shared" si="14"/>
        <v>0</v>
      </c>
      <c r="M60" s="29">
        <f t="shared" si="14"/>
        <v>0</v>
      </c>
      <c r="N60" s="29">
        <f t="shared" si="14"/>
        <v>0</v>
      </c>
    </row>
    <row r="62" spans="1:14" ht="14" x14ac:dyDescent="0.3">
      <c r="D62" s="21" t="s">
        <v>160</v>
      </c>
    </row>
    <row r="63" spans="1:14" s="39" customFormat="1" x14ac:dyDescent="0.25">
      <c r="A63"/>
      <c r="B63"/>
      <c r="C63"/>
      <c r="D63"/>
      <c r="E63" t="s">
        <v>136</v>
      </c>
      <c r="F63"/>
      <c r="G63"/>
      <c r="H63"/>
      <c r="I63"/>
      <c r="J63" s="39">
        <f>Workings!J86</f>
        <v>47214.933333333327</v>
      </c>
      <c r="K63" s="39">
        <f>Workings!K86</f>
        <v>133076.14375000002</v>
      </c>
      <c r="L63" s="39">
        <f>Workings!L86</f>
        <v>260950.94204574998</v>
      </c>
      <c r="M63" s="39">
        <f>Workings!M86</f>
        <v>309061.19048722502</v>
      </c>
      <c r="N63" s="39">
        <f>Workings!N86</f>
        <v>474702.59833301039</v>
      </c>
    </row>
    <row r="64" spans="1:14" s="39" customFormat="1" x14ac:dyDescent="0.25">
      <c r="A64"/>
      <c r="B64"/>
      <c r="C64"/>
      <c r="D64"/>
      <c r="E64" t="s">
        <v>161</v>
      </c>
      <c r="F64"/>
      <c r="G64"/>
      <c r="H64"/>
      <c r="I64"/>
      <c r="J64" s="39">
        <f ca="1">Workings!J132</f>
        <v>0</v>
      </c>
      <c r="K64" s="39">
        <f ca="1">Workings!K132</f>
        <v>81503.222933333294</v>
      </c>
      <c r="L64" s="39">
        <f ca="1">Workings!L132</f>
        <v>321738.16561333346</v>
      </c>
      <c r="M64" s="39">
        <f ca="1">Workings!M132</f>
        <v>295656.53043907951</v>
      </c>
      <c r="N64" s="39">
        <f ca="1">Workings!N132</f>
        <v>348943.47872176178</v>
      </c>
    </row>
    <row r="65" spans="1:14" s="39" customFormat="1" ht="14" thickBot="1" x14ac:dyDescent="0.3">
      <c r="A65"/>
      <c r="B65"/>
      <c r="C65"/>
      <c r="D65"/>
      <c r="E65" t="s">
        <v>162</v>
      </c>
      <c r="F65"/>
      <c r="G65"/>
      <c r="H65"/>
      <c r="I65"/>
      <c r="J65" s="39">
        <f>Workings!J121</f>
        <v>0</v>
      </c>
      <c r="K65" s="39">
        <f>Workings!K121</f>
        <v>0</v>
      </c>
      <c r="L65" s="39">
        <f>Workings!L121</f>
        <v>0</v>
      </c>
      <c r="M65" s="39">
        <f>Workings!M121</f>
        <v>0</v>
      </c>
      <c r="N65" s="39">
        <f ca="1">Workings!N121</f>
        <v>730059.05122638098</v>
      </c>
    </row>
    <row r="66" spans="1:14" ht="14" x14ac:dyDescent="0.3">
      <c r="D66" s="21" t="s">
        <v>163</v>
      </c>
      <c r="J66" s="29">
        <f ca="1">SUM(J63:J65)</f>
        <v>47214.933333333327</v>
      </c>
      <c r="K66" s="29">
        <f t="shared" ref="K66:N66" ca="1" si="15">SUM(K63:K65)</f>
        <v>214579.3666833333</v>
      </c>
      <c r="L66" s="29">
        <f t="shared" ca="1" si="15"/>
        <v>582689.10765908344</v>
      </c>
      <c r="M66" s="29">
        <f t="shared" ca="1" si="15"/>
        <v>604717.72092630458</v>
      </c>
      <c r="N66" s="29">
        <f t="shared" ca="1" si="15"/>
        <v>1553705.1282811533</v>
      </c>
    </row>
    <row r="67" spans="1:14" ht="14" thickBot="1" x14ac:dyDescent="0.3"/>
    <row r="68" spans="1:14" ht="14" x14ac:dyDescent="0.3">
      <c r="D68" s="21" t="s">
        <v>165</v>
      </c>
      <c r="J68" s="29">
        <f ca="1">J60+J66</f>
        <v>578474.69333333336</v>
      </c>
      <c r="K68" s="29">
        <f t="shared" ref="K68:N68" ca="1" si="16">K60+K66</f>
        <v>214579.3666833333</v>
      </c>
      <c r="L68" s="29">
        <f t="shared" ca="1" si="16"/>
        <v>582689.10765908344</v>
      </c>
      <c r="M68" s="29">
        <f t="shared" ca="1" si="16"/>
        <v>604717.72092630458</v>
      </c>
      <c r="N68" s="29">
        <f t="shared" ca="1" si="16"/>
        <v>1553705.1282811533</v>
      </c>
    </row>
    <row r="70" spans="1:14" ht="14.5" thickBot="1" x14ac:dyDescent="0.35">
      <c r="C70" s="21" t="s">
        <v>164</v>
      </c>
      <c r="J70" s="28">
        <f ca="1">J55+J68</f>
        <v>1518320.4</v>
      </c>
      <c r="K70" s="28">
        <f t="shared" ref="K70:N70" ca="1" si="17">K55+K68</f>
        <v>1480437.9650833327</v>
      </c>
      <c r="L70" s="28">
        <f t="shared" ca="1" si="17"/>
        <v>3135500.3685124167</v>
      </c>
      <c r="M70" s="28">
        <f t="shared" ca="1" si="17"/>
        <v>4340155.1035359558</v>
      </c>
      <c r="N70" s="28">
        <f t="shared" ca="1" si="17"/>
        <v>6684916.4257778507</v>
      </c>
    </row>
    <row r="71" spans="1:14" ht="14" thickTop="1" x14ac:dyDescent="0.25">
      <c r="J71" s="27">
        <f ca="1">J70-J48</f>
        <v>0</v>
      </c>
      <c r="K71" s="27">
        <f t="shared" ref="K71:N71" ca="1" si="18">K70-K48</f>
        <v>0</v>
      </c>
      <c r="L71" s="27">
        <f t="shared" ca="1" si="18"/>
        <v>0</v>
      </c>
      <c r="M71" s="27">
        <f t="shared" ca="1" si="18"/>
        <v>0</v>
      </c>
      <c r="N71" s="27">
        <f t="shared" ca="1" si="18"/>
        <v>0</v>
      </c>
    </row>
    <row r="73" spans="1:14" x14ac:dyDescent="0.25">
      <c r="J73" s="27" t="b">
        <f ca="1">J48=J70</f>
        <v>1</v>
      </c>
      <c r="K73" s="27" t="b">
        <f t="shared" ref="K73:N73" ca="1" si="19">K48=K70</f>
        <v>1</v>
      </c>
      <c r="L73" s="27" t="b">
        <f t="shared" ca="1" si="19"/>
        <v>1</v>
      </c>
      <c r="M73" s="27" t="b">
        <f t="shared" ca="1" si="19"/>
        <v>1</v>
      </c>
      <c r="N73" s="27" t="b">
        <f t="shared" ca="1" si="19"/>
        <v>1</v>
      </c>
    </row>
    <row r="76" spans="1:14" s="4" customFormat="1" ht="14" x14ac:dyDescent="0.3">
      <c r="A76" s="6" t="s">
        <v>8</v>
      </c>
      <c r="B76" s="5" t="s">
        <v>171</v>
      </c>
    </row>
    <row r="77" spans="1:14" ht="14" x14ac:dyDescent="0.3">
      <c r="D77" s="21" t="s">
        <v>172</v>
      </c>
    </row>
    <row r="78" spans="1:14" x14ac:dyDescent="0.25">
      <c r="E78" t="s">
        <v>147</v>
      </c>
      <c r="J78" s="27">
        <f ca="1">J27</f>
        <v>101014.50666666649</v>
      </c>
      <c r="K78" s="27">
        <f t="shared" ref="K78:N78" ca="1" si="20">K27</f>
        <v>407516.11466666643</v>
      </c>
      <c r="L78" s="27">
        <f t="shared" ca="1" si="20"/>
        <v>1608690.8280666671</v>
      </c>
      <c r="M78" s="27">
        <f t="shared" ca="1" si="20"/>
        <v>1478282.6521953978</v>
      </c>
      <c r="N78" s="27">
        <f t="shared" ca="1" si="20"/>
        <v>1744717.3936088088</v>
      </c>
    </row>
    <row r="79" spans="1:14" x14ac:dyDescent="0.25">
      <c r="E79" t="s">
        <v>173</v>
      </c>
    </row>
    <row r="80" spans="1:14" x14ac:dyDescent="0.25">
      <c r="E80" s="41" t="s">
        <v>68</v>
      </c>
      <c r="J80" s="27">
        <f ca="1">-J16</f>
        <v>128333.33333333334</v>
      </c>
      <c r="K80" s="27">
        <f t="shared" ref="K80:N80" ca="1" si="21">-K16</f>
        <v>204793.33333333334</v>
      </c>
      <c r="L80" s="27">
        <f t="shared" ca="1" si="21"/>
        <v>248639.32033333334</v>
      </c>
      <c r="M80" s="27">
        <f t="shared" ca="1" si="21"/>
        <v>457730.44912300009</v>
      </c>
      <c r="N80" s="27">
        <f t="shared" ca="1" si="21"/>
        <v>343252.69382820011</v>
      </c>
    </row>
    <row r="81" spans="4:14" x14ac:dyDescent="0.25">
      <c r="E81" s="41" t="s">
        <v>174</v>
      </c>
      <c r="J81" s="27">
        <f>-J25</f>
        <v>0</v>
      </c>
      <c r="K81" s="27">
        <f t="shared" ref="K81:N81" si="22">-K25</f>
        <v>0</v>
      </c>
      <c r="L81" s="27">
        <f t="shared" si="22"/>
        <v>0</v>
      </c>
      <c r="M81" s="27">
        <f t="shared" si="22"/>
        <v>0</v>
      </c>
      <c r="N81" s="27">
        <f t="shared" ca="1" si="22"/>
        <v>730059.05122638098</v>
      </c>
    </row>
    <row r="82" spans="4:14" ht="14" thickBot="1" x14ac:dyDescent="0.3">
      <c r="E82" s="41" t="s">
        <v>175</v>
      </c>
      <c r="J82" s="27">
        <f>-J21</f>
        <v>111844.16000000002</v>
      </c>
      <c r="K82" s="27">
        <f t="shared" ref="K82:N82" si="23">-K21</f>
        <v>106251.952</v>
      </c>
      <c r="L82" s="27">
        <f t="shared" si="23"/>
        <v>0</v>
      </c>
      <c r="M82" s="27">
        <f t="shared" si="23"/>
        <v>0</v>
      </c>
      <c r="N82" s="27">
        <f t="shared" si="23"/>
        <v>0</v>
      </c>
    </row>
    <row r="83" spans="4:14" ht="14" x14ac:dyDescent="0.3">
      <c r="J83" s="29">
        <f ca="1">SUM(J78:J82)</f>
        <v>341191.99999999988</v>
      </c>
      <c r="K83" s="29">
        <f t="shared" ref="K83:N83" ca="1" si="24">SUM(K78:K82)</f>
        <v>718561.39999999979</v>
      </c>
      <c r="L83" s="29">
        <f t="shared" ca="1" si="24"/>
        <v>1857330.1484000003</v>
      </c>
      <c r="M83" s="29">
        <f t="shared" ca="1" si="24"/>
        <v>1936013.1013183978</v>
      </c>
      <c r="N83" s="29">
        <f t="shared" ca="1" si="24"/>
        <v>2818029.1386633897</v>
      </c>
    </row>
    <row r="84" spans="4:14" x14ac:dyDescent="0.25">
      <c r="E84" s="42" t="s">
        <v>176</v>
      </c>
    </row>
    <row r="85" spans="4:14" x14ac:dyDescent="0.25">
      <c r="E85" s="41" t="s">
        <v>177</v>
      </c>
      <c r="J85" s="27">
        <f>I43-J43</f>
        <v>-206028.80000000002</v>
      </c>
      <c r="K85" s="27">
        <f>J43-K43</f>
        <v>-374667.1</v>
      </c>
      <c r="L85" s="27">
        <f>K43-L43</f>
        <v>-557999.11983599991</v>
      </c>
      <c r="M85" s="27">
        <f>L43-M43</f>
        <v>-209935.62956280028</v>
      </c>
      <c r="N85" s="27">
        <f>M43-N43</f>
        <v>-722798.87059979048</v>
      </c>
    </row>
    <row r="86" spans="4:14" x14ac:dyDescent="0.25">
      <c r="E86" s="41" t="s">
        <v>131</v>
      </c>
      <c r="J86" s="27">
        <f>I44-J44</f>
        <v>-46980</v>
      </c>
      <c r="K86" s="27">
        <f t="shared" ref="K86:N86" si="25">J44-K44</f>
        <v>-65520</v>
      </c>
      <c r="L86" s="27">
        <f t="shared" si="25"/>
        <v>-91500</v>
      </c>
      <c r="M86" s="27">
        <f t="shared" si="25"/>
        <v>-39000</v>
      </c>
      <c r="N86" s="27">
        <f t="shared" si="25"/>
        <v>-108600</v>
      </c>
    </row>
    <row r="87" spans="4:14" ht="14" thickBot="1" x14ac:dyDescent="0.3">
      <c r="E87" s="41" t="s">
        <v>136</v>
      </c>
      <c r="J87" s="27">
        <f>J63-I63</f>
        <v>47214.933333333327</v>
      </c>
      <c r="K87" s="27">
        <f t="shared" ref="K87:N87" si="26">K63-J63</f>
        <v>85861.210416666698</v>
      </c>
      <c r="L87" s="27">
        <f t="shared" si="26"/>
        <v>127874.79829574996</v>
      </c>
      <c r="M87" s="27">
        <f t="shared" si="26"/>
        <v>48110.248441475036</v>
      </c>
      <c r="N87" s="27">
        <f t="shared" si="26"/>
        <v>165641.40784578538</v>
      </c>
    </row>
    <row r="88" spans="4:14" ht="14" x14ac:dyDescent="0.3">
      <c r="D88" t="s">
        <v>178</v>
      </c>
      <c r="J88" s="29">
        <f ca="1">SUM(J83:J87)</f>
        <v>135398.13333333319</v>
      </c>
      <c r="K88" s="29">
        <f t="shared" ref="K88:N88" ca="1" si="27">SUM(K83:K87)</f>
        <v>364235.51041666651</v>
      </c>
      <c r="L88" s="29">
        <f t="shared" ca="1" si="27"/>
        <v>1335705.8268597506</v>
      </c>
      <c r="M88" s="29">
        <f t="shared" ca="1" si="27"/>
        <v>1735187.7201970725</v>
      </c>
      <c r="N88" s="29">
        <f t="shared" ca="1" si="27"/>
        <v>2152271.6759093846</v>
      </c>
    </row>
    <row r="89" spans="4:14" ht="14" thickBot="1" x14ac:dyDescent="0.3">
      <c r="E89" s="41" t="s">
        <v>167</v>
      </c>
      <c r="J89" s="27">
        <f>Workings!J120</f>
        <v>0</v>
      </c>
      <c r="K89" s="27">
        <f>Workings!K120</f>
        <v>0</v>
      </c>
      <c r="L89" s="27">
        <f>Workings!L120</f>
        <v>0</v>
      </c>
      <c r="M89" s="27">
        <f>Workings!M120</f>
        <v>0</v>
      </c>
      <c r="N89" s="27">
        <f>Workings!N120</f>
        <v>0</v>
      </c>
    </row>
    <row r="90" spans="4:14" ht="14" x14ac:dyDescent="0.3">
      <c r="D90" s="21" t="s">
        <v>179</v>
      </c>
      <c r="J90" s="29">
        <f ca="1">SUM(J88:J89)</f>
        <v>135398.13333333319</v>
      </c>
      <c r="K90" s="29">
        <f t="shared" ref="K90:N90" ca="1" si="28">SUM(K88:K89)</f>
        <v>364235.51041666651</v>
      </c>
      <c r="L90" s="29">
        <f t="shared" ca="1" si="28"/>
        <v>1335705.8268597506</v>
      </c>
      <c r="M90" s="29">
        <f t="shared" ca="1" si="28"/>
        <v>1735187.7201970725</v>
      </c>
      <c r="N90" s="29">
        <f t="shared" ca="1" si="28"/>
        <v>2152271.6759093846</v>
      </c>
    </row>
    <row r="92" spans="4:14" ht="14" x14ac:dyDescent="0.3">
      <c r="D92" s="21" t="s">
        <v>180</v>
      </c>
    </row>
    <row r="93" spans="4:14" ht="14" thickBot="1" x14ac:dyDescent="0.3">
      <c r="E93" t="s">
        <v>181</v>
      </c>
      <c r="J93" s="27">
        <f>-Workings!J61</f>
        <v>-480000</v>
      </c>
      <c r="K93" s="27">
        <f>-Workings!K61</f>
        <v>-229380</v>
      </c>
      <c r="L93" s="27">
        <f>-Workings!L61</f>
        <v>-131537.96100000001</v>
      </c>
      <c r="M93" s="27">
        <f>-Workings!M61</f>
        <v>-869728.99813200021</v>
      </c>
      <c r="N93" s="27">
        <f>-Workings!N61</f>
        <v>-170946.73411560006</v>
      </c>
    </row>
    <row r="94" spans="4:14" ht="14" x14ac:dyDescent="0.3">
      <c r="D94" s="21" t="s">
        <v>182</v>
      </c>
      <c r="J94" s="29">
        <f>SUM(J93)</f>
        <v>-480000</v>
      </c>
      <c r="K94" s="29">
        <f t="shared" ref="K94:N94" si="29">SUM(K93)</f>
        <v>-229380</v>
      </c>
      <c r="L94" s="29">
        <f t="shared" si="29"/>
        <v>-131537.96100000001</v>
      </c>
      <c r="M94" s="29">
        <f t="shared" si="29"/>
        <v>-869728.99813200021</v>
      </c>
      <c r="N94" s="29">
        <f t="shared" si="29"/>
        <v>-170946.73411560006</v>
      </c>
    </row>
    <row r="96" spans="4:14" ht="14" x14ac:dyDescent="0.3">
      <c r="D96" s="21" t="s">
        <v>183</v>
      </c>
    </row>
    <row r="97" spans="4:14" x14ac:dyDescent="0.25">
      <c r="E97" t="s">
        <v>184</v>
      </c>
      <c r="J97" s="27">
        <f>J53-I53</f>
        <v>838831.2</v>
      </c>
      <c r="K97" s="27">
        <f t="shared" ref="K97:N97" si="30">K53-J53</f>
        <v>0</v>
      </c>
      <c r="L97" s="27">
        <f t="shared" si="30"/>
        <v>0</v>
      </c>
      <c r="M97" s="27">
        <f t="shared" si="30"/>
        <v>0</v>
      </c>
      <c r="N97" s="27">
        <f t="shared" si="30"/>
        <v>0</v>
      </c>
    </row>
    <row r="98" spans="4:14" x14ac:dyDescent="0.25">
      <c r="E98" t="s">
        <v>170</v>
      </c>
      <c r="J98" s="27">
        <f>Workings!J131</f>
        <v>0</v>
      </c>
      <c r="K98" s="27">
        <f ca="1">Workings!K131</f>
        <v>0</v>
      </c>
      <c r="L98" s="27">
        <f ca="1">Workings!L131</f>
        <v>-81503.222933333294</v>
      </c>
      <c r="M98" s="27">
        <f ca="1">Workings!M131</f>
        <v>-321738.16561333346</v>
      </c>
      <c r="N98" s="27">
        <f ca="1">Workings!N131</f>
        <v>-295656.53043907956</v>
      </c>
    </row>
    <row r="99" spans="4:14" x14ac:dyDescent="0.25">
      <c r="E99" t="s">
        <v>185</v>
      </c>
      <c r="J99" s="27">
        <f>Workings!J104</f>
        <v>559220.80000000005</v>
      </c>
    </row>
    <row r="100" spans="4:14" x14ac:dyDescent="0.25">
      <c r="E100" t="s">
        <v>186</v>
      </c>
      <c r="J100" s="27">
        <f>Workings!J106</f>
        <v>-139805.20000000001</v>
      </c>
      <c r="K100" s="27">
        <f>Workings!K106</f>
        <v>0</v>
      </c>
      <c r="L100" s="27">
        <f>Workings!L106</f>
        <v>0</v>
      </c>
      <c r="M100" s="27">
        <f>Workings!M106</f>
        <v>0</v>
      </c>
      <c r="N100" s="27">
        <f>Workings!N106</f>
        <v>0</v>
      </c>
    </row>
    <row r="101" spans="4:14" ht="14" thickBot="1" x14ac:dyDescent="0.3">
      <c r="E101" t="s">
        <v>187</v>
      </c>
      <c r="J101" s="27">
        <f>Workings!J107</f>
        <v>0</v>
      </c>
      <c r="K101" s="27">
        <f>Workings!K107</f>
        <v>-637511.71200000006</v>
      </c>
      <c r="L101" s="27">
        <f>Workings!L107</f>
        <v>0</v>
      </c>
      <c r="M101" s="27">
        <f>Workings!M107</f>
        <v>0</v>
      </c>
      <c r="N101" s="27">
        <f>Workings!N107</f>
        <v>0</v>
      </c>
    </row>
    <row r="102" spans="4:14" ht="14" x14ac:dyDescent="0.3">
      <c r="D102" s="21" t="s">
        <v>188</v>
      </c>
      <c r="J102" s="29">
        <f>SUM(J97:J101)</f>
        <v>1258246.8</v>
      </c>
      <c r="K102" s="29">
        <f t="shared" ref="K102:N102" ca="1" si="31">SUM(K97:K101)</f>
        <v>-637511.71200000006</v>
      </c>
      <c r="L102" s="29">
        <f t="shared" ca="1" si="31"/>
        <v>-81503.222933333294</v>
      </c>
      <c r="M102" s="29">
        <f t="shared" ca="1" si="31"/>
        <v>-321738.16561333346</v>
      </c>
      <c r="N102" s="29">
        <f t="shared" ca="1" si="31"/>
        <v>-295656.53043907956</v>
      </c>
    </row>
    <row r="103" spans="4:14" ht="14" thickBot="1" x14ac:dyDescent="0.3"/>
    <row r="104" spans="4:14" ht="14.5" thickBot="1" x14ac:dyDescent="0.35">
      <c r="D104" s="21" t="s">
        <v>189</v>
      </c>
      <c r="J104" s="29">
        <f ca="1">J90+J94+J102</f>
        <v>913644.93333333323</v>
      </c>
      <c r="K104" s="29">
        <f t="shared" ref="K104:N104" ca="1" si="32">K90+K94+K102</f>
        <v>-502656.20158333355</v>
      </c>
      <c r="L104" s="29">
        <f t="shared" ca="1" si="32"/>
        <v>1122664.6429264173</v>
      </c>
      <c r="M104" s="29">
        <f t="shared" ca="1" si="32"/>
        <v>543720.55645173881</v>
      </c>
      <c r="N104" s="29">
        <f t="shared" ca="1" si="32"/>
        <v>1685668.411354705</v>
      </c>
    </row>
    <row r="105" spans="4:14" ht="14" x14ac:dyDescent="0.3">
      <c r="D105" s="21" t="s">
        <v>190</v>
      </c>
      <c r="J105" s="29">
        <f>I106</f>
        <v>0</v>
      </c>
      <c r="K105" s="29">
        <f t="shared" ref="K105:N105" ca="1" si="33">J106</f>
        <v>913644.93333333323</v>
      </c>
      <c r="L105" s="29">
        <f t="shared" ca="1" si="33"/>
        <v>410988.73174999969</v>
      </c>
      <c r="M105" s="29">
        <f t="shared" ca="1" si="33"/>
        <v>1533653.3746764171</v>
      </c>
      <c r="N105" s="29">
        <f t="shared" ca="1" si="33"/>
        <v>2077373.9311281559</v>
      </c>
    </row>
    <row r="106" spans="4:14" ht="14.5" thickBot="1" x14ac:dyDescent="0.35">
      <c r="D106" s="21" t="s">
        <v>191</v>
      </c>
      <c r="J106" s="28">
        <f ca="1">SUM(J104:J105)</f>
        <v>913644.93333333323</v>
      </c>
      <c r="K106" s="28">
        <f t="shared" ref="K106:N106" ca="1" si="34">SUM(K104:K105)</f>
        <v>410988.73174999969</v>
      </c>
      <c r="L106" s="28">
        <f t="shared" ca="1" si="34"/>
        <v>1533653.3746764171</v>
      </c>
      <c r="M106" s="28">
        <f t="shared" ca="1" si="34"/>
        <v>2077373.9311281559</v>
      </c>
      <c r="N106" s="28">
        <f t="shared" ca="1" si="34"/>
        <v>3763042.3424828611</v>
      </c>
    </row>
    <row r="107" spans="4:14" ht="14" thickTop="1" x14ac:dyDescent="0.25"/>
  </sheetData>
  <hyperlinks>
    <hyperlink ref="M1" location="'Cover Page'!A1" display="MENU" xr:uid="{86FCD80B-B1D1-4795-8BE1-A2D6E8A96C72}"/>
  </hyperlink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Drop Down 1">
              <controlPr defaultSize="0" autoLine="0" autoPict="0">
                <anchor moveWithCells="1">
                  <from>
                    <xdr:col>4</xdr:col>
                    <xdr:colOff>1758950</xdr:colOff>
                    <xdr:row>3</xdr:row>
                    <xdr:rowOff>63500</xdr:rowOff>
                  </from>
                  <to>
                    <xdr:col>4</xdr:col>
                    <xdr:colOff>3092450</xdr:colOff>
                    <xdr:row>4</xdr:row>
                    <xdr:rowOff>171450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2580C-BBDA-4F0C-8F51-82032F06D988}">
  <sheetPr>
    <tabColor theme="7" tint="-0.249977111117893"/>
  </sheetPr>
  <dimension ref="A1:N22"/>
  <sheetViews>
    <sheetView zoomScale="88" zoomScaleNormal="88" workbookViewId="0">
      <selection activeCell="M1" sqref="M1"/>
    </sheetView>
  </sheetViews>
  <sheetFormatPr defaultRowHeight="13.5" x14ac:dyDescent="0.25"/>
  <cols>
    <col min="1" max="4" width="2.5" customWidth="1"/>
    <col min="5" max="5" width="38.4140625" customWidth="1"/>
    <col min="6" max="8" width="2.75" customWidth="1"/>
    <col min="9" max="9" width="5.6640625" bestFit="1" customWidth="1"/>
    <col min="10" max="10" width="10.75" style="27" bestFit="1" customWidth="1"/>
    <col min="11" max="11" width="9.58203125" style="27" bestFit="1" customWidth="1"/>
    <col min="12" max="13" width="10.4140625" style="27" bestFit="1" customWidth="1"/>
    <col min="14" max="14" width="11.4140625" style="27" bestFit="1" customWidth="1"/>
    <col min="15" max="16384" width="8.6640625" style="27"/>
  </cols>
  <sheetData>
    <row r="1" spans="1:14" s="8" customFormat="1" ht="14" x14ac:dyDescent="0.3">
      <c r="A1" s="8" t="s">
        <v>0</v>
      </c>
      <c r="M1" s="63" t="s">
        <v>267</v>
      </c>
    </row>
    <row r="2" spans="1:14" s="8" customFormat="1" ht="14" x14ac:dyDescent="0.3">
      <c r="A2" s="8" t="s">
        <v>1</v>
      </c>
    </row>
    <row r="3" spans="1:14" s="8" customFormat="1" ht="14" x14ac:dyDescent="0.3">
      <c r="A3" s="8" t="s">
        <v>7</v>
      </c>
    </row>
    <row r="4" spans="1:14" s="8" customFormat="1" ht="14" x14ac:dyDescent="0.3">
      <c r="J4" s="45">
        <v>1</v>
      </c>
      <c r="K4" s="45">
        <f>J4+1</f>
        <v>2</v>
      </c>
      <c r="L4" s="45">
        <f t="shared" ref="L4:N4" si="0">K4+1</f>
        <v>3</v>
      </c>
      <c r="M4" s="45">
        <f t="shared" si="0"/>
        <v>4</v>
      </c>
      <c r="N4" s="45">
        <f t="shared" si="0"/>
        <v>5</v>
      </c>
    </row>
    <row r="5" spans="1:14" s="8" customFormat="1" ht="14" x14ac:dyDescent="0.3">
      <c r="A5" s="8" t="s">
        <v>3</v>
      </c>
      <c r="J5" s="8">
        <v>2024</v>
      </c>
      <c r="K5" s="8">
        <f>J5+1</f>
        <v>2025</v>
      </c>
      <c r="L5" s="8">
        <f t="shared" ref="L5:N5" si="1">K5+1</f>
        <v>2026</v>
      </c>
      <c r="M5" s="8">
        <f t="shared" si="1"/>
        <v>2027</v>
      </c>
      <c r="N5" s="8">
        <f t="shared" si="1"/>
        <v>2028</v>
      </c>
    </row>
    <row r="6" spans="1:14" customFormat="1" x14ac:dyDescent="0.25"/>
    <row r="7" spans="1:14" s="4" customFormat="1" ht="14" x14ac:dyDescent="0.3">
      <c r="A7" s="6" t="s">
        <v>8</v>
      </c>
      <c r="B7" s="5" t="s">
        <v>196</v>
      </c>
    </row>
    <row r="8" spans="1:14" customFormat="1" x14ac:dyDescent="0.25">
      <c r="E8" t="s">
        <v>197</v>
      </c>
      <c r="J8" s="44">
        <f ca="1">'Financial Statements'!J90</f>
        <v>135398.13333333319</v>
      </c>
      <c r="K8" s="44">
        <f ca="1">'Financial Statements'!K90</f>
        <v>364235.51041666651</v>
      </c>
      <c r="L8" s="44">
        <f ca="1">'Financial Statements'!L90</f>
        <v>1335705.8268597506</v>
      </c>
      <c r="M8" s="44">
        <f ca="1">'Financial Statements'!M90</f>
        <v>1735187.7201970725</v>
      </c>
      <c r="N8" s="44">
        <f ca="1">'Financial Statements'!N90</f>
        <v>2152271.6759093846</v>
      </c>
    </row>
    <row r="9" spans="1:14" x14ac:dyDescent="0.25">
      <c r="E9" t="s">
        <v>198</v>
      </c>
      <c r="J9" s="27">
        <f>-'Financial Statements'!J21</f>
        <v>111844.16000000002</v>
      </c>
      <c r="K9" s="27">
        <f>-'Financial Statements'!K21</f>
        <v>106251.952</v>
      </c>
      <c r="L9" s="27">
        <f>-'Financial Statements'!L21</f>
        <v>0</v>
      </c>
      <c r="M9" s="27">
        <f>-'Financial Statements'!M21</f>
        <v>0</v>
      </c>
      <c r="N9" s="27">
        <f>-'Financial Statements'!N21</f>
        <v>0</v>
      </c>
    </row>
    <row r="10" spans="1:14" ht="14" thickBot="1" x14ac:dyDescent="0.3">
      <c r="E10" t="s">
        <v>199</v>
      </c>
      <c r="J10" s="27">
        <f>-Assumptions!$J$17*J9</f>
        <v>-32994.027200000004</v>
      </c>
      <c r="K10" s="27">
        <f>-Assumptions!$J$17*K9</f>
        <v>-31344.325840000001</v>
      </c>
      <c r="L10" s="27">
        <f>-Assumptions!$J$17*L9</f>
        <v>0</v>
      </c>
      <c r="M10" s="27">
        <f>-Assumptions!$J$17*M9</f>
        <v>0</v>
      </c>
      <c r="N10" s="27">
        <f>-Assumptions!$J$17*N9</f>
        <v>0</v>
      </c>
    </row>
    <row r="11" spans="1:14" ht="14" x14ac:dyDescent="0.3">
      <c r="J11" s="29">
        <f ca="1">SUM(J8:J10)</f>
        <v>214248.26613333321</v>
      </c>
      <c r="K11" s="29">
        <f t="shared" ref="K11:N11" ca="1" si="2">SUM(K8:K10)</f>
        <v>439143.1365766665</v>
      </c>
      <c r="L11" s="29">
        <f t="shared" ca="1" si="2"/>
        <v>1335705.8268597506</v>
      </c>
      <c r="M11" s="29">
        <f t="shared" ca="1" si="2"/>
        <v>1735187.7201970725</v>
      </c>
      <c r="N11" s="29">
        <f t="shared" ca="1" si="2"/>
        <v>2152271.6759093846</v>
      </c>
    </row>
    <row r="12" spans="1:14" ht="14" thickBot="1" x14ac:dyDescent="0.3">
      <c r="E12" t="s">
        <v>5</v>
      </c>
      <c r="J12" s="27">
        <f>'Financial Statements'!J93</f>
        <v>-480000</v>
      </c>
      <c r="K12" s="27">
        <f>'Financial Statements'!K93</f>
        <v>-229380</v>
      </c>
      <c r="L12" s="27">
        <f>'Financial Statements'!L93</f>
        <v>-131537.96100000001</v>
      </c>
      <c r="M12" s="27">
        <f>'Financial Statements'!M93</f>
        <v>-869728.99813200021</v>
      </c>
      <c r="N12" s="27">
        <f>'Financial Statements'!N93</f>
        <v>-170946.73411560006</v>
      </c>
    </row>
    <row r="13" spans="1:14" ht="14" x14ac:dyDescent="0.3">
      <c r="E13" s="21" t="s">
        <v>200</v>
      </c>
      <c r="J13" s="29">
        <f ca="1">SUM(J11:J12)</f>
        <v>-265751.73386666679</v>
      </c>
      <c r="K13" s="29">
        <f t="shared" ref="K13:N13" ca="1" si="3">SUM(K11:K12)</f>
        <v>209763.1365766665</v>
      </c>
      <c r="L13" s="29">
        <f t="shared" ca="1" si="3"/>
        <v>1204167.8658597507</v>
      </c>
      <c r="M13" s="29">
        <f t="shared" ca="1" si="3"/>
        <v>865458.72206507227</v>
      </c>
      <c r="N13" s="29">
        <f t="shared" ca="1" si="3"/>
        <v>1981324.9417937845</v>
      </c>
    </row>
    <row r="14" spans="1:14" ht="14" x14ac:dyDescent="0.3">
      <c r="E14" s="21" t="s">
        <v>201</v>
      </c>
      <c r="I14" s="47"/>
      <c r="J14" s="27">
        <f ca="1">J13*J21</f>
        <v>-225902.52793834306</v>
      </c>
      <c r="K14" s="27">
        <f t="shared" ref="K14:N14" ca="1" si="4">K13*K21</f>
        <v>151572.05427749542</v>
      </c>
      <c r="L14" s="27">
        <f t="shared" ca="1" si="4"/>
        <v>739642.71832243551</v>
      </c>
      <c r="M14" s="27">
        <f t="shared" ca="1" si="4"/>
        <v>451883.30426771578</v>
      </c>
      <c r="N14" s="27">
        <f t="shared" ca="1" si="4"/>
        <v>879388.1872627585</v>
      </c>
    </row>
    <row r="15" spans="1:14" ht="14" x14ac:dyDescent="0.3">
      <c r="E15" s="21" t="s">
        <v>211</v>
      </c>
      <c r="I15" s="37"/>
      <c r="N15" s="27">
        <f ca="1">(N14*(1+I22))/(I20-I22)</f>
        <v>8843471.4320596959</v>
      </c>
    </row>
    <row r="16" spans="1:14" x14ac:dyDescent="0.25">
      <c r="I16" s="37"/>
    </row>
    <row r="17" spans="5:14" ht="14.5" thickBot="1" x14ac:dyDescent="0.35">
      <c r="E17" s="21" t="s">
        <v>214</v>
      </c>
      <c r="J17" s="28">
        <f ca="1">SUM(J14:N14,N15)</f>
        <v>10840055.168251758</v>
      </c>
    </row>
    <row r="18" spans="5:14" ht="14" thickTop="1" x14ac:dyDescent="0.25"/>
    <row r="20" spans="5:14" ht="14" x14ac:dyDescent="0.3">
      <c r="E20" s="21" t="s">
        <v>208</v>
      </c>
      <c r="I20" s="37">
        <f>Workings!J146</f>
        <v>0.1764</v>
      </c>
    </row>
    <row r="21" spans="5:14" x14ac:dyDescent="0.25">
      <c r="E21" t="s">
        <v>210</v>
      </c>
      <c r="J21" s="46">
        <f>(1+$I$20)^-J4</f>
        <v>0.85005100306018355</v>
      </c>
      <c r="K21" s="46">
        <f t="shared" ref="K21:N21" si="5">(1+$I$20)^-K4</f>
        <v>0.72258670780362411</v>
      </c>
      <c r="L21" s="46">
        <f t="shared" si="5"/>
        <v>0.61423555576642641</v>
      </c>
      <c r="M21" s="46">
        <f t="shared" si="5"/>
        <v>0.52213155029448011</v>
      </c>
      <c r="N21" s="46">
        <f t="shared" si="5"/>
        <v>0.44383844805719147</v>
      </c>
    </row>
    <row r="22" spans="5:14" x14ac:dyDescent="0.25">
      <c r="E22" t="s">
        <v>213</v>
      </c>
      <c r="I22" s="43">
        <f>Assumptions!J18</f>
        <v>7.0000000000000007E-2</v>
      </c>
    </row>
  </sheetData>
  <hyperlinks>
    <hyperlink ref="M1" location="'Cover Page'!A1" display="MENU" xr:uid="{1CAE8310-108F-4188-AF25-B1A96EFAC803}"/>
  </hyperlink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69" r:id="rId3" name="Drop Down 1">
              <controlPr defaultSize="0" autoLine="0" autoPict="0">
                <anchor moveWithCells="1">
                  <from>
                    <xdr:col>4</xdr:col>
                    <xdr:colOff>2317750</xdr:colOff>
                    <xdr:row>3</xdr:row>
                    <xdr:rowOff>88900</xdr:rowOff>
                  </from>
                  <to>
                    <xdr:col>8</xdr:col>
                    <xdr:colOff>44450</xdr:colOff>
                    <xdr:row>4</xdr:row>
                    <xdr:rowOff>152400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746AE-2718-4F2C-841A-869AF321D06E}">
  <sheetPr>
    <tabColor theme="5" tint="0.59999389629810485"/>
  </sheetPr>
  <dimension ref="A1:R137"/>
  <sheetViews>
    <sheetView topLeftCell="A24" zoomScale="66" zoomScaleNormal="81" workbookViewId="0">
      <selection activeCell="I83" sqref="I83"/>
    </sheetView>
  </sheetViews>
  <sheetFormatPr defaultRowHeight="13.5" x14ac:dyDescent="0.25"/>
  <cols>
    <col min="1" max="4" width="3.58203125" customWidth="1"/>
    <col min="5" max="5" width="32.83203125" bestFit="1" customWidth="1"/>
    <col min="7" max="7" width="11.75" customWidth="1"/>
    <col min="8" max="8" width="8.6640625" customWidth="1"/>
    <col min="9" max="9" width="10.5" bestFit="1" customWidth="1"/>
    <col min="10" max="14" width="13" customWidth="1"/>
  </cols>
  <sheetData>
    <row r="1" spans="1:14" s="3" customFormat="1" ht="14" x14ac:dyDescent="0.3">
      <c r="A1" s="3" t="s">
        <v>0</v>
      </c>
      <c r="M1" s="63" t="s">
        <v>267</v>
      </c>
    </row>
    <row r="2" spans="1:14" s="3" customFormat="1" ht="14" x14ac:dyDescent="0.3">
      <c r="A2" s="3" t="s">
        <v>1</v>
      </c>
    </row>
    <row r="3" spans="1:14" s="3" customFormat="1" ht="14" x14ac:dyDescent="0.3">
      <c r="A3" s="3" t="s">
        <v>2</v>
      </c>
    </row>
    <row r="4" spans="1:14" s="3" customFormat="1" ht="14" x14ac:dyDescent="0.3"/>
    <row r="5" spans="1:14" s="3" customFormat="1" ht="14" x14ac:dyDescent="0.3">
      <c r="A5" s="3" t="s">
        <v>3</v>
      </c>
      <c r="G5" s="3">
        <v>2</v>
      </c>
      <c r="J5" s="3">
        <v>2024</v>
      </c>
      <c r="K5" s="3">
        <f>J5+1</f>
        <v>2025</v>
      </c>
      <c r="L5" s="3">
        <f>K5+1</f>
        <v>2026</v>
      </c>
      <c r="M5" s="3">
        <f>L5+1</f>
        <v>2027</v>
      </c>
      <c r="N5" s="3">
        <f>M5+1</f>
        <v>2028</v>
      </c>
    </row>
    <row r="6" spans="1:14" x14ac:dyDescent="0.25">
      <c r="F6" s="7" t="s">
        <v>9</v>
      </c>
      <c r="G6" s="7" t="s">
        <v>10</v>
      </c>
      <c r="H6" s="7"/>
    </row>
    <row r="7" spans="1:14" s="4" customFormat="1" ht="14" x14ac:dyDescent="0.3">
      <c r="A7" s="6" t="s">
        <v>8</v>
      </c>
      <c r="B7" s="5" t="s">
        <v>11</v>
      </c>
    </row>
    <row r="9" spans="1:14" x14ac:dyDescent="0.25">
      <c r="E9" t="s">
        <v>12</v>
      </c>
      <c r="J9" s="10">
        <v>3</v>
      </c>
      <c r="K9" s="10">
        <v>5</v>
      </c>
      <c r="L9" s="10">
        <v>5</v>
      </c>
      <c r="M9" s="10">
        <v>5</v>
      </c>
      <c r="N9" s="10">
        <v>5</v>
      </c>
    </row>
    <row r="10" spans="1:14" x14ac:dyDescent="0.25">
      <c r="E10" t="s">
        <v>13</v>
      </c>
      <c r="J10" s="10">
        <v>4</v>
      </c>
      <c r="K10" s="10">
        <v>4</v>
      </c>
      <c r="L10" s="10">
        <v>4</v>
      </c>
      <c r="M10" s="10">
        <v>4</v>
      </c>
      <c r="N10" s="10">
        <v>4</v>
      </c>
    </row>
    <row r="11" spans="1:14" x14ac:dyDescent="0.25">
      <c r="E11" t="s">
        <v>14</v>
      </c>
      <c r="F11" s="55"/>
      <c r="I11" s="10">
        <v>12</v>
      </c>
      <c r="J11" s="10">
        <v>12</v>
      </c>
      <c r="K11" s="10">
        <v>12</v>
      </c>
      <c r="L11" s="10">
        <v>12</v>
      </c>
      <c r="M11" s="10">
        <v>12</v>
      </c>
      <c r="N11" s="10">
        <v>12</v>
      </c>
    </row>
    <row r="12" spans="1:14" ht="14.5" x14ac:dyDescent="0.35">
      <c r="E12" t="s">
        <v>15</v>
      </c>
      <c r="H12" s="56"/>
      <c r="I12" s="10">
        <v>4</v>
      </c>
      <c r="J12" s="9">
        <f>$J$11/$I$11*$I$12</f>
        <v>4</v>
      </c>
      <c r="K12" s="9">
        <f>$J$11/$I$11*$I$12</f>
        <v>4</v>
      </c>
      <c r="L12" s="9">
        <f>$J$11/$I$11*$I$12</f>
        <v>4</v>
      </c>
      <c r="M12" s="9">
        <f>$J$11/$I$11*$I$12</f>
        <v>4</v>
      </c>
      <c r="N12" s="9">
        <f>$J$11/$I$11*$I$12</f>
        <v>4</v>
      </c>
    </row>
    <row r="13" spans="1:14" x14ac:dyDescent="0.25">
      <c r="E13" t="s">
        <v>16</v>
      </c>
      <c r="G13" s="7" t="s">
        <v>20</v>
      </c>
      <c r="J13" s="11">
        <v>0.158</v>
      </c>
      <c r="K13" s="11">
        <v>0.1469</v>
      </c>
      <c r="L13" s="11">
        <v>0.1469</v>
      </c>
      <c r="M13" s="11">
        <v>0.14000000000000001</v>
      </c>
      <c r="N13" s="11">
        <v>0.14000000000000001</v>
      </c>
    </row>
    <row r="14" spans="1:14" x14ac:dyDescent="0.25">
      <c r="E14" t="s">
        <v>17</v>
      </c>
      <c r="J14" s="11">
        <v>0.15</v>
      </c>
    </row>
    <row r="15" spans="1:14" x14ac:dyDescent="0.25">
      <c r="E15" t="s">
        <v>18</v>
      </c>
      <c r="J15" s="11">
        <v>0.1</v>
      </c>
    </row>
    <row r="16" spans="1:14" x14ac:dyDescent="0.25">
      <c r="E16" t="s">
        <v>19</v>
      </c>
      <c r="J16" s="11">
        <v>0.25</v>
      </c>
    </row>
    <row r="17" spans="1:17" x14ac:dyDescent="0.25">
      <c r="E17" t="s">
        <v>148</v>
      </c>
      <c r="J17" s="11">
        <v>0.29499999999999998</v>
      </c>
    </row>
    <row r="18" spans="1:17" x14ac:dyDescent="0.25">
      <c r="E18" s="42" t="s">
        <v>212</v>
      </c>
      <c r="G18" s="7" t="s">
        <v>268</v>
      </c>
      <c r="J18" s="11">
        <v>7.0000000000000007E-2</v>
      </c>
    </row>
    <row r="19" spans="1:17" x14ac:dyDescent="0.25">
      <c r="J19" s="43"/>
    </row>
    <row r="20" spans="1:17" x14ac:dyDescent="0.25">
      <c r="E20" t="s">
        <v>192</v>
      </c>
      <c r="J20" s="43"/>
    </row>
    <row r="21" spans="1:17" x14ac:dyDescent="0.25">
      <c r="E21" s="41" t="s">
        <v>194</v>
      </c>
      <c r="I21" s="23">
        <f>I22+H22</f>
        <v>1.2</v>
      </c>
      <c r="J21" s="43"/>
    </row>
    <row r="22" spans="1:17" x14ac:dyDescent="0.25">
      <c r="E22" s="41" t="s">
        <v>193</v>
      </c>
      <c r="H22" s="11">
        <v>0.2</v>
      </c>
      <c r="I22" s="11">
        <v>1</v>
      </c>
      <c r="J22" s="43"/>
    </row>
    <row r="23" spans="1:17" x14ac:dyDescent="0.25">
      <c r="E23" s="41" t="s">
        <v>195</v>
      </c>
      <c r="I23" s="23">
        <f>I22-H22</f>
        <v>0.8</v>
      </c>
    </row>
    <row r="24" spans="1:17" x14ac:dyDescent="0.25">
      <c r="E24" s="41"/>
      <c r="I24" s="43"/>
    </row>
    <row r="25" spans="1:17" x14ac:dyDescent="0.25">
      <c r="E25" s="41"/>
    </row>
    <row r="26" spans="1:17" s="4" customFormat="1" ht="14" x14ac:dyDescent="0.3">
      <c r="A26" s="6" t="s">
        <v>8</v>
      </c>
      <c r="B26" s="5" t="s">
        <v>21</v>
      </c>
    </row>
    <row r="27" spans="1:17" x14ac:dyDescent="0.25">
      <c r="J27" s="37"/>
      <c r="K27" s="37"/>
      <c r="L27" s="37"/>
      <c r="M27" s="37"/>
    </row>
    <row r="28" spans="1:17" x14ac:dyDescent="0.25">
      <c r="D28" t="s">
        <v>22</v>
      </c>
    </row>
    <row r="29" spans="1:17" x14ac:dyDescent="0.25">
      <c r="E29" t="s">
        <v>23</v>
      </c>
      <c r="F29" s="7" t="s">
        <v>31</v>
      </c>
      <c r="J29" s="10">
        <v>12</v>
      </c>
      <c r="K29" s="10">
        <v>12</v>
      </c>
      <c r="L29" s="10">
        <v>12</v>
      </c>
      <c r="M29" s="10">
        <v>12</v>
      </c>
      <c r="N29" s="10">
        <v>12</v>
      </c>
    </row>
    <row r="30" spans="1:17" x14ac:dyDescent="0.25">
      <c r="E30" t="s">
        <v>24</v>
      </c>
      <c r="F30" s="7" t="s">
        <v>30</v>
      </c>
      <c r="J30" s="10">
        <v>1.5</v>
      </c>
      <c r="K30" s="10">
        <v>2</v>
      </c>
      <c r="L30" s="10">
        <v>4</v>
      </c>
      <c r="M30" s="10">
        <v>4</v>
      </c>
      <c r="N30" s="10">
        <v>6</v>
      </c>
    </row>
    <row r="31" spans="1:17" x14ac:dyDescent="0.25">
      <c r="E31" t="s">
        <v>25</v>
      </c>
      <c r="F31" s="7" t="s">
        <v>3</v>
      </c>
      <c r="J31" s="12">
        <v>950</v>
      </c>
      <c r="K31" s="12">
        <v>1000</v>
      </c>
      <c r="L31" s="12">
        <v>1000</v>
      </c>
      <c r="M31" s="12">
        <v>1200</v>
      </c>
      <c r="N31" s="12">
        <v>1200</v>
      </c>
      <c r="Q31" s="18"/>
    </row>
    <row r="32" spans="1:17" x14ac:dyDescent="0.25">
      <c r="F32" s="7"/>
      <c r="K32" s="37"/>
      <c r="L32" s="37"/>
      <c r="M32" s="37"/>
      <c r="N32" s="37"/>
    </row>
    <row r="33" spans="1:18" x14ac:dyDescent="0.25">
      <c r="D33" t="s">
        <v>26</v>
      </c>
      <c r="F33" s="7"/>
    </row>
    <row r="34" spans="1:18" x14ac:dyDescent="0.25">
      <c r="E34" t="s">
        <v>28</v>
      </c>
      <c r="F34" s="7" t="s">
        <v>32</v>
      </c>
      <c r="J34" s="10">
        <v>2</v>
      </c>
      <c r="K34" s="10">
        <v>5</v>
      </c>
      <c r="L34" s="10">
        <v>5</v>
      </c>
      <c r="M34" s="10">
        <v>7</v>
      </c>
      <c r="N34" s="10">
        <v>7</v>
      </c>
    </row>
    <row r="35" spans="1:18" x14ac:dyDescent="0.25">
      <c r="E35" t="s">
        <v>27</v>
      </c>
      <c r="F35" s="7" t="s">
        <v>30</v>
      </c>
      <c r="J35" s="12">
        <v>1500</v>
      </c>
      <c r="K35" s="12">
        <v>1500</v>
      </c>
      <c r="L35" s="12">
        <v>1700</v>
      </c>
      <c r="M35" s="12">
        <v>1700</v>
      </c>
      <c r="N35" s="12">
        <v>1900</v>
      </c>
    </row>
    <row r="36" spans="1:18" x14ac:dyDescent="0.25">
      <c r="F36" s="7"/>
      <c r="K36" s="37"/>
      <c r="L36" s="37"/>
      <c r="M36" s="37"/>
      <c r="N36" s="37"/>
    </row>
    <row r="37" spans="1:18" x14ac:dyDescent="0.25">
      <c r="D37" t="s">
        <v>29</v>
      </c>
      <c r="F37" s="7"/>
    </row>
    <row r="38" spans="1:18" x14ac:dyDescent="0.25">
      <c r="E38" t="s">
        <v>28</v>
      </c>
      <c r="F38" s="7" t="s">
        <v>32</v>
      </c>
      <c r="J38" s="10">
        <v>3</v>
      </c>
      <c r="K38" s="10">
        <v>3</v>
      </c>
      <c r="L38" s="10">
        <v>5</v>
      </c>
      <c r="M38" s="10">
        <v>5</v>
      </c>
      <c r="N38" s="10">
        <v>7</v>
      </c>
    </row>
    <row r="39" spans="1:18" x14ac:dyDescent="0.25">
      <c r="E39" t="s">
        <v>27</v>
      </c>
      <c r="F39" s="7" t="s">
        <v>30</v>
      </c>
      <c r="J39" s="12">
        <v>2000</v>
      </c>
      <c r="K39" s="12">
        <v>2000</v>
      </c>
      <c r="L39" s="12">
        <v>2300</v>
      </c>
      <c r="M39" s="12">
        <v>2300</v>
      </c>
      <c r="N39" s="12">
        <v>2500</v>
      </c>
    </row>
    <row r="40" spans="1:18" x14ac:dyDescent="0.25">
      <c r="K40" s="37"/>
      <c r="L40" s="37"/>
      <c r="M40" s="37"/>
      <c r="N40" s="37"/>
    </row>
    <row r="42" spans="1:18" s="4" customFormat="1" ht="14" x14ac:dyDescent="0.3">
      <c r="A42" s="6" t="s">
        <v>8</v>
      </c>
      <c r="B42" s="5" t="s">
        <v>33</v>
      </c>
    </row>
    <row r="44" spans="1:18" x14ac:dyDescent="0.25">
      <c r="D44" t="s">
        <v>42</v>
      </c>
    </row>
    <row r="45" spans="1:18" x14ac:dyDescent="0.25">
      <c r="E45" t="s">
        <v>59</v>
      </c>
      <c r="F45" s="7" t="s">
        <v>58</v>
      </c>
      <c r="J45" s="10">
        <v>80</v>
      </c>
      <c r="K45" s="10">
        <v>220</v>
      </c>
      <c r="L45" s="10">
        <v>340</v>
      </c>
      <c r="M45" s="10">
        <v>380</v>
      </c>
      <c r="N45" s="10">
        <v>500</v>
      </c>
      <c r="P45" s="17"/>
    </row>
    <row r="46" spans="1:18" x14ac:dyDescent="0.25">
      <c r="E46" t="s">
        <v>60</v>
      </c>
      <c r="F46" s="7" t="s">
        <v>3</v>
      </c>
      <c r="I46" s="17"/>
      <c r="J46" s="12">
        <v>1700</v>
      </c>
      <c r="K46" s="14">
        <f>J46*(1+K$13)</f>
        <v>1949.73</v>
      </c>
      <c r="L46" s="14">
        <f>K46*(1+L$13)</f>
        <v>2236.1453369999999</v>
      </c>
      <c r="M46" s="14">
        <f>L46*(1+M$13)</f>
        <v>2549.2056841800004</v>
      </c>
      <c r="N46" s="14">
        <f>M46*(1+N$13)</f>
        <v>2906.0944799652007</v>
      </c>
      <c r="P46" s="19"/>
    </row>
    <row r="47" spans="1:18" x14ac:dyDescent="0.25">
      <c r="R47" s="16"/>
    </row>
    <row r="48" spans="1:18" x14ac:dyDescent="0.25">
      <c r="D48" t="s">
        <v>43</v>
      </c>
    </row>
    <row r="49" spans="4:17" x14ac:dyDescent="0.25">
      <c r="E49" t="s">
        <v>59</v>
      </c>
      <c r="F49" s="7" t="s">
        <v>58</v>
      </c>
      <c r="J49" s="10">
        <v>50</v>
      </c>
      <c r="K49" s="10">
        <v>95</v>
      </c>
      <c r="L49" s="10">
        <v>170</v>
      </c>
      <c r="M49" s="10">
        <v>170</v>
      </c>
      <c r="N49" s="10">
        <v>230</v>
      </c>
    </row>
    <row r="50" spans="4:17" x14ac:dyDescent="0.25">
      <c r="E50" t="s">
        <v>60</v>
      </c>
      <c r="F50" s="7" t="s">
        <v>3</v>
      </c>
      <c r="J50" s="12">
        <v>2900</v>
      </c>
      <c r="K50" s="14">
        <f>J50*(1+K$13)</f>
        <v>3326.01</v>
      </c>
      <c r="L50" s="14">
        <f>K50*(1+L$13)</f>
        <v>3814.6008690000003</v>
      </c>
      <c r="M50" s="14">
        <f>L50*(1+M$13)</f>
        <v>4348.644990660001</v>
      </c>
      <c r="N50" s="14">
        <f>M50*(1+N$13)</f>
        <v>4957.4552893524015</v>
      </c>
    </row>
    <row r="51" spans="4:17" x14ac:dyDescent="0.25">
      <c r="H51" s="37"/>
    </row>
    <row r="52" spans="4:17" x14ac:dyDescent="0.25">
      <c r="D52" t="s">
        <v>44</v>
      </c>
      <c r="F52" t="s">
        <v>36</v>
      </c>
      <c r="Q52" s="15"/>
    </row>
    <row r="53" spans="4:17" x14ac:dyDescent="0.25">
      <c r="J53" s="11">
        <v>7.0000000000000007E-2</v>
      </c>
      <c r="K53" s="11">
        <v>7.0000000000000007E-2</v>
      </c>
      <c r="L53" s="11">
        <v>7.0000000000000007E-2</v>
      </c>
      <c r="M53" s="11">
        <v>7.0000000000000007E-2</v>
      </c>
      <c r="N53" s="11">
        <v>7.0000000000000007E-2</v>
      </c>
    </row>
    <row r="54" spans="4:17" x14ac:dyDescent="0.25">
      <c r="D54" t="s">
        <v>269</v>
      </c>
      <c r="F54" s="20" t="s">
        <v>36</v>
      </c>
      <c r="G54" s="7"/>
      <c r="J54" s="11">
        <v>0.05</v>
      </c>
      <c r="K54" s="11">
        <v>0.05</v>
      </c>
      <c r="L54" s="11">
        <v>0.05</v>
      </c>
      <c r="M54" s="11">
        <v>0.05</v>
      </c>
      <c r="N54" s="11">
        <v>0.05</v>
      </c>
    </row>
    <row r="55" spans="4:17" x14ac:dyDescent="0.25">
      <c r="F55" s="7"/>
      <c r="J55" s="18"/>
      <c r="K55" s="18"/>
      <c r="L55" s="18"/>
      <c r="M55" s="18"/>
      <c r="N55" s="18"/>
    </row>
    <row r="56" spans="4:17" x14ac:dyDescent="0.25">
      <c r="D56" t="s">
        <v>64</v>
      </c>
      <c r="F56" s="7"/>
    </row>
    <row r="57" spans="4:17" x14ac:dyDescent="0.25">
      <c r="E57" t="s">
        <v>23</v>
      </c>
      <c r="F57" s="7" t="s">
        <v>31</v>
      </c>
      <c r="I57" s="17"/>
      <c r="J57" s="10">
        <v>100</v>
      </c>
      <c r="K57" s="10">
        <v>100</v>
      </c>
      <c r="L57" s="10">
        <v>100</v>
      </c>
      <c r="M57" s="10">
        <v>100</v>
      </c>
      <c r="N57" s="10">
        <v>100</v>
      </c>
    </row>
    <row r="58" spans="4:17" x14ac:dyDescent="0.25">
      <c r="E58" t="s">
        <v>62</v>
      </c>
      <c r="F58" s="7" t="s">
        <v>58</v>
      </c>
      <c r="J58" s="10">
        <v>5</v>
      </c>
      <c r="K58" s="10">
        <v>15</v>
      </c>
      <c r="L58" s="10">
        <v>29</v>
      </c>
      <c r="M58" s="10">
        <v>29</v>
      </c>
      <c r="N58" s="10">
        <v>44</v>
      </c>
    </row>
    <row r="59" spans="4:17" x14ac:dyDescent="0.25">
      <c r="E59" t="s">
        <v>25</v>
      </c>
      <c r="F59" s="7" t="s">
        <v>3</v>
      </c>
      <c r="G59" s="17"/>
      <c r="J59" s="12">
        <v>180</v>
      </c>
      <c r="K59" s="14">
        <f>J59*(1+K$13)</f>
        <v>206.44200000000001</v>
      </c>
      <c r="L59" s="14">
        <f>K59*(1+L$13)</f>
        <v>236.7683298</v>
      </c>
      <c r="M59" s="14">
        <f>L59*(1+M$13)</f>
        <v>269.91589597200004</v>
      </c>
      <c r="N59" s="14">
        <f>M59*(1+N$13)</f>
        <v>307.70412140808008</v>
      </c>
    </row>
    <row r="60" spans="4:17" x14ac:dyDescent="0.25">
      <c r="F60" s="7"/>
    </row>
    <row r="61" spans="4:17" x14ac:dyDescent="0.25">
      <c r="D61" t="s">
        <v>61</v>
      </c>
      <c r="F61" s="7"/>
    </row>
    <row r="62" spans="4:17" x14ac:dyDescent="0.25">
      <c r="E62" t="s">
        <v>23</v>
      </c>
      <c r="F62" s="7" t="s">
        <v>31</v>
      </c>
      <c r="J62" s="10">
        <v>100</v>
      </c>
      <c r="K62" s="10">
        <v>100</v>
      </c>
      <c r="L62" s="10">
        <v>100</v>
      </c>
      <c r="M62" s="10">
        <v>100</v>
      </c>
      <c r="N62" s="10">
        <v>100</v>
      </c>
    </row>
    <row r="63" spans="4:17" x14ac:dyDescent="0.25">
      <c r="E63" t="s">
        <v>62</v>
      </c>
      <c r="F63" s="7" t="s">
        <v>58</v>
      </c>
      <c r="J63" s="10">
        <v>1</v>
      </c>
      <c r="K63" s="10">
        <v>6</v>
      </c>
      <c r="L63" s="10">
        <v>7</v>
      </c>
      <c r="M63" s="10">
        <v>8</v>
      </c>
      <c r="N63" s="10">
        <v>9</v>
      </c>
    </row>
    <row r="64" spans="4:17" x14ac:dyDescent="0.25">
      <c r="E64" t="s">
        <v>63</v>
      </c>
      <c r="F64" s="7" t="s">
        <v>3</v>
      </c>
      <c r="I64" s="17"/>
      <c r="J64" s="12">
        <v>180</v>
      </c>
      <c r="K64" s="14">
        <f>J64*(1+K$13)</f>
        <v>206.44200000000001</v>
      </c>
      <c r="L64" s="14">
        <f>K64*(1+L$13)</f>
        <v>236.7683298</v>
      </c>
      <c r="M64" s="14">
        <f>L64*(1+M$13)</f>
        <v>269.91589597200004</v>
      </c>
      <c r="N64" s="14">
        <f>M64*(1+N$13)</f>
        <v>307.70412140808008</v>
      </c>
    </row>
    <row r="66" spans="1:14" x14ac:dyDescent="0.25">
      <c r="D66" t="s">
        <v>49</v>
      </c>
    </row>
    <row r="67" spans="1:14" x14ac:dyDescent="0.25">
      <c r="E67" t="s">
        <v>120</v>
      </c>
      <c r="F67" s="7" t="s">
        <v>50</v>
      </c>
      <c r="J67" s="10">
        <v>1</v>
      </c>
      <c r="K67" s="10">
        <v>1</v>
      </c>
      <c r="L67" s="10">
        <v>2</v>
      </c>
      <c r="M67" s="10">
        <v>2</v>
      </c>
      <c r="N67" s="10">
        <v>2</v>
      </c>
    </row>
    <row r="68" spans="1:14" x14ac:dyDescent="0.25">
      <c r="E68" t="s">
        <v>51</v>
      </c>
      <c r="F68" s="7" t="s">
        <v>3</v>
      </c>
      <c r="I68" s="17"/>
      <c r="J68" s="12">
        <v>1000</v>
      </c>
      <c r="K68" s="12">
        <v>1000</v>
      </c>
      <c r="L68" s="12">
        <v>1500</v>
      </c>
      <c r="M68" s="12">
        <v>1500</v>
      </c>
      <c r="N68" s="12">
        <v>2000</v>
      </c>
    </row>
    <row r="72" spans="1:14" s="4" customFormat="1" ht="14" x14ac:dyDescent="0.3">
      <c r="A72" s="6" t="s">
        <v>8</v>
      </c>
      <c r="B72" s="5" t="s">
        <v>34</v>
      </c>
    </row>
    <row r="74" spans="1:14" x14ac:dyDescent="0.25">
      <c r="E74" t="s">
        <v>35</v>
      </c>
      <c r="F74" s="7" t="s">
        <v>3</v>
      </c>
      <c r="G74" s="7" t="s">
        <v>38</v>
      </c>
      <c r="J74" s="12">
        <v>20000</v>
      </c>
      <c r="K74" s="14">
        <f t="shared" ref="K74:N76" si="0">J74*(1+K$13)</f>
        <v>22938</v>
      </c>
      <c r="L74" s="14">
        <f t="shared" si="0"/>
        <v>26307.592199999999</v>
      </c>
      <c r="M74" s="14">
        <f t="shared" si="0"/>
        <v>29990.655108000003</v>
      </c>
      <c r="N74" s="14">
        <f t="shared" si="0"/>
        <v>34189.34682312001</v>
      </c>
    </row>
    <row r="75" spans="1:14" x14ac:dyDescent="0.25">
      <c r="E75" t="s">
        <v>37</v>
      </c>
      <c r="F75" s="7" t="s">
        <v>3</v>
      </c>
      <c r="G75" s="7" t="s">
        <v>38</v>
      </c>
      <c r="J75" s="12">
        <v>12000</v>
      </c>
      <c r="K75" s="14">
        <f t="shared" si="0"/>
        <v>13762.800000000001</v>
      </c>
      <c r="L75" s="14">
        <f t="shared" si="0"/>
        <v>15784.555320000001</v>
      </c>
      <c r="M75" s="14">
        <f t="shared" si="0"/>
        <v>17994.393064800002</v>
      </c>
      <c r="N75" s="14">
        <f t="shared" si="0"/>
        <v>20513.608093872004</v>
      </c>
    </row>
    <row r="76" spans="1:14" x14ac:dyDescent="0.25">
      <c r="E76" t="s">
        <v>39</v>
      </c>
      <c r="F76" s="7" t="s">
        <v>3</v>
      </c>
      <c r="G76" s="7" t="s">
        <v>38</v>
      </c>
      <c r="J76" s="12">
        <v>25000</v>
      </c>
      <c r="K76" s="14">
        <f t="shared" si="0"/>
        <v>28672.5</v>
      </c>
      <c r="L76" s="14">
        <f t="shared" si="0"/>
        <v>32884.490250000003</v>
      </c>
      <c r="M76" s="14">
        <f t="shared" si="0"/>
        <v>37488.318885000008</v>
      </c>
      <c r="N76" s="14">
        <f t="shared" si="0"/>
        <v>42736.683528900016</v>
      </c>
    </row>
    <row r="77" spans="1:14" x14ac:dyDescent="0.25">
      <c r="E77" t="s">
        <v>40</v>
      </c>
      <c r="F77" s="7" t="s">
        <v>3</v>
      </c>
      <c r="G77" s="7" t="s">
        <v>41</v>
      </c>
      <c r="J77" s="14"/>
      <c r="K77" s="12">
        <v>400000</v>
      </c>
      <c r="L77" s="12">
        <v>400000</v>
      </c>
      <c r="M77" s="12">
        <v>400000</v>
      </c>
      <c r="N77" s="12">
        <v>400000</v>
      </c>
    </row>
    <row r="78" spans="1:14" x14ac:dyDescent="0.25">
      <c r="E78" t="s">
        <v>100</v>
      </c>
      <c r="F78" t="s">
        <v>36</v>
      </c>
      <c r="G78" s="7"/>
      <c r="J78" s="11">
        <v>0.05</v>
      </c>
      <c r="K78" s="11">
        <v>0.05</v>
      </c>
      <c r="L78" s="11">
        <v>0.05</v>
      </c>
      <c r="M78" s="11">
        <v>0.05</v>
      </c>
      <c r="N78" s="11">
        <v>0.05</v>
      </c>
    </row>
    <row r="81" spans="1:14" s="6" customFormat="1" ht="12.5" x14ac:dyDescent="0.25">
      <c r="A81" s="6" t="s">
        <v>8</v>
      </c>
      <c r="B81" s="6" t="s">
        <v>46</v>
      </c>
    </row>
    <row r="83" spans="1:14" x14ac:dyDescent="0.25">
      <c r="D83" t="s">
        <v>52</v>
      </c>
    </row>
    <row r="84" spans="1:14" x14ac:dyDescent="0.25">
      <c r="E84" t="s">
        <v>47</v>
      </c>
      <c r="F84" s="7" t="s">
        <v>50</v>
      </c>
      <c r="J84" s="10">
        <v>1</v>
      </c>
      <c r="K84" s="10">
        <v>1</v>
      </c>
      <c r="L84" s="10">
        <v>1</v>
      </c>
      <c r="M84" s="10">
        <v>1</v>
      </c>
      <c r="N84" s="10">
        <v>1</v>
      </c>
    </row>
    <row r="85" spans="1:14" x14ac:dyDescent="0.25">
      <c r="E85" t="s">
        <v>48</v>
      </c>
      <c r="F85" s="7" t="s">
        <v>50</v>
      </c>
      <c r="J85" s="10"/>
      <c r="K85" s="10">
        <v>1</v>
      </c>
      <c r="L85" s="10">
        <v>1</v>
      </c>
      <c r="M85" s="10">
        <v>2</v>
      </c>
      <c r="N85" s="10">
        <v>2</v>
      </c>
    </row>
    <row r="87" spans="1:14" x14ac:dyDescent="0.25">
      <c r="D87" t="s">
        <v>53</v>
      </c>
    </row>
    <row r="88" spans="1:14" x14ac:dyDescent="0.25">
      <c r="E88" t="s">
        <v>47</v>
      </c>
      <c r="F88" s="7" t="s">
        <v>3</v>
      </c>
      <c r="J88" s="12">
        <v>25000</v>
      </c>
      <c r="K88" s="12">
        <v>40000</v>
      </c>
      <c r="L88" s="12">
        <v>50000</v>
      </c>
      <c r="M88" s="12">
        <v>65000</v>
      </c>
      <c r="N88" s="12">
        <v>65000</v>
      </c>
    </row>
    <row r="89" spans="1:14" x14ac:dyDescent="0.25">
      <c r="E89" t="s">
        <v>48</v>
      </c>
      <c r="F89" s="7" t="s">
        <v>3</v>
      </c>
      <c r="J89" s="12"/>
      <c r="K89" s="12">
        <v>30000</v>
      </c>
      <c r="L89" s="12">
        <v>30000</v>
      </c>
      <c r="M89" s="12">
        <v>35000</v>
      </c>
      <c r="N89" s="12">
        <v>35000</v>
      </c>
    </row>
    <row r="92" spans="1:14" s="6" customFormat="1" ht="12.5" x14ac:dyDescent="0.25">
      <c r="A92" s="6" t="s">
        <v>8</v>
      </c>
      <c r="B92" s="6" t="s">
        <v>54</v>
      </c>
    </row>
    <row r="94" spans="1:14" x14ac:dyDescent="0.25">
      <c r="C94" s="13" t="s">
        <v>55</v>
      </c>
    </row>
    <row r="95" spans="1:14" ht="14" x14ac:dyDescent="0.3">
      <c r="D95" s="21" t="s">
        <v>101</v>
      </c>
    </row>
    <row r="96" spans="1:14" x14ac:dyDescent="0.25">
      <c r="E96" t="s">
        <v>65</v>
      </c>
      <c r="J96" s="10">
        <v>1</v>
      </c>
      <c r="K96" s="10"/>
      <c r="L96" s="10">
        <v>1</v>
      </c>
      <c r="M96" s="10"/>
      <c r="N96" s="10">
        <v>1</v>
      </c>
    </row>
    <row r="97" spans="3:14" x14ac:dyDescent="0.25">
      <c r="E97" t="s">
        <v>66</v>
      </c>
      <c r="J97" s="12">
        <v>100000</v>
      </c>
      <c r="K97" s="22">
        <f>J97*(1+K$13)</f>
        <v>114690</v>
      </c>
      <c r="L97" s="22">
        <f>K97*(1+L$13)</f>
        <v>131537.96100000001</v>
      </c>
      <c r="M97" s="22">
        <f>L97*(1+M$13)</f>
        <v>149953.27554000003</v>
      </c>
      <c r="N97" s="22">
        <f>M97*(1+N$13)</f>
        <v>170946.73411560006</v>
      </c>
    </row>
    <row r="99" spans="3:14" ht="14" x14ac:dyDescent="0.3">
      <c r="D99" s="21" t="s">
        <v>67</v>
      </c>
    </row>
    <row r="100" spans="3:14" x14ac:dyDescent="0.25">
      <c r="E100" t="s">
        <v>65</v>
      </c>
      <c r="J100" s="10">
        <v>1</v>
      </c>
      <c r="K100" s="10"/>
      <c r="L100" s="10"/>
      <c r="M100" s="10">
        <v>1</v>
      </c>
      <c r="N100" s="10"/>
    </row>
    <row r="101" spans="3:14" x14ac:dyDescent="0.25">
      <c r="E101" t="s">
        <v>66</v>
      </c>
      <c r="J101" s="12">
        <v>150000</v>
      </c>
      <c r="K101" s="22">
        <f>J101*(1+K$13)</f>
        <v>172035</v>
      </c>
      <c r="L101" s="22">
        <f>K101*(1+L$13)</f>
        <v>197306.94150000002</v>
      </c>
      <c r="M101" s="22">
        <f>L101*(1+M$13)</f>
        <v>224929.91331000003</v>
      </c>
      <c r="N101" s="22">
        <f>M101*(1+N$13)</f>
        <v>256420.10117340006</v>
      </c>
    </row>
    <row r="103" spans="3:14" ht="14" x14ac:dyDescent="0.3">
      <c r="D103" s="21" t="s">
        <v>56</v>
      </c>
    </row>
    <row r="104" spans="3:14" x14ac:dyDescent="0.25">
      <c r="E104" t="s">
        <v>65</v>
      </c>
      <c r="J104" s="10">
        <v>1</v>
      </c>
      <c r="K104" s="10"/>
      <c r="L104" s="10"/>
      <c r="M104" s="10">
        <v>1</v>
      </c>
      <c r="N104" s="10"/>
    </row>
    <row r="105" spans="3:14" x14ac:dyDescent="0.25">
      <c r="E105" t="s">
        <v>66</v>
      </c>
      <c r="J105" s="12">
        <v>230000</v>
      </c>
      <c r="K105" s="22">
        <f>J105*(1+K$13)</f>
        <v>263787</v>
      </c>
      <c r="L105" s="22">
        <f>K105*(1+L$13)</f>
        <v>302537.31030000001</v>
      </c>
      <c r="M105" s="22">
        <f>L105*(1+M$13)</f>
        <v>344892.53374200006</v>
      </c>
      <c r="N105" s="22">
        <f>M105*(1+N$13)</f>
        <v>393177.4884658801</v>
      </c>
    </row>
    <row r="107" spans="3:14" ht="14" x14ac:dyDescent="0.3">
      <c r="D107" s="21" t="s">
        <v>57</v>
      </c>
    </row>
    <row r="108" spans="3:14" x14ac:dyDescent="0.25">
      <c r="E108" t="s">
        <v>65</v>
      </c>
      <c r="J108" s="10"/>
      <c r="K108" s="10">
        <v>1</v>
      </c>
      <c r="L108" s="10"/>
      <c r="M108" s="10">
        <v>1</v>
      </c>
      <c r="N108" s="10"/>
    </row>
    <row r="109" spans="3:14" x14ac:dyDescent="0.25">
      <c r="E109" t="s">
        <v>66</v>
      </c>
      <c r="J109" s="12">
        <v>200000</v>
      </c>
      <c r="K109" s="22">
        <f>J109*(1+K$13)</f>
        <v>229380</v>
      </c>
      <c r="L109" s="22">
        <f>K109*(1+L$13)</f>
        <v>263075.92200000002</v>
      </c>
      <c r="M109" s="22">
        <f>L109*(1+M$13)</f>
        <v>299906.55108000006</v>
      </c>
      <c r="N109" s="22">
        <f>M109*(1+N$13)</f>
        <v>341893.46823120012</v>
      </c>
    </row>
    <row r="111" spans="3:14" x14ac:dyDescent="0.25">
      <c r="C111" t="s">
        <v>68</v>
      </c>
      <c r="F111" s="7" t="s">
        <v>69</v>
      </c>
      <c r="G111" t="s">
        <v>36</v>
      </c>
    </row>
    <row r="112" spans="3:14" ht="14" x14ac:dyDescent="0.3">
      <c r="E112" s="21" t="s">
        <v>101</v>
      </c>
      <c r="F112" s="24">
        <v>3</v>
      </c>
      <c r="G112" s="23">
        <f>1/F112</f>
        <v>0.33333333333333331</v>
      </c>
    </row>
    <row r="113" spans="1:7" ht="14" x14ac:dyDescent="0.3">
      <c r="E113" s="21" t="s">
        <v>67</v>
      </c>
      <c r="F113" s="24">
        <v>4</v>
      </c>
      <c r="G113" s="23">
        <f t="shared" ref="G113:G115" si="1">1/F113</f>
        <v>0.25</v>
      </c>
    </row>
    <row r="114" spans="1:7" ht="14" x14ac:dyDescent="0.3">
      <c r="E114" s="21" t="s">
        <v>56</v>
      </c>
      <c r="F114" s="24">
        <v>4</v>
      </c>
      <c r="G114" s="23">
        <f t="shared" si="1"/>
        <v>0.25</v>
      </c>
    </row>
    <row r="115" spans="1:7" ht="14" x14ac:dyDescent="0.3">
      <c r="E115" s="21" t="s">
        <v>57</v>
      </c>
      <c r="F115" s="24">
        <v>3</v>
      </c>
      <c r="G115" s="23">
        <f t="shared" si="1"/>
        <v>0.33333333333333331</v>
      </c>
    </row>
    <row r="117" spans="1:7" s="6" customFormat="1" ht="12.5" x14ac:dyDescent="0.25">
      <c r="A117" s="6" t="s">
        <v>8</v>
      </c>
      <c r="B117" s="6" t="s">
        <v>70</v>
      </c>
    </row>
    <row r="119" spans="1:7" x14ac:dyDescent="0.25">
      <c r="E119" t="s">
        <v>71</v>
      </c>
      <c r="G119" s="12">
        <v>70000</v>
      </c>
    </row>
    <row r="120" spans="1:7" x14ac:dyDescent="0.25">
      <c r="E120" t="s">
        <v>74</v>
      </c>
      <c r="G120" s="12">
        <v>25000</v>
      </c>
    </row>
    <row r="121" spans="1:7" x14ac:dyDescent="0.25">
      <c r="E121" t="s">
        <v>72</v>
      </c>
      <c r="G121" s="12">
        <v>30000</v>
      </c>
    </row>
    <row r="122" spans="1:7" x14ac:dyDescent="0.25">
      <c r="E122" t="s">
        <v>75</v>
      </c>
      <c r="G122" s="12">
        <v>40000</v>
      </c>
    </row>
    <row r="123" spans="1:7" x14ac:dyDescent="0.25">
      <c r="E123" t="s">
        <v>73</v>
      </c>
      <c r="G123" s="12">
        <v>20000</v>
      </c>
    </row>
    <row r="124" spans="1:7" ht="14" x14ac:dyDescent="0.3">
      <c r="G124" s="25">
        <f>SUM(G119:G123)</f>
        <v>185000</v>
      </c>
    </row>
    <row r="126" spans="1:7" s="6" customFormat="1" ht="12.5" x14ac:dyDescent="0.25">
      <c r="A126" s="6" t="s">
        <v>8</v>
      </c>
      <c r="B126" s="6" t="s">
        <v>76</v>
      </c>
    </row>
    <row r="128" spans="1:7" x14ac:dyDescent="0.25">
      <c r="E128" t="s">
        <v>77</v>
      </c>
      <c r="G128" s="40">
        <f>Workings!J99</f>
        <v>1398052</v>
      </c>
    </row>
    <row r="129" spans="5:7" x14ac:dyDescent="0.25">
      <c r="E129" t="s">
        <v>78</v>
      </c>
      <c r="G129" s="11">
        <v>0.6</v>
      </c>
    </row>
    <row r="130" spans="5:7" x14ac:dyDescent="0.25">
      <c r="E130" t="s">
        <v>79</v>
      </c>
      <c r="G130" s="23">
        <f>1-G129</f>
        <v>0.4</v>
      </c>
    </row>
    <row r="131" spans="5:7" x14ac:dyDescent="0.25">
      <c r="E131" t="s">
        <v>80</v>
      </c>
      <c r="G131" s="11">
        <v>0.2</v>
      </c>
    </row>
    <row r="132" spans="5:7" x14ac:dyDescent="0.25">
      <c r="E132" t="s">
        <v>81</v>
      </c>
      <c r="G132" s="12">
        <v>500000</v>
      </c>
    </row>
    <row r="133" spans="5:7" x14ac:dyDescent="0.25">
      <c r="E133" t="s">
        <v>145</v>
      </c>
      <c r="G133" s="12">
        <v>25000000</v>
      </c>
    </row>
    <row r="134" spans="5:7" x14ac:dyDescent="0.25">
      <c r="E134" t="s">
        <v>82</v>
      </c>
      <c r="G134" s="11">
        <v>0.2</v>
      </c>
    </row>
    <row r="135" spans="5:7" x14ac:dyDescent="0.25">
      <c r="E135" t="s">
        <v>83</v>
      </c>
      <c r="G135" s="26">
        <v>0.25</v>
      </c>
    </row>
    <row r="136" spans="5:7" x14ac:dyDescent="0.25">
      <c r="E136" t="s">
        <v>84</v>
      </c>
      <c r="G136" s="24">
        <v>2</v>
      </c>
    </row>
    <row r="137" spans="5:7" x14ac:dyDescent="0.25">
      <c r="E137" t="s">
        <v>85</v>
      </c>
      <c r="G137" s="9">
        <f>J5+G136-1</f>
        <v>2025</v>
      </c>
    </row>
  </sheetData>
  <hyperlinks>
    <hyperlink ref="M1" location="'Cover Page'!A1" display="MENU" xr:uid="{F742EF69-4691-4BA6-8CEA-27546F6365D0}"/>
  </hyperlink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Drop Down 1">
              <controlPr defaultSize="0" autoLine="0" autoPict="0">
                <anchor moveWithCells="1">
                  <from>
                    <xdr:col>5</xdr:col>
                    <xdr:colOff>12700</xdr:colOff>
                    <xdr:row>3</xdr:row>
                    <xdr:rowOff>25400</xdr:rowOff>
                  </from>
                  <to>
                    <xdr:col>7</xdr:col>
                    <xdr:colOff>12700</xdr:colOff>
                    <xdr:row>4</xdr:row>
                    <xdr:rowOff>165100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8ED4A-43B3-4E46-AC93-3CD1D54143B9}">
  <sheetPr>
    <tabColor theme="5" tint="-0.499984740745262"/>
  </sheetPr>
  <dimension ref="A1:N146"/>
  <sheetViews>
    <sheetView topLeftCell="A88" zoomScale="78" zoomScaleNormal="78" workbookViewId="0">
      <selection activeCell="L102" sqref="L102"/>
    </sheetView>
  </sheetViews>
  <sheetFormatPr defaultRowHeight="13.5" x14ac:dyDescent="0.25"/>
  <cols>
    <col min="1" max="4" width="4.5" customWidth="1"/>
    <col min="5" max="5" width="40.9140625" customWidth="1"/>
    <col min="6" max="6" width="5" customWidth="1"/>
    <col min="7" max="7" width="9.33203125" bestFit="1" customWidth="1"/>
    <col min="8" max="9" width="5" customWidth="1"/>
    <col min="10" max="10" width="10.75" style="27" bestFit="1" customWidth="1"/>
    <col min="11" max="14" width="11.83203125" style="27" bestFit="1" customWidth="1"/>
    <col min="15" max="15" width="9" style="27" bestFit="1" customWidth="1"/>
    <col min="16" max="16384" width="8.6640625" style="27"/>
  </cols>
  <sheetData>
    <row r="1" spans="1:14" s="8" customFormat="1" ht="14" x14ac:dyDescent="0.3">
      <c r="A1" s="8" t="s">
        <v>0</v>
      </c>
      <c r="M1" s="63" t="s">
        <v>267</v>
      </c>
    </row>
    <row r="2" spans="1:14" s="8" customFormat="1" ht="14" x14ac:dyDescent="0.3">
      <c r="A2" s="8" t="s">
        <v>1</v>
      </c>
    </row>
    <row r="3" spans="1:14" s="8" customFormat="1" ht="14" x14ac:dyDescent="0.3">
      <c r="A3" s="8" t="s">
        <v>4</v>
      </c>
    </row>
    <row r="4" spans="1:14" s="8" customFormat="1" ht="14" x14ac:dyDescent="0.3"/>
    <row r="5" spans="1:14" s="8" customFormat="1" ht="14" x14ac:dyDescent="0.3">
      <c r="A5" s="8" t="s">
        <v>3</v>
      </c>
      <c r="J5" s="8">
        <v>2024</v>
      </c>
      <c r="K5" s="8">
        <f>J5+1</f>
        <v>2025</v>
      </c>
      <c r="L5" s="8">
        <f t="shared" ref="L5:N5" si="0">K5+1</f>
        <v>2026</v>
      </c>
      <c r="M5" s="8">
        <f t="shared" si="0"/>
        <v>2027</v>
      </c>
      <c r="N5" s="8">
        <f t="shared" si="0"/>
        <v>2028</v>
      </c>
    </row>
    <row r="6" spans="1:14" customFormat="1" x14ac:dyDescent="0.25"/>
    <row r="7" spans="1:14" s="4" customFormat="1" ht="14" x14ac:dyDescent="0.3">
      <c r="A7" s="6" t="s">
        <v>8</v>
      </c>
      <c r="B7" s="5" t="s">
        <v>86</v>
      </c>
    </row>
    <row r="8" spans="1:14" x14ac:dyDescent="0.25">
      <c r="E8" t="s">
        <v>87</v>
      </c>
      <c r="J8" s="27">
        <f>INDEX(Assumptions!$I$21:$I$23,Assumptions!$G$5)*Assumptions!J29*Assumptions!J30*Assumptions!J9*Assumptions!J10*Assumptions!J11*Assumptions!J31</f>
        <v>2462400</v>
      </c>
      <c r="K8" s="27">
        <f>INDEX(Assumptions!$I$21:$I$23,Assumptions!$G$5)*Assumptions!K29*Assumptions!K30*Assumptions!K9*Assumptions!K10*Assumptions!K11*Assumptions!K31</f>
        <v>5760000</v>
      </c>
      <c r="L8" s="27">
        <f>INDEX(Assumptions!$I$21:$I$23,Assumptions!$G$5)*Assumptions!L29*Assumptions!L30*Assumptions!L9*Assumptions!L10*Assumptions!L11*Assumptions!L31</f>
        <v>11520000</v>
      </c>
      <c r="M8" s="27">
        <f>INDEX(Assumptions!$I$21:$I$23,Assumptions!$G$5)*Assumptions!M29*Assumptions!M30*Assumptions!M9*Assumptions!M10*Assumptions!M11*Assumptions!M31</f>
        <v>13824000</v>
      </c>
      <c r="N8" s="27">
        <f>INDEX(Assumptions!$I$21:$I$23,Assumptions!$G$5)*Assumptions!N29*Assumptions!N30*Assumptions!N9*Assumptions!N10*Assumptions!N11*Assumptions!N31</f>
        <v>20736000</v>
      </c>
    </row>
    <row r="9" spans="1:14" x14ac:dyDescent="0.25">
      <c r="E9" t="s">
        <v>26</v>
      </c>
      <c r="J9" s="27">
        <f>INDEX(Assumptions!$I$21:$I$23,Assumptions!$G$5)*(Assumptions!J34*Assumptions!J9*Assumptions!J10*Assumptions!J11*Assumptions!J35)</f>
        <v>432000</v>
      </c>
      <c r="K9" s="27">
        <f>INDEX(Assumptions!$I$21:$I$23,Assumptions!$G$5)*(Assumptions!K34*Assumptions!K9*Assumptions!K10*Assumptions!K11*Assumptions!K35)</f>
        <v>1800000</v>
      </c>
      <c r="L9" s="27">
        <f>INDEX(Assumptions!$I$21:$I$23,Assumptions!$G$5)*(Assumptions!L34*Assumptions!L9*Assumptions!L10*Assumptions!L11*Assumptions!L35)</f>
        <v>2040000</v>
      </c>
      <c r="M9" s="27">
        <f>INDEX(Assumptions!$I$21:$I$23,Assumptions!$G$5)*(Assumptions!M34*Assumptions!M9*Assumptions!M10*Assumptions!M11*Assumptions!M35)</f>
        <v>2856000</v>
      </c>
      <c r="N9" s="27">
        <f>INDEX(Assumptions!$I$21:$I$23,Assumptions!$G$5)*(Assumptions!N34*Assumptions!N9*Assumptions!N10*Assumptions!N11*Assumptions!N35)</f>
        <v>3192000</v>
      </c>
    </row>
    <row r="10" spans="1:14" x14ac:dyDescent="0.25">
      <c r="E10" t="s">
        <v>88</v>
      </c>
      <c r="J10" s="27">
        <f>INDEX(Assumptions!$I$21:$I$23,Assumptions!$G$5)*(Assumptions!J38*Assumptions!J9*Assumptions!J10*Assumptions!J11*Assumptions!J39)</f>
        <v>864000</v>
      </c>
      <c r="K10" s="27">
        <f>INDEX(Assumptions!$I$21:$I$23,Assumptions!$G$5)*(Assumptions!K38*Assumptions!K9*Assumptions!K10*Assumptions!K11*Assumptions!K39)</f>
        <v>1440000</v>
      </c>
      <c r="L10" s="27">
        <f>INDEX(Assumptions!$I$21:$I$23,Assumptions!$G$5)*(Assumptions!L38*Assumptions!L9*Assumptions!L10*Assumptions!L11*Assumptions!L39)</f>
        <v>2760000</v>
      </c>
      <c r="M10" s="27">
        <f>INDEX(Assumptions!$I$21:$I$23,Assumptions!$G$5)*(Assumptions!M38*Assumptions!M9*Assumptions!M10*Assumptions!M11*Assumptions!M39)</f>
        <v>2760000</v>
      </c>
      <c r="N10" s="27">
        <f>INDEX(Assumptions!$I$21:$I$23,Assumptions!$G$5)*(Assumptions!N38*Assumptions!N9*Assumptions!N10*Assumptions!N11*Assumptions!N39)</f>
        <v>4200000</v>
      </c>
    </row>
    <row r="11" spans="1:14" ht="14.5" thickBot="1" x14ac:dyDescent="0.35">
      <c r="E11" s="21" t="s">
        <v>89</v>
      </c>
      <c r="J11" s="28">
        <f>SUM(J8:J10)</f>
        <v>3758400</v>
      </c>
      <c r="K11" s="28">
        <f t="shared" ref="K11:N11" si="1">SUM(K8:K10)</f>
        <v>9000000</v>
      </c>
      <c r="L11" s="28">
        <f t="shared" si="1"/>
        <v>16320000</v>
      </c>
      <c r="M11" s="28">
        <f t="shared" si="1"/>
        <v>19440000</v>
      </c>
      <c r="N11" s="28">
        <f t="shared" si="1"/>
        <v>28128000</v>
      </c>
    </row>
    <row r="12" spans="1:14" ht="14" thickTop="1" x14ac:dyDescent="0.25"/>
    <row r="13" spans="1:14" x14ac:dyDescent="0.25">
      <c r="E13" t="s">
        <v>17</v>
      </c>
      <c r="J13" s="27">
        <f>Assumptions!$J$14*J11</f>
        <v>563760</v>
      </c>
      <c r="K13" s="27">
        <f>Assumptions!$J$14*K11</f>
        <v>1350000</v>
      </c>
      <c r="L13" s="27">
        <f>Assumptions!$J$14*L11</f>
        <v>2448000</v>
      </c>
      <c r="M13" s="27">
        <f>Assumptions!$J$14*M11</f>
        <v>2916000</v>
      </c>
      <c r="N13" s="27">
        <f>Assumptions!$J$14*N11</f>
        <v>4219200</v>
      </c>
    </row>
    <row r="14" spans="1:14" x14ac:dyDescent="0.25">
      <c r="E14" t="s">
        <v>90</v>
      </c>
      <c r="J14" s="27">
        <f>J11-J13</f>
        <v>3194640</v>
      </c>
      <c r="K14" s="27">
        <f t="shared" ref="K14:N14" si="2">K11-K13</f>
        <v>7650000</v>
      </c>
      <c r="L14" s="27">
        <f t="shared" si="2"/>
        <v>13872000</v>
      </c>
      <c r="M14" s="27">
        <f t="shared" si="2"/>
        <v>16524000</v>
      </c>
      <c r="N14" s="27">
        <f t="shared" si="2"/>
        <v>23908800</v>
      </c>
    </row>
    <row r="17" spans="1:14" s="4" customFormat="1" ht="14" x14ac:dyDescent="0.3">
      <c r="A17" s="6" t="s">
        <v>8</v>
      </c>
      <c r="B17" s="5" t="s">
        <v>91</v>
      </c>
    </row>
    <row r="18" spans="1:14" x14ac:dyDescent="0.25">
      <c r="E18" t="s">
        <v>92</v>
      </c>
      <c r="J18" s="27">
        <f>INDEX(Assumptions!$I$21:$I$23,Assumptions!$G$5)*(Assumptions!J45*Assumptions!J46*Assumptions!J12)</f>
        <v>544000</v>
      </c>
      <c r="K18" s="27">
        <f>INDEX(Assumptions!$I$21:$I$23,Assumptions!$G$5)*(Assumptions!K45*Assumptions!K46*Assumptions!K12)</f>
        <v>1715762.4</v>
      </c>
      <c r="L18" s="27">
        <f>INDEX(Assumptions!$I$21:$I$23,Assumptions!$G$5)*(Assumptions!L45*Assumptions!L46*Assumptions!L12)</f>
        <v>3041157.6583199999</v>
      </c>
      <c r="M18" s="27">
        <f>INDEX(Assumptions!$I$21:$I$23,Assumptions!$G$5)*(Assumptions!M45*Assumptions!M46*Assumptions!M12)</f>
        <v>3874792.6399536007</v>
      </c>
      <c r="N18" s="27">
        <f>INDEX(Assumptions!$I$21:$I$23,Assumptions!$G$5)*(Assumptions!N45*Assumptions!N46*Assumptions!N12)</f>
        <v>5812188.9599304013</v>
      </c>
    </row>
    <row r="19" spans="1:14" x14ac:dyDescent="0.25">
      <c r="E19" t="s">
        <v>88</v>
      </c>
      <c r="J19" s="27">
        <f>INDEX(Assumptions!$I$21:$I$23,Assumptions!$G$5)*(Assumptions!J49*Assumptions!J50*Assumptions!J12)</f>
        <v>580000</v>
      </c>
      <c r="K19" s="27">
        <f>INDEX(Assumptions!$I$21:$I$23,Assumptions!$G$5)*(Assumptions!K49*Assumptions!K50*Assumptions!K12)</f>
        <v>1263883.8</v>
      </c>
      <c r="L19" s="27">
        <f>INDEX(Assumptions!$I$21:$I$23,Assumptions!$G$5)*(Assumptions!L49*Assumptions!L50*Assumptions!L12)</f>
        <v>2593928.5909200003</v>
      </c>
      <c r="M19" s="27">
        <f>INDEX(Assumptions!$I$21:$I$23,Assumptions!$G$5)*(Assumptions!M49*Assumptions!M50*Assumptions!M12)</f>
        <v>2957078.5936488006</v>
      </c>
      <c r="N19" s="27">
        <f>INDEX(Assumptions!$I$21:$I$23,Assumptions!$G$5)*(Assumptions!N49*Assumptions!N50*Assumptions!N12)</f>
        <v>4560858.8662042096</v>
      </c>
    </row>
    <row r="20" spans="1:14" x14ac:dyDescent="0.25">
      <c r="E20" t="s">
        <v>93</v>
      </c>
      <c r="J20" s="27">
        <f>Assumptions!J53*J8</f>
        <v>172368.00000000003</v>
      </c>
      <c r="K20" s="27">
        <f>Assumptions!K53*K8</f>
        <v>403200.00000000006</v>
      </c>
      <c r="L20" s="27">
        <f>Assumptions!L53*L8</f>
        <v>806400.00000000012</v>
      </c>
      <c r="M20" s="27">
        <f>Assumptions!M53*M8</f>
        <v>967680.00000000012</v>
      </c>
      <c r="N20" s="27">
        <f>Assumptions!N53*N8</f>
        <v>1451520.0000000002</v>
      </c>
    </row>
    <row r="21" spans="1:14" x14ac:dyDescent="0.25">
      <c r="E21" t="s">
        <v>269</v>
      </c>
      <c r="J21" s="27">
        <f>Assumptions!J54*Workings!J11</f>
        <v>187920</v>
      </c>
      <c r="K21" s="27">
        <f>Assumptions!K54*Workings!K11</f>
        <v>450000</v>
      </c>
      <c r="L21" s="27">
        <f>Assumptions!L54*Workings!L11</f>
        <v>816000</v>
      </c>
      <c r="M21" s="27">
        <f>Assumptions!M54*Workings!M11</f>
        <v>972000</v>
      </c>
      <c r="N21" s="27">
        <f>Assumptions!N54*Workings!N11</f>
        <v>1406400</v>
      </c>
    </row>
    <row r="22" spans="1:14" x14ac:dyDescent="0.25">
      <c r="E22" t="s">
        <v>64</v>
      </c>
      <c r="J22" s="27">
        <f>INDEX(Assumptions!$I$21:$I$23,Assumptions!$G$5)*(Assumptions!J57*Assumptions!J58*Assumptions!J12*Assumptions!J59)</f>
        <v>360000</v>
      </c>
      <c r="K22" s="27">
        <f>INDEX(Assumptions!$I$21:$I$23,Assumptions!$G$5)*(Assumptions!K57*Assumptions!K58*Assumptions!K12*Assumptions!K59)</f>
        <v>1238652</v>
      </c>
      <c r="L22" s="27">
        <f>INDEX(Assumptions!$I$21:$I$23,Assumptions!$G$5)*(Assumptions!L57*Assumptions!L58*Assumptions!L12*Assumptions!L59)</f>
        <v>2746512.6256800001</v>
      </c>
      <c r="M22" s="27">
        <f>INDEX(Assumptions!$I$21:$I$23,Assumptions!$G$5)*(Assumptions!M57*Assumptions!M58*Assumptions!M12*Assumptions!M59)</f>
        <v>3131024.3932752004</v>
      </c>
      <c r="N22" s="27">
        <f>INDEX(Assumptions!$I$21:$I$23,Assumptions!$G$5)*(Assumptions!N57*Assumptions!N58*Assumptions!N12*Assumptions!N59)</f>
        <v>5415592.5367822098</v>
      </c>
    </row>
    <row r="23" spans="1:14" x14ac:dyDescent="0.25">
      <c r="E23" t="s">
        <v>61</v>
      </c>
      <c r="J23" s="27">
        <f>INDEX(Assumptions!$I$21:$I$23,Assumptions!$G$5)*(Assumptions!J62*Assumptions!J63*Assumptions!J12*Assumptions!J64)</f>
        <v>72000</v>
      </c>
      <c r="K23" s="27">
        <f>INDEX(Assumptions!$I$21:$I$23,Assumptions!$G$5)*(Assumptions!K62*Assumptions!K63*Assumptions!K12*Assumptions!K64)</f>
        <v>495460.80000000005</v>
      </c>
      <c r="L23" s="27">
        <f>INDEX(Assumptions!$I$21:$I$23,Assumptions!$G$5)*(Assumptions!L62*Assumptions!L63*Assumptions!L12*Assumptions!L64)</f>
        <v>662951.32344000007</v>
      </c>
      <c r="M23" s="27">
        <f>INDEX(Assumptions!$I$21:$I$23,Assumptions!$G$5)*(Assumptions!M62*Assumptions!M63*Assumptions!M12*Assumptions!M64)</f>
        <v>863730.86711040011</v>
      </c>
      <c r="N23" s="27">
        <f>INDEX(Assumptions!$I$21:$I$23,Assumptions!$G$5)*(Assumptions!N62*Assumptions!N63*Assumptions!N12*Assumptions!N64)</f>
        <v>1107734.8370690884</v>
      </c>
    </row>
    <row r="24" spans="1:14" ht="14" thickBot="1" x14ac:dyDescent="0.3">
      <c r="E24" t="s">
        <v>49</v>
      </c>
      <c r="J24" s="27">
        <f>INDEX(Assumptions!$I$21:$I$23,Assumptions!$G$5)*(Assumptions!J67*Assumptions!J68*Assumptions!J9*Assumptions!J10*Assumptions!J11)</f>
        <v>144000</v>
      </c>
      <c r="K24" s="27">
        <f>INDEX(Assumptions!$I$21:$I$23,Assumptions!$G$5)*(Assumptions!K67*Assumptions!K68*Assumptions!K9*Assumptions!K10*Assumptions!K11)</f>
        <v>240000</v>
      </c>
      <c r="L24" s="27">
        <f>INDEX(Assumptions!$I$21:$I$23,Assumptions!$G$5)*(Assumptions!L67*Assumptions!L68*Assumptions!L9*Assumptions!L10*Assumptions!L11)</f>
        <v>720000</v>
      </c>
      <c r="M24" s="27">
        <f>INDEX(Assumptions!$I$21:$I$23,Assumptions!$G$5)*(Assumptions!M67*Assumptions!M68*Assumptions!M9*Assumptions!M10*Assumptions!M11)</f>
        <v>720000</v>
      </c>
      <c r="N24" s="27">
        <f>INDEX(Assumptions!$I$21:$I$23,Assumptions!$G$5)*(Assumptions!N67*Assumptions!N68*Assumptions!N9*Assumptions!N10*Assumptions!N11)</f>
        <v>960000</v>
      </c>
    </row>
    <row r="25" spans="1:14" ht="14" x14ac:dyDescent="0.3">
      <c r="E25" t="s">
        <v>94</v>
      </c>
      <c r="J25" s="29">
        <f>SUM(J18:J24)</f>
        <v>2060288</v>
      </c>
      <c r="K25" s="29">
        <f>SUM(K18:K24)</f>
        <v>5806959</v>
      </c>
      <c r="L25" s="29">
        <f>SUM(L18:L24)</f>
        <v>11386950.19836</v>
      </c>
      <c r="M25" s="29">
        <f>SUM(M18:M24)</f>
        <v>13486306.493988002</v>
      </c>
      <c r="N25" s="29">
        <f>SUM(N18:N24)</f>
        <v>20714295.199985906</v>
      </c>
    </row>
    <row r="27" spans="1:14" x14ac:dyDescent="0.25">
      <c r="E27" t="s">
        <v>18</v>
      </c>
      <c r="J27" s="27">
        <f>Assumptions!$J$15*J25</f>
        <v>206028.80000000002</v>
      </c>
      <c r="K27" s="27">
        <f>Assumptions!$J$15*K25</f>
        <v>580695.9</v>
      </c>
      <c r="L27" s="27">
        <f>Assumptions!$J$15*L25</f>
        <v>1138695.0198359999</v>
      </c>
      <c r="M27" s="27">
        <f>Assumptions!$J$15*M25</f>
        <v>1348630.6493988002</v>
      </c>
      <c r="N27" s="27">
        <f>Assumptions!$J$15*N25</f>
        <v>2071429.5199985907</v>
      </c>
    </row>
    <row r="29" spans="1:14" ht="14.5" thickBot="1" x14ac:dyDescent="0.35">
      <c r="E29" s="21" t="s">
        <v>95</v>
      </c>
      <c r="J29" s="28">
        <f>SUM(J25:J27)</f>
        <v>2266316.7999999998</v>
      </c>
      <c r="K29" s="28">
        <f t="shared" ref="K29:N29" si="3">SUM(K25:K27)</f>
        <v>6387654.9000000004</v>
      </c>
      <c r="L29" s="28">
        <f t="shared" si="3"/>
        <v>12525645.218195999</v>
      </c>
      <c r="M29" s="28">
        <f t="shared" si="3"/>
        <v>14834937.143386802</v>
      </c>
      <c r="N29" s="28">
        <f t="shared" si="3"/>
        <v>22785724.719984498</v>
      </c>
    </row>
    <row r="30" spans="1:14" ht="14" thickTop="1" x14ac:dyDescent="0.25"/>
    <row r="31" spans="1:14" x14ac:dyDescent="0.25">
      <c r="E31" t="s">
        <v>19</v>
      </c>
      <c r="J31" s="27">
        <f>Assumptions!$J$16*J29</f>
        <v>566579.19999999995</v>
      </c>
      <c r="K31" s="27">
        <f>Assumptions!$J$16*K29</f>
        <v>1596913.7250000001</v>
      </c>
      <c r="L31" s="27">
        <f>Assumptions!$J$16*L29</f>
        <v>3131411.3045489998</v>
      </c>
      <c r="M31" s="27">
        <f>Assumptions!$J$16*M29</f>
        <v>3708734.2858467004</v>
      </c>
      <c r="N31" s="27">
        <f>Assumptions!$J$16*N29</f>
        <v>5696431.1799961245</v>
      </c>
    </row>
    <row r="32" spans="1:14" x14ac:dyDescent="0.25">
      <c r="E32" t="s">
        <v>96</v>
      </c>
      <c r="J32" s="27">
        <f>J29-J31</f>
        <v>1699737.5999999999</v>
      </c>
      <c r="K32" s="27">
        <f t="shared" ref="K32:N32" si="4">K29-K31</f>
        <v>4790741.1750000007</v>
      </c>
      <c r="L32" s="27">
        <f t="shared" si="4"/>
        <v>9394233.9136469997</v>
      </c>
      <c r="M32" s="27">
        <f t="shared" si="4"/>
        <v>11126202.857540101</v>
      </c>
      <c r="N32" s="27">
        <f t="shared" si="4"/>
        <v>17089293.539988372</v>
      </c>
    </row>
    <row r="34" spans="1:14" s="4" customFormat="1" ht="14" x14ac:dyDescent="0.3">
      <c r="A34" s="6" t="s">
        <v>8</v>
      </c>
      <c r="B34" s="5" t="s">
        <v>117</v>
      </c>
    </row>
    <row r="36" spans="1:14" x14ac:dyDescent="0.25">
      <c r="E36" t="s">
        <v>35</v>
      </c>
      <c r="J36" s="27">
        <f>INDEX(Assumptions!$I$21:$I$23,Assumptions!$G$5)*(Assumptions!J74*Assumptions!J11)</f>
        <v>240000</v>
      </c>
      <c r="K36" s="27">
        <f>INDEX(Assumptions!$I$21:$I$23,Assumptions!$G$5)*(Assumptions!K74*Assumptions!K11)</f>
        <v>275256</v>
      </c>
      <c r="L36" s="27">
        <f>INDEX(Assumptions!$I$21:$I$23,Assumptions!$G$5)*(Assumptions!L74*Assumptions!L11)</f>
        <v>315691.10639999999</v>
      </c>
      <c r="M36" s="27">
        <f>INDEX(Assumptions!$I$21:$I$23,Assumptions!$G$5)*(Assumptions!M74*Assumptions!M11)</f>
        <v>359887.86129600002</v>
      </c>
      <c r="N36" s="27">
        <f>INDEX(Assumptions!$I$21:$I$23,Assumptions!$G$5)*(Assumptions!N74*Assumptions!N11)</f>
        <v>410272.16187744011</v>
      </c>
    </row>
    <row r="37" spans="1:14" x14ac:dyDescent="0.25">
      <c r="E37" t="s">
        <v>37</v>
      </c>
      <c r="J37" s="27">
        <f>INDEX(Assumptions!$I$21:$I$23,Assumptions!$G$5)*(Assumptions!J75*Assumptions!J11)</f>
        <v>144000</v>
      </c>
      <c r="K37" s="27">
        <f>INDEX(Assumptions!$I$21:$I$23,Assumptions!$G$5)*(Assumptions!K75*Assumptions!K11)</f>
        <v>165153.60000000001</v>
      </c>
      <c r="L37" s="27">
        <f>INDEX(Assumptions!$I$21:$I$23,Assumptions!$G$5)*(Assumptions!L75*Assumptions!L11)</f>
        <v>189414.66384000002</v>
      </c>
      <c r="M37" s="27">
        <f>INDEX(Assumptions!$I$21:$I$23,Assumptions!$G$5)*(Assumptions!M75*Assumptions!M11)</f>
        <v>215932.71677760003</v>
      </c>
      <c r="N37" s="27">
        <f>INDEX(Assumptions!$I$21:$I$23,Assumptions!$G$5)*(Assumptions!N75*Assumptions!N11)</f>
        <v>246163.29712646405</v>
      </c>
    </row>
    <row r="38" spans="1:14" x14ac:dyDescent="0.25">
      <c r="E38" t="s">
        <v>39</v>
      </c>
      <c r="J38" s="27">
        <f>INDEX(Assumptions!$I$21:$I$23,Assumptions!$G$5)*(Assumptions!J76*Assumptions!J11)</f>
        <v>300000</v>
      </c>
      <c r="K38" s="27">
        <f>INDEX(Assumptions!$I$21:$I$23,Assumptions!$G$5)*(Assumptions!K76*Assumptions!K11)</f>
        <v>344070</v>
      </c>
      <c r="L38" s="27">
        <f>INDEX(Assumptions!$I$21:$I$23,Assumptions!$G$5)*(Assumptions!L76*Assumptions!L11)</f>
        <v>394613.88300000003</v>
      </c>
      <c r="M38" s="27">
        <f>INDEX(Assumptions!$I$21:$I$23,Assumptions!$G$5)*(Assumptions!M76*Assumptions!M11)</f>
        <v>449859.82662000007</v>
      </c>
      <c r="N38" s="27">
        <f>INDEX(Assumptions!$I$21:$I$23,Assumptions!$G$5)*(Assumptions!N76*Assumptions!N11)</f>
        <v>512840.20234680019</v>
      </c>
    </row>
    <row r="39" spans="1:14" x14ac:dyDescent="0.25">
      <c r="E39" t="s">
        <v>40</v>
      </c>
      <c r="J39" s="27">
        <f>Assumptions!J77</f>
        <v>0</v>
      </c>
      <c r="K39" s="27">
        <f>Assumptions!K77</f>
        <v>400000</v>
      </c>
      <c r="L39" s="27">
        <f>Assumptions!L77</f>
        <v>400000</v>
      </c>
      <c r="M39" s="27">
        <f>Assumptions!M77</f>
        <v>400000</v>
      </c>
      <c r="N39" s="27">
        <f>Assumptions!N77</f>
        <v>400000</v>
      </c>
    </row>
    <row r="40" spans="1:14" ht="14" thickBot="1" x14ac:dyDescent="0.3">
      <c r="E40" t="s">
        <v>45</v>
      </c>
      <c r="J40" s="27">
        <f>Assumptions!J78*J11</f>
        <v>187920</v>
      </c>
      <c r="K40" s="27">
        <f>Assumptions!K78*K11</f>
        <v>450000</v>
      </c>
      <c r="L40" s="27">
        <f>Assumptions!L78*L11</f>
        <v>816000</v>
      </c>
      <c r="M40" s="27">
        <f>Assumptions!M78*M11</f>
        <v>972000</v>
      </c>
      <c r="N40" s="27">
        <f>Assumptions!N78*N11</f>
        <v>1406400</v>
      </c>
    </row>
    <row r="41" spans="1:14" ht="14" x14ac:dyDescent="0.3">
      <c r="E41" s="21"/>
      <c r="J41" s="29">
        <f>SUM(J36:J40)</f>
        <v>871920</v>
      </c>
      <c r="K41" s="29">
        <f>SUM(K36:K40)</f>
        <v>1634479.6</v>
      </c>
      <c r="L41" s="29">
        <f>SUM(L36:L40)</f>
        <v>2115719.6532399999</v>
      </c>
      <c r="M41" s="29">
        <f>SUM(M36:M40)</f>
        <v>2397680.4046936003</v>
      </c>
      <c r="N41" s="29">
        <f>SUM(N36:N40)</f>
        <v>2975675.6613507043</v>
      </c>
    </row>
    <row r="42" spans="1:14" x14ac:dyDescent="0.25">
      <c r="E42" s="27"/>
    </row>
    <row r="43" spans="1:14" x14ac:dyDescent="0.25">
      <c r="E43" t="s">
        <v>98</v>
      </c>
      <c r="J43" s="27">
        <f>Assumptions!G124</f>
        <v>185000</v>
      </c>
    </row>
    <row r="45" spans="1:14" ht="14.5" thickBot="1" x14ac:dyDescent="0.35">
      <c r="E45" s="21" t="s">
        <v>99</v>
      </c>
      <c r="J45" s="28">
        <f>SUM(J41:J43)</f>
        <v>1056920</v>
      </c>
      <c r="K45" s="28">
        <f t="shared" ref="K45:N45" si="5">SUM(K41:K43)</f>
        <v>1634479.6</v>
      </c>
      <c r="L45" s="28">
        <f t="shared" si="5"/>
        <v>2115719.6532399999</v>
      </c>
      <c r="M45" s="28">
        <f t="shared" si="5"/>
        <v>2397680.4046936003</v>
      </c>
      <c r="N45" s="28">
        <f t="shared" si="5"/>
        <v>2975675.6613507043</v>
      </c>
    </row>
    <row r="46" spans="1:14" ht="14" thickTop="1" x14ac:dyDescent="0.25"/>
    <row r="47" spans="1:14" s="4" customFormat="1" ht="14" x14ac:dyDescent="0.3">
      <c r="A47" s="6" t="s">
        <v>8</v>
      </c>
      <c r="B47" s="5" t="s">
        <v>46</v>
      </c>
    </row>
    <row r="49" spans="1:14" x14ac:dyDescent="0.25">
      <c r="E49" t="s">
        <v>47</v>
      </c>
      <c r="J49" s="27">
        <f>Assumptions!J88*Assumptions!J84*Assumptions!J11</f>
        <v>300000</v>
      </c>
      <c r="K49" s="27">
        <f>Assumptions!K88*Assumptions!K84*Assumptions!K11</f>
        <v>480000</v>
      </c>
      <c r="L49" s="27">
        <f>Assumptions!L88*Assumptions!L84*Assumptions!L11</f>
        <v>600000</v>
      </c>
      <c r="M49" s="27">
        <f>Assumptions!M88*Assumptions!M84*Assumptions!M11</f>
        <v>780000</v>
      </c>
      <c r="N49" s="27">
        <f>Assumptions!N88*Assumptions!N84*Assumptions!N11</f>
        <v>780000</v>
      </c>
    </row>
    <row r="50" spans="1:14" x14ac:dyDescent="0.25">
      <c r="E50" t="s">
        <v>48</v>
      </c>
      <c r="J50" s="27">
        <f>Assumptions!J89*Assumptions!J85*Assumptions!J11</f>
        <v>0</v>
      </c>
      <c r="K50" s="27">
        <f>Assumptions!K89*Assumptions!K85*Assumptions!K11</f>
        <v>360000</v>
      </c>
      <c r="L50" s="27">
        <f>Assumptions!L89*Assumptions!L85*Assumptions!L11</f>
        <v>360000</v>
      </c>
      <c r="M50" s="27">
        <f>Assumptions!M89*Assumptions!M85*Assumptions!M11</f>
        <v>840000</v>
      </c>
      <c r="N50" s="27">
        <f>Assumptions!N89*Assumptions!N85*Assumptions!N11</f>
        <v>840000</v>
      </c>
    </row>
    <row r="51" spans="1:14" ht="14.5" thickBot="1" x14ac:dyDescent="0.35">
      <c r="E51" s="21" t="s">
        <v>97</v>
      </c>
      <c r="J51" s="28">
        <f>SUM(J49:J50)</f>
        <v>300000</v>
      </c>
      <c r="K51" s="28">
        <f>SUM(K49:K50)</f>
        <v>840000</v>
      </c>
      <c r="L51" s="28">
        <f>SUM(L49:L50)</f>
        <v>960000</v>
      </c>
      <c r="M51" s="28">
        <f>SUM(M49:M50)</f>
        <v>1620000</v>
      </c>
      <c r="N51" s="28">
        <f>SUM(N49:N50)</f>
        <v>1620000</v>
      </c>
    </row>
    <row r="52" spans="1:14" ht="14" thickTop="1" x14ac:dyDescent="0.25"/>
    <row r="54" spans="1:14" s="4" customFormat="1" ht="14" x14ac:dyDescent="0.3">
      <c r="A54" s="6" t="s">
        <v>8</v>
      </c>
      <c r="B54" s="5" t="s">
        <v>54</v>
      </c>
    </row>
    <row r="56" spans="1:14" ht="14" x14ac:dyDescent="0.3">
      <c r="D56" s="21" t="s">
        <v>106</v>
      </c>
    </row>
    <row r="57" spans="1:14" x14ac:dyDescent="0.25">
      <c r="E57" t="s">
        <v>101</v>
      </c>
      <c r="J57" s="31">
        <f>CAPEX!J45</f>
        <v>100000</v>
      </c>
      <c r="K57" s="31">
        <f>CAPEX!K45</f>
        <v>0</v>
      </c>
      <c r="L57" s="31">
        <f>CAPEX!L45</f>
        <v>131537.96100000001</v>
      </c>
      <c r="M57" s="31">
        <f>CAPEX!M45</f>
        <v>0</v>
      </c>
      <c r="N57" s="31">
        <f>CAPEX!N45</f>
        <v>170946.73411560006</v>
      </c>
    </row>
    <row r="58" spans="1:14" x14ac:dyDescent="0.25">
      <c r="E58" t="s">
        <v>67</v>
      </c>
      <c r="J58" s="31">
        <f>CAPEX!J46</f>
        <v>150000</v>
      </c>
      <c r="K58" s="31">
        <f>CAPEX!K46</f>
        <v>0</v>
      </c>
      <c r="L58" s="31">
        <f>CAPEX!L46</f>
        <v>0</v>
      </c>
      <c r="M58" s="31">
        <f>CAPEX!M46</f>
        <v>224929.91331000003</v>
      </c>
      <c r="N58" s="31">
        <f>CAPEX!N46</f>
        <v>0</v>
      </c>
    </row>
    <row r="59" spans="1:14" x14ac:dyDescent="0.25">
      <c r="E59" t="s">
        <v>56</v>
      </c>
      <c r="J59" s="31">
        <f>CAPEX!J47</f>
        <v>230000</v>
      </c>
      <c r="K59" s="31">
        <f>CAPEX!K47</f>
        <v>0</v>
      </c>
      <c r="L59" s="31">
        <f>CAPEX!L47</f>
        <v>0</v>
      </c>
      <c r="M59" s="31">
        <f>CAPEX!M47</f>
        <v>344892.53374200006</v>
      </c>
      <c r="N59" s="31">
        <f>CAPEX!N47</f>
        <v>0</v>
      </c>
    </row>
    <row r="60" spans="1:14" x14ac:dyDescent="0.25">
      <c r="E60" t="s">
        <v>57</v>
      </c>
      <c r="J60" s="34">
        <f>CAPEX!J48</f>
        <v>0</v>
      </c>
      <c r="K60" s="34">
        <f>CAPEX!K48</f>
        <v>229380</v>
      </c>
      <c r="L60" s="34">
        <f>CAPEX!L48</f>
        <v>0</v>
      </c>
      <c r="M60" s="34">
        <f>CAPEX!M48</f>
        <v>299906.55108000006</v>
      </c>
      <c r="N60" s="34">
        <f>CAPEX!N48</f>
        <v>0</v>
      </c>
    </row>
    <row r="61" spans="1:14" ht="14.5" thickBot="1" x14ac:dyDescent="0.35">
      <c r="E61" s="21" t="s">
        <v>107</v>
      </c>
      <c r="J61" s="28">
        <f>SUM(J57:J60)</f>
        <v>480000</v>
      </c>
      <c r="K61" s="28">
        <f>SUM(K57:K60)</f>
        <v>229380</v>
      </c>
      <c r="L61" s="28">
        <f>SUM(L57:L60)</f>
        <v>131537.96100000001</v>
      </c>
      <c r="M61" s="28">
        <f>SUM(M57:M60)</f>
        <v>869728.99813200021</v>
      </c>
      <c r="N61" s="28">
        <f>SUM(N57:N60)</f>
        <v>170946.73411560006</v>
      </c>
    </row>
    <row r="62" spans="1:14" ht="14" thickTop="1" x14ac:dyDescent="0.25"/>
    <row r="64" spans="1:14" ht="14" x14ac:dyDescent="0.3">
      <c r="D64" s="21" t="s">
        <v>113</v>
      </c>
    </row>
    <row r="65" spans="1:14" x14ac:dyDescent="0.25">
      <c r="E65" t="s">
        <v>101</v>
      </c>
      <c r="J65" s="31">
        <f ca="1">CAPEX!J66</f>
        <v>33333.333333333336</v>
      </c>
      <c r="K65" s="31">
        <f ca="1">CAPEX!K66</f>
        <v>33333.333333333336</v>
      </c>
      <c r="L65" s="31">
        <f ca="1">CAPEX!L66</f>
        <v>77179.320333333337</v>
      </c>
      <c r="M65" s="31">
        <f ca="1">CAPEX!M66</f>
        <v>43845.987000000001</v>
      </c>
      <c r="N65" s="31">
        <f ca="1">CAPEX!N66</f>
        <v>100828.23170520003</v>
      </c>
    </row>
    <row r="66" spans="1:14" x14ac:dyDescent="0.25">
      <c r="E66" t="s">
        <v>67</v>
      </c>
      <c r="J66" s="31">
        <f ca="1">CAPEX!J67</f>
        <v>37500</v>
      </c>
      <c r="K66" s="31">
        <f ca="1">CAPEX!K67</f>
        <v>37500</v>
      </c>
      <c r="L66" s="31">
        <f ca="1">CAPEX!L67</f>
        <v>37500</v>
      </c>
      <c r="M66" s="31">
        <f ca="1">CAPEX!M67</f>
        <v>93732.478327500008</v>
      </c>
      <c r="N66" s="31">
        <f ca="1">CAPEX!N67</f>
        <v>56232.478327500008</v>
      </c>
    </row>
    <row r="67" spans="1:14" x14ac:dyDescent="0.25">
      <c r="E67" t="s">
        <v>56</v>
      </c>
      <c r="J67" s="31">
        <f ca="1">CAPEX!J68</f>
        <v>57500</v>
      </c>
      <c r="K67" s="31">
        <f ca="1">CAPEX!K68</f>
        <v>57500</v>
      </c>
      <c r="L67" s="31">
        <f ca="1">CAPEX!L68</f>
        <v>57500</v>
      </c>
      <c r="M67" s="31">
        <f ca="1">CAPEX!M68</f>
        <v>143723.13343550003</v>
      </c>
      <c r="N67" s="31">
        <f ca="1">CAPEX!N68</f>
        <v>86223.133435500014</v>
      </c>
    </row>
    <row r="68" spans="1:14" x14ac:dyDescent="0.25">
      <c r="E68" t="s">
        <v>57</v>
      </c>
      <c r="J68" s="34">
        <f ca="1">CAPEX!J69</f>
        <v>0</v>
      </c>
      <c r="K68" s="34">
        <f ca="1">CAPEX!K69</f>
        <v>76460</v>
      </c>
      <c r="L68" s="34">
        <f ca="1">CAPEX!L69</f>
        <v>76460</v>
      </c>
      <c r="M68" s="34">
        <f ca="1">CAPEX!M69</f>
        <v>176428.85036000004</v>
      </c>
      <c r="N68" s="34">
        <f ca="1">CAPEX!N69</f>
        <v>99968.850360000026</v>
      </c>
    </row>
    <row r="69" spans="1:14" ht="14.5" thickBot="1" x14ac:dyDescent="0.35">
      <c r="E69" s="21" t="s">
        <v>107</v>
      </c>
      <c r="J69" s="28">
        <f ca="1">SUM(J65:J68)</f>
        <v>128333.33333333334</v>
      </c>
      <c r="K69" s="28">
        <f ca="1">SUM(K65:K68)</f>
        <v>204793.33333333334</v>
      </c>
      <c r="L69" s="28">
        <f ca="1">SUM(L65:L68)</f>
        <v>248639.32033333334</v>
      </c>
      <c r="M69" s="28">
        <f ca="1">SUM(M65:M68)</f>
        <v>457730.44912300009</v>
      </c>
      <c r="N69" s="28">
        <f ca="1">SUM(N65:N68)</f>
        <v>343252.69382820011</v>
      </c>
    </row>
    <row r="70" spans="1:14" ht="14" thickTop="1" x14ac:dyDescent="0.25"/>
    <row r="72" spans="1:14" ht="14" x14ac:dyDescent="0.3">
      <c r="D72" s="21" t="s">
        <v>114</v>
      </c>
    </row>
    <row r="73" spans="1:14" x14ac:dyDescent="0.25">
      <c r="E73" t="s">
        <v>101</v>
      </c>
      <c r="J73" s="31">
        <f ca="1">CAPEX!J80</f>
        <v>66666.666666666657</v>
      </c>
      <c r="K73" s="31">
        <f ca="1">CAPEX!K80</f>
        <v>33333.333333333328</v>
      </c>
      <c r="L73" s="31">
        <f ca="1">CAPEX!L80</f>
        <v>87691.973999999987</v>
      </c>
      <c r="M73" s="31">
        <f ca="1">CAPEX!M80</f>
        <v>43845.986999999994</v>
      </c>
      <c r="N73" s="31">
        <f ca="1">CAPEX!N80</f>
        <v>113964.48941040004</v>
      </c>
    </row>
    <row r="74" spans="1:14" x14ac:dyDescent="0.25">
      <c r="E74" t="s">
        <v>67</v>
      </c>
      <c r="J74" s="31">
        <f ca="1">CAPEX!J81</f>
        <v>112500</v>
      </c>
      <c r="K74" s="31">
        <f ca="1">CAPEX!K81</f>
        <v>75000</v>
      </c>
      <c r="L74" s="31">
        <f ca="1">CAPEX!L81</f>
        <v>37500</v>
      </c>
      <c r="M74" s="31">
        <f ca="1">CAPEX!M81</f>
        <v>168697.43498250004</v>
      </c>
      <c r="N74" s="31">
        <f ca="1">CAPEX!N81</f>
        <v>112464.95665500005</v>
      </c>
    </row>
    <row r="75" spans="1:14" x14ac:dyDescent="0.25">
      <c r="E75" t="s">
        <v>56</v>
      </c>
      <c r="J75" s="31">
        <f ca="1">CAPEX!J82</f>
        <v>172500</v>
      </c>
      <c r="K75" s="31">
        <f ca="1">CAPEX!K82</f>
        <v>115000</v>
      </c>
      <c r="L75" s="31">
        <f ca="1">CAPEX!L82</f>
        <v>57500</v>
      </c>
      <c r="M75" s="31">
        <f ca="1">CAPEX!M82</f>
        <v>258669.40030650009</v>
      </c>
      <c r="N75" s="31">
        <f ca="1">CAPEX!N82</f>
        <v>172446.26687100006</v>
      </c>
    </row>
    <row r="76" spans="1:14" x14ac:dyDescent="0.25">
      <c r="E76" t="s">
        <v>57</v>
      </c>
      <c r="J76" s="31">
        <f ca="1">CAPEX!J83</f>
        <v>0</v>
      </c>
      <c r="K76" s="31">
        <f ca="1">CAPEX!K83</f>
        <v>152920</v>
      </c>
      <c r="L76" s="31">
        <f ca="1">CAPEX!L83</f>
        <v>76460</v>
      </c>
      <c r="M76" s="31">
        <f ca="1">CAPEX!M83</f>
        <v>199937.70072000008</v>
      </c>
      <c r="N76" s="31">
        <f ca="1">CAPEX!N83</f>
        <v>99968.85036000004</v>
      </c>
    </row>
    <row r="77" spans="1:14" ht="14.5" thickBot="1" x14ac:dyDescent="0.35">
      <c r="E77" s="21" t="s">
        <v>107</v>
      </c>
      <c r="J77" s="28">
        <f ca="1">SUM(J73:J76)</f>
        <v>351666.66666666663</v>
      </c>
      <c r="K77" s="28">
        <f ca="1">SUM(K73:K76)</f>
        <v>376253.33333333331</v>
      </c>
      <c r="L77" s="28">
        <f ca="1">SUM(L73:L76)</f>
        <v>259151.97399999999</v>
      </c>
      <c r="M77" s="28">
        <f ca="1">SUM(M73:M76)</f>
        <v>671150.52300900023</v>
      </c>
      <c r="N77" s="28">
        <f ca="1">SUM(N73:N76)</f>
        <v>498844.56329640019</v>
      </c>
    </row>
    <row r="78" spans="1:14" ht="14" thickTop="1" x14ac:dyDescent="0.25"/>
    <row r="80" spans="1:14" s="4" customFormat="1" ht="14" x14ac:dyDescent="0.3">
      <c r="A80" s="6" t="s">
        <v>8</v>
      </c>
      <c r="B80" s="5" t="s">
        <v>131</v>
      </c>
    </row>
    <row r="82" spans="1:14" x14ac:dyDescent="0.25">
      <c r="E82" t="s">
        <v>131</v>
      </c>
      <c r="J82" s="31">
        <f>J13/Assumptions!J11</f>
        <v>46980</v>
      </c>
      <c r="K82" s="31">
        <f>K13/Assumptions!K11</f>
        <v>112500</v>
      </c>
      <c r="L82" s="31">
        <f>L13/Assumptions!L11</f>
        <v>204000</v>
      </c>
      <c r="M82" s="31">
        <f>M13/Assumptions!M11</f>
        <v>243000</v>
      </c>
      <c r="N82" s="31">
        <f>N13/Assumptions!N11</f>
        <v>351600</v>
      </c>
    </row>
    <row r="84" spans="1:14" s="4" customFormat="1" ht="14" x14ac:dyDescent="0.3">
      <c r="A84" s="6" t="s">
        <v>8</v>
      </c>
      <c r="B84" s="5" t="s">
        <v>136</v>
      </c>
    </row>
    <row r="86" spans="1:14" x14ac:dyDescent="0.25">
      <c r="E86" t="s">
        <v>136</v>
      </c>
      <c r="J86" s="31">
        <f>J31/Assumptions!J11</f>
        <v>47214.933333333327</v>
      </c>
      <c r="K86" s="31">
        <f>K31/Assumptions!K11</f>
        <v>133076.14375000002</v>
      </c>
      <c r="L86" s="31">
        <f>L31/Assumptions!L11</f>
        <v>260950.94204574998</v>
      </c>
      <c r="M86" s="31">
        <f>M31/Assumptions!M11</f>
        <v>309061.19048722502</v>
      </c>
      <c r="N86" s="31">
        <f>N31/Assumptions!N11</f>
        <v>474702.59833301039</v>
      </c>
    </row>
    <row r="88" spans="1:14" s="4" customFormat="1" ht="14" x14ac:dyDescent="0.3">
      <c r="A88" s="6" t="s">
        <v>8</v>
      </c>
      <c r="B88" s="5" t="s">
        <v>137</v>
      </c>
    </row>
    <row r="90" spans="1:14" x14ac:dyDescent="0.25">
      <c r="E90" t="s">
        <v>5</v>
      </c>
      <c r="J90" s="31">
        <f>J61</f>
        <v>480000</v>
      </c>
    </row>
    <row r="91" spans="1:14" x14ac:dyDescent="0.25">
      <c r="E91" t="s">
        <v>138</v>
      </c>
    </row>
    <row r="92" spans="1:14" x14ac:dyDescent="0.25">
      <c r="E92" t="s">
        <v>70</v>
      </c>
      <c r="J92" s="31">
        <f>J43</f>
        <v>185000</v>
      </c>
    </row>
    <row r="93" spans="1:14" x14ac:dyDescent="0.25">
      <c r="E93" t="s">
        <v>91</v>
      </c>
      <c r="G93" s="38">
        <v>3</v>
      </c>
      <c r="J93" s="31">
        <f>G93*J25/Assumptions!I11</f>
        <v>515072</v>
      </c>
    </row>
    <row r="94" spans="1:14" x14ac:dyDescent="0.25">
      <c r="E94" t="s">
        <v>117</v>
      </c>
      <c r="G94" s="38">
        <v>3</v>
      </c>
      <c r="J94" s="31">
        <f>G94*J41/Assumptions!I11</f>
        <v>217980</v>
      </c>
    </row>
    <row r="95" spans="1:14" ht="14.5" thickBot="1" x14ac:dyDescent="0.35">
      <c r="J95" s="28">
        <f>SUM(J90:J94)</f>
        <v>1398052</v>
      </c>
    </row>
    <row r="96" spans="1:14" ht="14" thickTop="1" x14ac:dyDescent="0.25"/>
    <row r="97" spans="1:14" x14ac:dyDescent="0.25">
      <c r="E97" t="s">
        <v>78</v>
      </c>
      <c r="J97" s="31">
        <f>$J$95*Assumptions!G129</f>
        <v>838831.2</v>
      </c>
    </row>
    <row r="98" spans="1:14" x14ac:dyDescent="0.25">
      <c r="E98" t="s">
        <v>79</v>
      </c>
      <c r="J98" s="31">
        <f>$J$95*Assumptions!G130</f>
        <v>559220.80000000005</v>
      </c>
    </row>
    <row r="99" spans="1:14" ht="14.5" thickBot="1" x14ac:dyDescent="0.35">
      <c r="J99" s="28">
        <f>SUM(J97:J98)</f>
        <v>1398052</v>
      </c>
    </row>
    <row r="100" spans="1:14" ht="14" thickTop="1" x14ac:dyDescent="0.25"/>
    <row r="101" spans="1:14" s="4" customFormat="1" ht="14" x14ac:dyDescent="0.3">
      <c r="A101" s="6" t="s">
        <v>8</v>
      </c>
      <c r="B101" s="5" t="s">
        <v>139</v>
      </c>
    </row>
    <row r="103" spans="1:14" x14ac:dyDescent="0.25">
      <c r="E103" t="s">
        <v>110</v>
      </c>
      <c r="J103" s="31">
        <f>I108</f>
        <v>0</v>
      </c>
      <c r="K103" s="31">
        <f t="shared" ref="K103:L103" si="6">J108</f>
        <v>531259.76</v>
      </c>
      <c r="L103" s="31">
        <f t="shared" si="6"/>
        <v>0</v>
      </c>
      <c r="M103" s="31">
        <f>L108</f>
        <v>0</v>
      </c>
      <c r="N103" s="31">
        <f t="shared" ref="N103" si="7">M108</f>
        <v>0</v>
      </c>
    </row>
    <row r="104" spans="1:14" x14ac:dyDescent="0.25">
      <c r="E104" t="s">
        <v>140</v>
      </c>
      <c r="J104" s="31">
        <f>J98</f>
        <v>559220.80000000005</v>
      </c>
      <c r="K104" s="31">
        <f t="shared" ref="K104:L104" si="8">K98</f>
        <v>0</v>
      </c>
      <c r="L104" s="31">
        <f t="shared" si="8"/>
        <v>0</v>
      </c>
      <c r="M104" s="31">
        <f>M98</f>
        <v>0</v>
      </c>
      <c r="N104" s="31">
        <f t="shared" ref="N104" si="9">N98</f>
        <v>0</v>
      </c>
    </row>
    <row r="105" spans="1:14" x14ac:dyDescent="0.25">
      <c r="E105" t="s">
        <v>141</v>
      </c>
      <c r="J105" s="31">
        <f>SUM(J103:J104)*Assumptions!$G$134</f>
        <v>111844.16000000002</v>
      </c>
      <c r="K105" s="31">
        <f>SUM(K103:K104)*Assumptions!$G$134</f>
        <v>106251.952</v>
      </c>
      <c r="L105" s="31">
        <f>SUM(L103:L104)*Assumptions!$G$134</f>
        <v>0</v>
      </c>
      <c r="M105" s="31">
        <f>SUM(M103:M104)*Assumptions!$G$134</f>
        <v>0</v>
      </c>
      <c r="N105" s="31">
        <f>SUM(N103:N104)*Assumptions!$G$134</f>
        <v>0</v>
      </c>
    </row>
    <row r="106" spans="1:14" x14ac:dyDescent="0.25">
      <c r="E106" t="s">
        <v>142</v>
      </c>
      <c r="J106" s="31">
        <f>-SUM(J103:J104)*Assumptions!G135</f>
        <v>-139805.20000000001</v>
      </c>
      <c r="K106" s="31">
        <f>-SUM(K103:K104)*Assumptions!H135</f>
        <v>0</v>
      </c>
      <c r="L106" s="31">
        <f>-SUM(L103:L104)*Assumptions!I135</f>
        <v>0</v>
      </c>
      <c r="M106" s="31">
        <f>-SUM(M103:M104)*Assumptions!J135</f>
        <v>0</v>
      </c>
      <c r="N106" s="31">
        <f>-SUM(N103:N104)*Assumptions!K135</f>
        <v>0</v>
      </c>
    </row>
    <row r="107" spans="1:14" x14ac:dyDescent="0.25">
      <c r="E107" t="s">
        <v>143</v>
      </c>
      <c r="J107" s="31">
        <f>IF(Assumptions!$G$137=J5,-SUM(J103:J105),0)</f>
        <v>0</v>
      </c>
      <c r="K107" s="31">
        <f>IF(Assumptions!$G$137=K5,-SUM(K103:K105),0)</f>
        <v>-637511.71200000006</v>
      </c>
      <c r="L107" s="31">
        <f>IF(Assumptions!$G$137=L5,-SUM(L103:L105),0)</f>
        <v>0</v>
      </c>
      <c r="M107" s="31">
        <f>IF(Assumptions!$G$137=M5,-SUM(M103:M105),0)</f>
        <v>0</v>
      </c>
      <c r="N107" s="31">
        <f>IF(Assumptions!$G$137=N5,-SUM(N103:N105),0)</f>
        <v>0</v>
      </c>
    </row>
    <row r="108" spans="1:14" x14ac:dyDescent="0.25">
      <c r="E108" t="s">
        <v>111</v>
      </c>
      <c r="J108" s="31">
        <f>SUM(J103:J107)</f>
        <v>531259.76</v>
      </c>
      <c r="K108" s="31">
        <f t="shared" ref="K108:L108" si="10">SUM(K103:K107)</f>
        <v>0</v>
      </c>
      <c r="L108" s="31">
        <f t="shared" si="10"/>
        <v>0</v>
      </c>
      <c r="M108" s="31">
        <f>SUM(M103:M107)</f>
        <v>0</v>
      </c>
      <c r="N108" s="31">
        <f t="shared" ref="N108" si="11">SUM(N103:N107)</f>
        <v>0</v>
      </c>
    </row>
    <row r="111" spans="1:14" s="4" customFormat="1" ht="14" x14ac:dyDescent="0.3">
      <c r="A111" s="6" t="s">
        <v>8</v>
      </c>
      <c r="B111" s="5" t="s">
        <v>144</v>
      </c>
    </row>
    <row r="113" spans="1:14" x14ac:dyDescent="0.25">
      <c r="E113" t="s">
        <v>86</v>
      </c>
      <c r="J113" s="31">
        <f>J11</f>
        <v>3758400</v>
      </c>
      <c r="K113" s="31">
        <f>K11</f>
        <v>9000000</v>
      </c>
      <c r="L113" s="31">
        <f>L11</f>
        <v>16320000</v>
      </c>
      <c r="M113" s="31">
        <f>M11</f>
        <v>19440000</v>
      </c>
      <c r="N113" s="31">
        <f>N11</f>
        <v>28128000</v>
      </c>
    </row>
    <row r="114" spans="1:14" x14ac:dyDescent="0.25">
      <c r="E114" t="s">
        <v>150</v>
      </c>
      <c r="J114" s="31">
        <f ca="1">'Financial Statements'!J23</f>
        <v>101014.50666666649</v>
      </c>
      <c r="K114" s="31">
        <f ca="1">'Financial Statements'!K23</f>
        <v>407516.11466666643</v>
      </c>
      <c r="L114" s="31">
        <f ca="1">'Financial Statements'!L23</f>
        <v>1608690.8280666671</v>
      </c>
      <c r="M114" s="31">
        <f ca="1">'Financial Statements'!M23</f>
        <v>1478282.6521953978</v>
      </c>
      <c r="N114" s="31">
        <f ca="1">'Financial Statements'!N23</f>
        <v>2474776.4448351897</v>
      </c>
    </row>
    <row r="116" spans="1:14" x14ac:dyDescent="0.25">
      <c r="E116" t="s">
        <v>146</v>
      </c>
      <c r="J116" s="33" t="b">
        <f>J113&gt;=Assumptions!$G$133</f>
        <v>0</v>
      </c>
      <c r="K116" s="33" t="b">
        <f>K113&gt;=Assumptions!$G$133</f>
        <v>0</v>
      </c>
      <c r="L116" s="33" t="b">
        <f>L113&gt;=Assumptions!$G$133</f>
        <v>0</v>
      </c>
      <c r="M116" s="33" t="b">
        <f>M113&gt;=Assumptions!$G$133</f>
        <v>0</v>
      </c>
      <c r="N116" s="33" t="b">
        <f>N113&gt;=Assumptions!$G$133</f>
        <v>1</v>
      </c>
    </row>
    <row r="117" spans="1:14" x14ac:dyDescent="0.25">
      <c r="J117" s="33"/>
      <c r="K117" s="33"/>
      <c r="L117" s="33"/>
      <c r="M117" s="33"/>
      <c r="N117" s="33"/>
    </row>
    <row r="118" spans="1:14" x14ac:dyDescent="0.25">
      <c r="E118" t="s">
        <v>166</v>
      </c>
      <c r="J118" s="31">
        <f>I121</f>
        <v>0</v>
      </c>
      <c r="K118" s="31">
        <f t="shared" ref="K118:N118" si="12">J121</f>
        <v>0</v>
      </c>
      <c r="L118" s="31">
        <f t="shared" si="12"/>
        <v>0</v>
      </c>
      <c r="M118" s="31">
        <f t="shared" si="12"/>
        <v>0</v>
      </c>
      <c r="N118" s="31">
        <f t="shared" si="12"/>
        <v>0</v>
      </c>
    </row>
    <row r="119" spans="1:14" x14ac:dyDescent="0.25">
      <c r="E119" t="s">
        <v>168</v>
      </c>
      <c r="J119" s="31">
        <f>IF(J$116=TRUE,J$114*Assumptions!$J$17,0)</f>
        <v>0</v>
      </c>
      <c r="K119" s="31">
        <f>IF(K$116=TRUE,K$114*Assumptions!$J$17,0)</f>
        <v>0</v>
      </c>
      <c r="L119" s="31">
        <f>IF(L$116=TRUE,L$114*Assumptions!$J$17,0)</f>
        <v>0</v>
      </c>
      <c r="M119" s="31">
        <f>IF(M$116=TRUE,M$114*Assumptions!$J$17,0)</f>
        <v>0</v>
      </c>
      <c r="N119" s="31">
        <f ca="1">IF(N$116=TRUE,N$114*Assumptions!$J$17,0)</f>
        <v>730059.05122638098</v>
      </c>
    </row>
    <row r="120" spans="1:14" x14ac:dyDescent="0.25">
      <c r="E120" t="s">
        <v>167</v>
      </c>
      <c r="J120" s="31">
        <f>-I119</f>
        <v>0</v>
      </c>
      <c r="K120" s="31">
        <f t="shared" ref="K120:N120" si="13">-J119</f>
        <v>0</v>
      </c>
      <c r="L120" s="31">
        <f t="shared" si="13"/>
        <v>0</v>
      </c>
      <c r="M120" s="31">
        <f t="shared" si="13"/>
        <v>0</v>
      </c>
      <c r="N120" s="31">
        <f t="shared" si="13"/>
        <v>0</v>
      </c>
    </row>
    <row r="121" spans="1:14" x14ac:dyDescent="0.25">
      <c r="E121" t="s">
        <v>169</v>
      </c>
      <c r="J121" s="31">
        <f>SUM(J118:J120)</f>
        <v>0</v>
      </c>
      <c r="K121" s="31">
        <f t="shared" ref="K121:N121" si="14">SUM(K118:K120)</f>
        <v>0</v>
      </c>
      <c r="L121" s="31">
        <f t="shared" si="14"/>
        <v>0</v>
      </c>
      <c r="M121" s="31">
        <f t="shared" si="14"/>
        <v>0</v>
      </c>
      <c r="N121" s="31">
        <f t="shared" ca="1" si="14"/>
        <v>730059.05122638098</v>
      </c>
    </row>
    <row r="123" spans="1:14" s="4" customFormat="1" ht="14" x14ac:dyDescent="0.3">
      <c r="A123" s="6" t="s">
        <v>8</v>
      </c>
      <c r="B123" s="5" t="s">
        <v>149</v>
      </c>
    </row>
    <row r="125" spans="1:14" x14ac:dyDescent="0.25">
      <c r="E125" t="s">
        <v>147</v>
      </c>
      <c r="J125" s="31">
        <f ca="1">'Financial Statements'!J27</f>
        <v>101014.50666666649</v>
      </c>
      <c r="K125" s="31">
        <f ca="1">'Financial Statements'!K27</f>
        <v>407516.11466666643</v>
      </c>
      <c r="L125" s="31">
        <f ca="1">'Financial Statements'!L27</f>
        <v>1608690.8280666671</v>
      </c>
      <c r="M125" s="31">
        <f ca="1">'Financial Statements'!M27</f>
        <v>1478282.6521953978</v>
      </c>
      <c r="N125" s="31">
        <f ca="1">'Financial Statements'!N27</f>
        <v>1744717.3936088088</v>
      </c>
    </row>
    <row r="127" spans="1:14" x14ac:dyDescent="0.25">
      <c r="E127" t="s">
        <v>151</v>
      </c>
      <c r="J127" s="18" t="b">
        <f ca="1">J125&gt;=Assumptions!G132</f>
        <v>0</v>
      </c>
      <c r="K127" s="18" t="b">
        <f ca="1">K125&gt;=Assumptions!H132</f>
        <v>1</v>
      </c>
      <c r="L127" s="18" t="b">
        <f ca="1">L125&gt;=Assumptions!I132</f>
        <v>1</v>
      </c>
      <c r="M127" s="18" t="b">
        <f ca="1">M125&gt;=Assumptions!J132</f>
        <v>1</v>
      </c>
      <c r="N127" s="18" t="b">
        <f ca="1">N125&gt;=Assumptions!K132</f>
        <v>1</v>
      </c>
    </row>
    <row r="129" spans="1:14" x14ac:dyDescent="0.25">
      <c r="E129" t="s">
        <v>166</v>
      </c>
      <c r="J129" s="31">
        <f>I132</f>
        <v>0</v>
      </c>
      <c r="K129" s="31">
        <f t="shared" ref="K129:N129" ca="1" si="15">J132</f>
        <v>0</v>
      </c>
      <c r="L129" s="31">
        <f t="shared" ca="1" si="15"/>
        <v>81503.222933333294</v>
      </c>
      <c r="M129" s="31">
        <f t="shared" ca="1" si="15"/>
        <v>321738.16561333346</v>
      </c>
      <c r="N129" s="31">
        <f t="shared" ca="1" si="15"/>
        <v>295656.53043907951</v>
      </c>
    </row>
    <row r="130" spans="1:14" x14ac:dyDescent="0.25">
      <c r="E130" t="s">
        <v>152</v>
      </c>
      <c r="J130" s="31">
        <f ca="1">IF(J$127=TRUE,Assumptions!$G$131*J$125,0)</f>
        <v>0</v>
      </c>
      <c r="K130" s="31">
        <f ca="1">IF(K$127=TRUE,Assumptions!$G$131*K$125,0)</f>
        <v>81503.222933333294</v>
      </c>
      <c r="L130" s="31">
        <f ca="1">IF(L$127=TRUE,Assumptions!$G$131*L$125,0)</f>
        <v>321738.16561333346</v>
      </c>
      <c r="M130" s="31">
        <f ca="1">IF(M$127=TRUE,Assumptions!$G$131*M$125,0)</f>
        <v>295656.53043907956</v>
      </c>
      <c r="N130" s="31">
        <f ca="1">IF(N$127=TRUE,Assumptions!$G$131*N$125,0)</f>
        <v>348943.47872176178</v>
      </c>
    </row>
    <row r="131" spans="1:14" x14ac:dyDescent="0.25">
      <c r="E131" t="s">
        <v>170</v>
      </c>
      <c r="J131" s="31">
        <f>-I130</f>
        <v>0</v>
      </c>
      <c r="K131" s="31">
        <f t="shared" ref="K131:N131" ca="1" si="16">-J130</f>
        <v>0</v>
      </c>
      <c r="L131" s="31">
        <f t="shared" ca="1" si="16"/>
        <v>-81503.222933333294</v>
      </c>
      <c r="M131" s="31">
        <f t="shared" ca="1" si="16"/>
        <v>-321738.16561333346</v>
      </c>
      <c r="N131" s="31">
        <f t="shared" ca="1" si="16"/>
        <v>-295656.53043907956</v>
      </c>
    </row>
    <row r="132" spans="1:14" x14ac:dyDescent="0.25">
      <c r="E132" t="s">
        <v>169</v>
      </c>
      <c r="J132" s="31">
        <f ca="1">SUM(J129:J131)</f>
        <v>0</v>
      </c>
      <c r="K132" s="31">
        <f t="shared" ref="K132:N132" ca="1" si="17">SUM(K129:K131)</f>
        <v>81503.222933333294</v>
      </c>
      <c r="L132" s="31">
        <f t="shared" ca="1" si="17"/>
        <v>321738.16561333346</v>
      </c>
      <c r="M132" s="31">
        <f t="shared" ca="1" si="17"/>
        <v>295656.53043907951</v>
      </c>
      <c r="N132" s="31">
        <f t="shared" ca="1" si="17"/>
        <v>348943.47872176178</v>
      </c>
    </row>
    <row r="134" spans="1:14" s="4" customFormat="1" ht="14" x14ac:dyDescent="0.3">
      <c r="A134" s="6" t="s">
        <v>8</v>
      </c>
      <c r="B134" s="5" t="s">
        <v>202</v>
      </c>
    </row>
    <row r="136" spans="1:14" x14ac:dyDescent="0.25">
      <c r="E136" t="s">
        <v>203</v>
      </c>
      <c r="J136" s="23">
        <f>Assumptions!G131</f>
        <v>0.2</v>
      </c>
    </row>
    <row r="137" spans="1:14" x14ac:dyDescent="0.25">
      <c r="E137" t="s">
        <v>204</v>
      </c>
      <c r="J137" s="23">
        <f>Assumptions!G129</f>
        <v>0.6</v>
      </c>
    </row>
    <row r="140" spans="1:14" x14ac:dyDescent="0.25">
      <c r="E140" t="s">
        <v>205</v>
      </c>
      <c r="J140" s="23">
        <f>Assumptions!G134</f>
        <v>0.2</v>
      </c>
    </row>
    <row r="141" spans="1:14" x14ac:dyDescent="0.25">
      <c r="E141" t="s">
        <v>207</v>
      </c>
      <c r="J141" s="23">
        <f>Assumptions!J17*J140</f>
        <v>5.8999999999999997E-2</v>
      </c>
    </row>
    <row r="142" spans="1:14" x14ac:dyDescent="0.25">
      <c r="E142" t="s">
        <v>209</v>
      </c>
      <c r="J142" s="23">
        <f>J140-J141</f>
        <v>0.14100000000000001</v>
      </c>
    </row>
    <row r="143" spans="1:14" x14ac:dyDescent="0.25">
      <c r="E143" t="s">
        <v>206</v>
      </c>
      <c r="J143" s="23">
        <f>Assumptions!G130</f>
        <v>0.4</v>
      </c>
    </row>
    <row r="146" spans="5:10" ht="14" x14ac:dyDescent="0.3">
      <c r="E146" s="21" t="s">
        <v>208</v>
      </c>
      <c r="J146" s="11">
        <f>(J137*J136)+(J143*J142)</f>
        <v>0.1764</v>
      </c>
    </row>
  </sheetData>
  <hyperlinks>
    <hyperlink ref="M1" location="'Cover Page'!A1" display="MENU" xr:uid="{06DCF9C0-F260-40D4-A7DB-EE0D4A11CB3D}"/>
  </hyperlink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Drop Down 1">
              <controlPr defaultSize="0" autoLine="0" autoPict="0">
                <anchor moveWithCells="1">
                  <from>
                    <xdr:col>4</xdr:col>
                    <xdr:colOff>2120900</xdr:colOff>
                    <xdr:row>2</xdr:row>
                    <xdr:rowOff>171450</xdr:rowOff>
                  </from>
                  <to>
                    <xdr:col>6</xdr:col>
                    <xdr:colOff>177800</xdr:colOff>
                    <xdr:row>4</xdr:row>
                    <xdr:rowOff>133350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0696D-6E96-4180-AAC1-ECF575FF839D}">
  <sheetPr>
    <tabColor theme="5" tint="-0.499984740745262"/>
  </sheetPr>
  <dimension ref="A1:N83"/>
  <sheetViews>
    <sheetView topLeftCell="A10" zoomScale="86" zoomScaleNormal="86" workbookViewId="0">
      <selection activeCell="M1" sqref="M1"/>
    </sheetView>
  </sheetViews>
  <sheetFormatPr defaultRowHeight="13.5" x14ac:dyDescent="0.25"/>
  <cols>
    <col min="1" max="4" width="4.5" customWidth="1"/>
    <col min="5" max="5" width="40.9140625" customWidth="1"/>
    <col min="6" max="6" width="3.58203125" customWidth="1"/>
    <col min="7" max="7" width="2.33203125" customWidth="1"/>
    <col min="8" max="8" width="7.1640625" bestFit="1" customWidth="1"/>
    <col min="9" max="9" width="4.08203125" customWidth="1"/>
    <col min="10" max="14" width="9" style="27" bestFit="1" customWidth="1"/>
    <col min="15" max="16384" width="8.6640625" style="27"/>
  </cols>
  <sheetData>
    <row r="1" spans="1:14" s="8" customFormat="1" ht="14" x14ac:dyDescent="0.3">
      <c r="A1" s="8" t="s">
        <v>0</v>
      </c>
      <c r="M1" s="63" t="s">
        <v>267</v>
      </c>
    </row>
    <row r="2" spans="1:14" s="8" customFormat="1" ht="14" x14ac:dyDescent="0.3">
      <c r="A2" s="8" t="s">
        <v>1</v>
      </c>
    </row>
    <row r="3" spans="1:14" s="8" customFormat="1" ht="14" x14ac:dyDescent="0.3">
      <c r="A3" s="8" t="s">
        <v>5</v>
      </c>
    </row>
    <row r="4" spans="1:14" s="8" customFormat="1" ht="14" x14ac:dyDescent="0.3"/>
    <row r="5" spans="1:14" s="8" customFormat="1" ht="14" x14ac:dyDescent="0.3">
      <c r="A5" s="8" t="s">
        <v>3</v>
      </c>
      <c r="J5" s="8">
        <v>2024</v>
      </c>
      <c r="K5" s="8">
        <f>J5+1</f>
        <v>2025</v>
      </c>
      <c r="L5" s="8">
        <f t="shared" ref="L5:N5" si="0">K5+1</f>
        <v>2026</v>
      </c>
      <c r="M5" s="8">
        <f t="shared" si="0"/>
        <v>2027</v>
      </c>
      <c r="N5" s="8">
        <f t="shared" si="0"/>
        <v>2028</v>
      </c>
    </row>
    <row r="6" spans="1:14" customFormat="1" x14ac:dyDescent="0.25"/>
    <row r="7" spans="1:14" s="6" customFormat="1" ht="12.5" x14ac:dyDescent="0.25">
      <c r="A7" s="6" t="s">
        <v>8</v>
      </c>
      <c r="B7" s="6" t="s">
        <v>101</v>
      </c>
    </row>
    <row r="8" spans="1:14" x14ac:dyDescent="0.25">
      <c r="E8" t="s">
        <v>105</v>
      </c>
      <c r="J8" s="31">
        <f>Assumptions!J97*Assumptions!J96</f>
        <v>100000</v>
      </c>
      <c r="K8" s="31">
        <f>Assumptions!K97*Assumptions!K96</f>
        <v>0</v>
      </c>
      <c r="L8" s="31">
        <f>Assumptions!L97*Assumptions!L96</f>
        <v>131537.96100000001</v>
      </c>
      <c r="M8" s="31">
        <f>Assumptions!M97*Assumptions!M96</f>
        <v>0</v>
      </c>
      <c r="N8" s="31">
        <f>Assumptions!N97*Assumptions!N96</f>
        <v>170946.73411560006</v>
      </c>
    </row>
    <row r="9" spans="1:14" x14ac:dyDescent="0.25">
      <c r="E9" t="s">
        <v>102</v>
      </c>
      <c r="G9" s="27"/>
      <c r="H9" s="30">
        <f>Assumptions!F112</f>
        <v>3</v>
      </c>
    </row>
    <row r="10" spans="1:14" x14ac:dyDescent="0.25">
      <c r="E10" t="s">
        <v>103</v>
      </c>
      <c r="J10" s="31">
        <f ca="1">OFFSET(J8,0,-$H$9+1,1,$H$9)/$H$9</f>
        <v>33333.333333333336</v>
      </c>
      <c r="K10" s="31">
        <f t="shared" ref="K10:N10" ca="1" si="1">OFFSET(K8,0,-$H$9+1,1,$H$9)/$H$9</f>
        <v>0</v>
      </c>
      <c r="L10" s="31">
        <f t="shared" ca="1" si="1"/>
        <v>43845.987000000001</v>
      </c>
      <c r="M10" s="31">
        <f t="shared" ca="1" si="1"/>
        <v>0</v>
      </c>
      <c r="N10" s="31">
        <f t="shared" ca="1" si="1"/>
        <v>56982.244705200021</v>
      </c>
    </row>
    <row r="11" spans="1:14" ht="14" x14ac:dyDescent="0.3">
      <c r="E11" s="13" t="s">
        <v>104</v>
      </c>
      <c r="J11" s="32">
        <f ca="1">SUM(OFFSET(J8,0,-$H$9+1,1,$H$9))/$H$9</f>
        <v>33333.333333333336</v>
      </c>
      <c r="K11" s="32">
        <f ca="1">SUM(OFFSET(K8,0,-$H$9+1,1,$H$9))/$H$9</f>
        <v>33333.333333333336</v>
      </c>
      <c r="L11" s="32">
        <f ca="1">SUM(OFFSET(L8,0,-$H$9+1,1,$H$9))/$H$9</f>
        <v>77179.320333333337</v>
      </c>
      <c r="M11" s="32">
        <f ca="1">SUM(OFFSET(M8,0,-$H$9+1,1,$H$9))/$H$9</f>
        <v>43845.987000000001</v>
      </c>
      <c r="N11" s="32">
        <f ca="1">SUM(OFFSET(N8,0,-$H$9+1,1,$H$9))/$H$9</f>
        <v>100828.23170520003</v>
      </c>
    </row>
    <row r="12" spans="1:14" x14ac:dyDescent="0.25">
      <c r="G12" s="17"/>
    </row>
    <row r="14" spans="1:14" s="6" customFormat="1" ht="12.5" x14ac:dyDescent="0.25">
      <c r="A14" s="6" t="s">
        <v>8</v>
      </c>
      <c r="B14" s="6" t="s">
        <v>67</v>
      </c>
    </row>
    <row r="15" spans="1:14" x14ac:dyDescent="0.25">
      <c r="E15" t="s">
        <v>105</v>
      </c>
      <c r="J15" s="31">
        <f>Assumptions!J101*Assumptions!J100</f>
        <v>150000</v>
      </c>
      <c r="K15" s="31">
        <f>Assumptions!K101*Assumptions!K100</f>
        <v>0</v>
      </c>
      <c r="L15" s="31">
        <f>Assumptions!L101*Assumptions!L100</f>
        <v>0</v>
      </c>
      <c r="M15" s="31">
        <f>Assumptions!M101*Assumptions!M100</f>
        <v>224929.91331000003</v>
      </c>
      <c r="N15" s="31">
        <f>Assumptions!N101*Assumptions!N100</f>
        <v>0</v>
      </c>
    </row>
    <row r="16" spans="1:14" x14ac:dyDescent="0.25">
      <c r="E16" t="s">
        <v>102</v>
      </c>
      <c r="H16" s="30">
        <f>Assumptions!F113</f>
        <v>4</v>
      </c>
    </row>
    <row r="17" spans="1:14" x14ac:dyDescent="0.25">
      <c r="E17" t="s">
        <v>103</v>
      </c>
      <c r="J17" s="31">
        <f ca="1">OFFSET(J$15,0,-$H$16+1,1,$H$16)/$H$16</f>
        <v>37500</v>
      </c>
      <c r="K17" s="31">
        <f t="shared" ref="K17:N17" ca="1" si="2">OFFSET(K$15,0,-$H$16+1,1,$H$16)/$H$16</f>
        <v>0</v>
      </c>
      <c r="L17" s="31">
        <f t="shared" ca="1" si="2"/>
        <v>0</v>
      </c>
      <c r="M17" s="31">
        <f t="shared" ca="1" si="2"/>
        <v>56232.478327500008</v>
      </c>
      <c r="N17" s="31">
        <f t="shared" ca="1" si="2"/>
        <v>0</v>
      </c>
    </row>
    <row r="18" spans="1:14" ht="14" x14ac:dyDescent="0.3">
      <c r="E18" s="13" t="s">
        <v>104</v>
      </c>
      <c r="J18" s="32">
        <f ca="1">SUM(OFFSET(J$15,0,-$H$16+1,1,$H$16))/$H$16</f>
        <v>37500</v>
      </c>
      <c r="K18" s="32">
        <f t="shared" ref="K18:N18" ca="1" si="3">SUM(OFFSET(K$15,0,-$H$16+1,1,$H$16))/$H$16</f>
        <v>37500</v>
      </c>
      <c r="L18" s="32">
        <f t="shared" ca="1" si="3"/>
        <v>37500</v>
      </c>
      <c r="M18" s="32">
        <f t="shared" ca="1" si="3"/>
        <v>93732.478327500008</v>
      </c>
      <c r="N18" s="32">
        <f t="shared" ca="1" si="3"/>
        <v>56232.478327500008</v>
      </c>
    </row>
    <row r="21" spans="1:14" s="6" customFormat="1" ht="12.5" x14ac:dyDescent="0.25">
      <c r="A21" s="6" t="s">
        <v>8</v>
      </c>
      <c r="B21" s="6" t="s">
        <v>56</v>
      </c>
    </row>
    <row r="22" spans="1:14" x14ac:dyDescent="0.25">
      <c r="E22" t="s">
        <v>105</v>
      </c>
      <c r="J22" s="31">
        <f>Assumptions!J104*Assumptions!J105</f>
        <v>230000</v>
      </c>
      <c r="K22" s="31">
        <f>Assumptions!K104*Assumptions!K105</f>
        <v>0</v>
      </c>
      <c r="L22" s="31">
        <f>Assumptions!L104*Assumptions!L105</f>
        <v>0</v>
      </c>
      <c r="M22" s="31">
        <f>Assumptions!M104*Assumptions!M105</f>
        <v>344892.53374200006</v>
      </c>
      <c r="N22" s="31">
        <f>Assumptions!N104*Assumptions!N105</f>
        <v>0</v>
      </c>
    </row>
    <row r="23" spans="1:14" x14ac:dyDescent="0.25">
      <c r="E23" t="s">
        <v>102</v>
      </c>
      <c r="H23" s="30">
        <f>Assumptions!F114</f>
        <v>4</v>
      </c>
    </row>
    <row r="24" spans="1:14" x14ac:dyDescent="0.25">
      <c r="E24" t="s">
        <v>103</v>
      </c>
      <c r="J24" s="31">
        <f ca="1">OFFSET(J$22,0,-$H$23+1,1,$H$23)/$H$23</f>
        <v>57500</v>
      </c>
      <c r="K24" s="31">
        <f t="shared" ref="K24:N24" ca="1" si="4">OFFSET(K$22,0,-$H$23+1,1,$H$23)/$H$23</f>
        <v>0</v>
      </c>
      <c r="L24" s="31">
        <f t="shared" ca="1" si="4"/>
        <v>0</v>
      </c>
      <c r="M24" s="31">
        <f t="shared" ca="1" si="4"/>
        <v>86223.133435500014</v>
      </c>
      <c r="N24" s="31">
        <f t="shared" ca="1" si="4"/>
        <v>0</v>
      </c>
    </row>
    <row r="25" spans="1:14" ht="14" x14ac:dyDescent="0.3">
      <c r="E25" s="13" t="s">
        <v>104</v>
      </c>
      <c r="J25" s="32">
        <f ca="1">SUM(OFFSET(J$22,0,-$H$23+1,1,$H$23))/$H$23</f>
        <v>57500</v>
      </c>
      <c r="K25" s="32">
        <f t="shared" ref="K25:N25" ca="1" si="5">SUM(OFFSET(K$22,0,-$H$23+1,1,$H$23))/$H$23</f>
        <v>57500</v>
      </c>
      <c r="L25" s="32">
        <f t="shared" ca="1" si="5"/>
        <v>57500</v>
      </c>
      <c r="M25" s="32">
        <f t="shared" ca="1" si="5"/>
        <v>143723.13343550003</v>
      </c>
      <c r="N25" s="32">
        <f t="shared" ca="1" si="5"/>
        <v>86223.133435500014</v>
      </c>
    </row>
    <row r="28" spans="1:14" s="6" customFormat="1" ht="12.5" x14ac:dyDescent="0.25">
      <c r="A28" s="6" t="s">
        <v>8</v>
      </c>
      <c r="B28" s="6" t="s">
        <v>57</v>
      </c>
    </row>
    <row r="29" spans="1:14" x14ac:dyDescent="0.25">
      <c r="E29" t="s">
        <v>105</v>
      </c>
      <c r="J29" s="31">
        <f>Assumptions!J108*Assumptions!J109</f>
        <v>0</v>
      </c>
      <c r="K29" s="31">
        <f>Assumptions!K108*Assumptions!K109</f>
        <v>229380</v>
      </c>
      <c r="L29" s="31">
        <f>Assumptions!L108*Assumptions!L109</f>
        <v>0</v>
      </c>
      <c r="M29" s="31">
        <f>Assumptions!M108*Assumptions!M109</f>
        <v>299906.55108000006</v>
      </c>
      <c r="N29" s="31">
        <f>Assumptions!N108*Assumptions!N109</f>
        <v>0</v>
      </c>
    </row>
    <row r="30" spans="1:14" x14ac:dyDescent="0.25">
      <c r="E30" t="s">
        <v>102</v>
      </c>
      <c r="H30" s="30">
        <f>Assumptions!F115</f>
        <v>3</v>
      </c>
    </row>
    <row r="31" spans="1:14" x14ac:dyDescent="0.25">
      <c r="E31" t="s">
        <v>103</v>
      </c>
      <c r="J31" s="31">
        <f ca="1">OFFSET(J$29,0,-$H$30+1,1,$H$30)/$H$30</f>
        <v>0</v>
      </c>
      <c r="K31" s="31">
        <f t="shared" ref="K31:N31" ca="1" si="6">OFFSET(K$29,0,-$H$30+1,1,$H$30)/$H$30</f>
        <v>76460</v>
      </c>
      <c r="L31" s="31">
        <f t="shared" ca="1" si="6"/>
        <v>0</v>
      </c>
      <c r="M31" s="31">
        <f t="shared" ca="1" si="6"/>
        <v>99968.850360000026</v>
      </c>
      <c r="N31" s="31">
        <f t="shared" ca="1" si="6"/>
        <v>0</v>
      </c>
    </row>
    <row r="32" spans="1:14" ht="14" x14ac:dyDescent="0.3">
      <c r="E32" s="13" t="s">
        <v>104</v>
      </c>
      <c r="J32" s="32">
        <f ca="1">SUM(OFFSET(J$29,0,-$H$30+1,1,$H$30))/$H$30</f>
        <v>0</v>
      </c>
      <c r="K32" s="32">
        <f t="shared" ref="K32:N32" ca="1" si="7">SUM(OFFSET(K$29,0,-$H$30+1,1,$H$30))/$H$30</f>
        <v>76460</v>
      </c>
      <c r="L32" s="32">
        <f t="shared" ca="1" si="7"/>
        <v>76460</v>
      </c>
      <c r="M32" s="32">
        <f t="shared" ca="1" si="7"/>
        <v>176428.85036000004</v>
      </c>
      <c r="N32" s="32">
        <f t="shared" ca="1" si="7"/>
        <v>99968.850360000026</v>
      </c>
    </row>
    <row r="35" spans="1:14" s="4" customFormat="1" ht="14" x14ac:dyDescent="0.3">
      <c r="A35" s="6" t="s">
        <v>8</v>
      </c>
      <c r="B35" s="5" t="s">
        <v>108</v>
      </c>
    </row>
    <row r="36" spans="1:14" x14ac:dyDescent="0.25">
      <c r="C36" t="s">
        <v>109</v>
      </c>
    </row>
    <row r="37" spans="1:14" x14ac:dyDescent="0.25">
      <c r="D37" t="s">
        <v>110</v>
      </c>
    </row>
    <row r="38" spans="1:14" ht="14" x14ac:dyDescent="0.3">
      <c r="E38" s="21" t="s">
        <v>101</v>
      </c>
      <c r="J38" s="31">
        <f t="shared" ref="J38:N41" si="8">I52</f>
        <v>0</v>
      </c>
      <c r="K38" s="31">
        <f t="shared" si="8"/>
        <v>100000</v>
      </c>
      <c r="L38" s="31">
        <f t="shared" si="8"/>
        <v>100000</v>
      </c>
      <c r="M38" s="31">
        <f t="shared" si="8"/>
        <v>231537.96100000001</v>
      </c>
      <c r="N38" s="31">
        <f t="shared" si="8"/>
        <v>231537.96100000001</v>
      </c>
    </row>
    <row r="39" spans="1:14" ht="14" x14ac:dyDescent="0.3">
      <c r="E39" s="21" t="s">
        <v>67</v>
      </c>
      <c r="J39" s="31">
        <f t="shared" si="8"/>
        <v>0</v>
      </c>
      <c r="K39" s="31">
        <f t="shared" si="8"/>
        <v>150000</v>
      </c>
      <c r="L39" s="31">
        <f t="shared" si="8"/>
        <v>150000</v>
      </c>
      <c r="M39" s="31">
        <f t="shared" si="8"/>
        <v>150000</v>
      </c>
      <c r="N39" s="31">
        <f t="shared" si="8"/>
        <v>374929.91331000003</v>
      </c>
    </row>
    <row r="40" spans="1:14" ht="14" x14ac:dyDescent="0.3">
      <c r="E40" s="21" t="s">
        <v>56</v>
      </c>
      <c r="J40" s="31">
        <f t="shared" si="8"/>
        <v>0</v>
      </c>
      <c r="K40" s="31">
        <f t="shared" si="8"/>
        <v>230000</v>
      </c>
      <c r="L40" s="31">
        <f t="shared" si="8"/>
        <v>230000</v>
      </c>
      <c r="M40" s="31">
        <f t="shared" si="8"/>
        <v>230000</v>
      </c>
      <c r="N40" s="31">
        <f t="shared" si="8"/>
        <v>574892.53374200012</v>
      </c>
    </row>
    <row r="41" spans="1:14" ht="14" x14ac:dyDescent="0.3">
      <c r="E41" s="21" t="s">
        <v>57</v>
      </c>
      <c r="J41" s="31">
        <f t="shared" si="8"/>
        <v>0</v>
      </c>
      <c r="K41" s="31">
        <f t="shared" si="8"/>
        <v>0</v>
      </c>
      <c r="L41" s="31">
        <f t="shared" si="8"/>
        <v>229380</v>
      </c>
      <c r="M41" s="31">
        <f t="shared" si="8"/>
        <v>229380</v>
      </c>
      <c r="N41" s="31">
        <f t="shared" si="8"/>
        <v>529286.55108000012</v>
      </c>
    </row>
    <row r="44" spans="1:14" x14ac:dyDescent="0.25">
      <c r="D44" t="s">
        <v>112</v>
      </c>
    </row>
    <row r="45" spans="1:14" ht="14" x14ac:dyDescent="0.3">
      <c r="E45" s="21" t="s">
        <v>101</v>
      </c>
      <c r="J45" s="31">
        <f>J8</f>
        <v>100000</v>
      </c>
      <c r="K45" s="31">
        <f>K8</f>
        <v>0</v>
      </c>
      <c r="L45" s="31">
        <f>L8</f>
        <v>131537.96100000001</v>
      </c>
      <c r="M45" s="31">
        <f>M8</f>
        <v>0</v>
      </c>
      <c r="N45" s="31">
        <f>N8</f>
        <v>170946.73411560006</v>
      </c>
    </row>
    <row r="46" spans="1:14" ht="14" x14ac:dyDescent="0.3">
      <c r="E46" s="21" t="s">
        <v>67</v>
      </c>
      <c r="J46" s="31">
        <f>J15</f>
        <v>150000</v>
      </c>
      <c r="K46" s="31">
        <f>K15</f>
        <v>0</v>
      </c>
      <c r="L46" s="31">
        <f>L15</f>
        <v>0</v>
      </c>
      <c r="M46" s="31">
        <f>M15</f>
        <v>224929.91331000003</v>
      </c>
      <c r="N46" s="31">
        <f>N15</f>
        <v>0</v>
      </c>
    </row>
    <row r="47" spans="1:14" ht="14" x14ac:dyDescent="0.3">
      <c r="E47" s="21" t="s">
        <v>56</v>
      </c>
      <c r="J47" s="31">
        <f>J22</f>
        <v>230000</v>
      </c>
      <c r="K47" s="31">
        <f>K22</f>
        <v>0</v>
      </c>
      <c r="L47" s="31">
        <f>L22</f>
        <v>0</v>
      </c>
      <c r="M47" s="31">
        <f>M22</f>
        <v>344892.53374200006</v>
      </c>
      <c r="N47" s="31">
        <f>N22</f>
        <v>0</v>
      </c>
    </row>
    <row r="48" spans="1:14" ht="14" x14ac:dyDescent="0.3">
      <c r="E48" s="21" t="s">
        <v>57</v>
      </c>
      <c r="J48" s="31">
        <f>J29</f>
        <v>0</v>
      </c>
      <c r="K48" s="31">
        <f>K29</f>
        <v>229380</v>
      </c>
      <c r="L48" s="31">
        <f>L29</f>
        <v>0</v>
      </c>
      <c r="M48" s="31">
        <f>M29</f>
        <v>299906.55108000006</v>
      </c>
      <c r="N48" s="31">
        <f>N29</f>
        <v>0</v>
      </c>
    </row>
    <row r="51" spans="3:14" x14ac:dyDescent="0.25">
      <c r="D51" t="s">
        <v>111</v>
      </c>
    </row>
    <row r="52" spans="3:14" ht="14" x14ac:dyDescent="0.3">
      <c r="E52" s="21" t="s">
        <v>101</v>
      </c>
      <c r="J52" s="31">
        <f t="shared" ref="J52:N55" si="9">J38+J45</f>
        <v>100000</v>
      </c>
      <c r="K52" s="31">
        <f t="shared" si="9"/>
        <v>100000</v>
      </c>
      <c r="L52" s="31">
        <f t="shared" si="9"/>
        <v>231537.96100000001</v>
      </c>
      <c r="M52" s="31">
        <f t="shared" si="9"/>
        <v>231537.96100000001</v>
      </c>
      <c r="N52" s="31">
        <f t="shared" si="9"/>
        <v>402484.69511560007</v>
      </c>
    </row>
    <row r="53" spans="3:14" ht="14" x14ac:dyDescent="0.3">
      <c r="E53" s="21" t="s">
        <v>67</v>
      </c>
      <c r="J53" s="31">
        <f t="shared" si="9"/>
        <v>150000</v>
      </c>
      <c r="K53" s="31">
        <f t="shared" si="9"/>
        <v>150000</v>
      </c>
      <c r="L53" s="31">
        <f t="shared" si="9"/>
        <v>150000</v>
      </c>
      <c r="M53" s="31">
        <f t="shared" si="9"/>
        <v>374929.91331000003</v>
      </c>
      <c r="N53" s="31">
        <f t="shared" si="9"/>
        <v>374929.91331000003</v>
      </c>
    </row>
    <row r="54" spans="3:14" ht="14" x14ac:dyDescent="0.3">
      <c r="E54" s="21" t="s">
        <v>56</v>
      </c>
      <c r="J54" s="31">
        <f t="shared" si="9"/>
        <v>230000</v>
      </c>
      <c r="K54" s="31">
        <f t="shared" si="9"/>
        <v>230000</v>
      </c>
      <c r="L54" s="31">
        <f t="shared" si="9"/>
        <v>230000</v>
      </c>
      <c r="M54" s="31">
        <f t="shared" si="9"/>
        <v>574892.53374200012</v>
      </c>
      <c r="N54" s="31">
        <f t="shared" si="9"/>
        <v>574892.53374200012</v>
      </c>
    </row>
    <row r="55" spans="3:14" ht="14" x14ac:dyDescent="0.3">
      <c r="E55" s="21" t="s">
        <v>57</v>
      </c>
      <c r="J55" s="31">
        <f t="shared" si="9"/>
        <v>0</v>
      </c>
      <c r="K55" s="31">
        <f t="shared" si="9"/>
        <v>229380</v>
      </c>
      <c r="L55" s="31">
        <f t="shared" si="9"/>
        <v>229380</v>
      </c>
      <c r="M55" s="31">
        <f t="shared" si="9"/>
        <v>529286.55108000012</v>
      </c>
      <c r="N55" s="31">
        <f t="shared" si="9"/>
        <v>529286.55108000012</v>
      </c>
    </row>
    <row r="57" spans="3:14" x14ac:dyDescent="0.25">
      <c r="C57" t="s">
        <v>68</v>
      </c>
    </row>
    <row r="58" spans="3:14" x14ac:dyDescent="0.25">
      <c r="D58" t="s">
        <v>110</v>
      </c>
      <c r="J58" s="33"/>
      <c r="K58" s="33"/>
      <c r="L58" s="33"/>
      <c r="M58" s="33"/>
      <c r="N58" s="33"/>
    </row>
    <row r="59" spans="3:14" ht="14" x14ac:dyDescent="0.3">
      <c r="E59" s="21" t="s">
        <v>101</v>
      </c>
      <c r="J59" s="31">
        <f>I73</f>
        <v>0</v>
      </c>
      <c r="K59" s="31">
        <f t="shared" ref="K59:N59" ca="1" si="10">J73</f>
        <v>33333.333333333336</v>
      </c>
      <c r="L59" s="31">
        <f t="shared" ca="1" si="10"/>
        <v>66666.666666666672</v>
      </c>
      <c r="M59" s="31">
        <f t="shared" ca="1" si="10"/>
        <v>143845.98700000002</v>
      </c>
      <c r="N59" s="31">
        <f t="shared" ca="1" si="10"/>
        <v>187691.97400000002</v>
      </c>
    </row>
    <row r="60" spans="3:14" ht="14" x14ac:dyDescent="0.3">
      <c r="E60" s="21" t="s">
        <v>67</v>
      </c>
      <c r="J60" s="31">
        <f>I74</f>
        <v>0</v>
      </c>
      <c r="K60" s="31">
        <f t="shared" ref="K60:N62" ca="1" si="11">J74</f>
        <v>37500</v>
      </c>
      <c r="L60" s="31">
        <f t="shared" ca="1" si="11"/>
        <v>75000</v>
      </c>
      <c r="M60" s="31">
        <f t="shared" ca="1" si="11"/>
        <v>112500</v>
      </c>
      <c r="N60" s="31">
        <f t="shared" ca="1" si="11"/>
        <v>206232.47832749999</v>
      </c>
    </row>
    <row r="61" spans="3:14" ht="14" x14ac:dyDescent="0.3">
      <c r="E61" s="21" t="s">
        <v>56</v>
      </c>
      <c r="J61" s="31">
        <f>I75</f>
        <v>0</v>
      </c>
      <c r="K61" s="31">
        <f t="shared" ca="1" si="11"/>
        <v>57500</v>
      </c>
      <c r="L61" s="31">
        <f t="shared" ca="1" si="11"/>
        <v>115000</v>
      </c>
      <c r="M61" s="31">
        <f t="shared" ca="1" si="11"/>
        <v>172500</v>
      </c>
      <c r="N61" s="31">
        <f t="shared" ca="1" si="11"/>
        <v>316223.13343550003</v>
      </c>
    </row>
    <row r="62" spans="3:14" ht="14" x14ac:dyDescent="0.3">
      <c r="E62" s="21" t="s">
        <v>57</v>
      </c>
      <c r="J62" s="31">
        <f>I76</f>
        <v>0</v>
      </c>
      <c r="K62" s="31">
        <f t="shared" ca="1" si="11"/>
        <v>0</v>
      </c>
      <c r="L62" s="31">
        <f t="shared" ca="1" si="11"/>
        <v>76460</v>
      </c>
      <c r="M62" s="31">
        <f t="shared" ca="1" si="11"/>
        <v>152920</v>
      </c>
      <c r="N62" s="31">
        <f t="shared" ca="1" si="11"/>
        <v>329348.85036000004</v>
      </c>
    </row>
    <row r="63" spans="3:14" ht="14" x14ac:dyDescent="0.3">
      <c r="E63" s="21"/>
    </row>
    <row r="65" spans="4:14" x14ac:dyDescent="0.25">
      <c r="D65" t="s">
        <v>113</v>
      </c>
      <c r="J65" s="33"/>
      <c r="K65" s="33"/>
      <c r="L65" s="33"/>
      <c r="M65" s="33"/>
      <c r="N65" s="33"/>
    </row>
    <row r="66" spans="4:14" ht="14" x14ac:dyDescent="0.3">
      <c r="E66" s="21" t="s">
        <v>101</v>
      </c>
      <c r="J66" s="31">
        <f ca="1">J11</f>
        <v>33333.333333333336</v>
      </c>
      <c r="K66" s="31">
        <f ca="1">K11</f>
        <v>33333.333333333336</v>
      </c>
      <c r="L66" s="31">
        <f ca="1">L11</f>
        <v>77179.320333333337</v>
      </c>
      <c r="M66" s="31">
        <f ca="1">M11</f>
        <v>43845.987000000001</v>
      </c>
      <c r="N66" s="31">
        <f ca="1">N11</f>
        <v>100828.23170520003</v>
      </c>
    </row>
    <row r="67" spans="4:14" ht="14" x14ac:dyDescent="0.3">
      <c r="E67" s="21" t="s">
        <v>67</v>
      </c>
      <c r="J67" s="31">
        <f ca="1">J18</f>
        <v>37500</v>
      </c>
      <c r="K67" s="31">
        <f ca="1">K18</f>
        <v>37500</v>
      </c>
      <c r="L67" s="31">
        <f ca="1">L18</f>
        <v>37500</v>
      </c>
      <c r="M67" s="31">
        <f ca="1">M18</f>
        <v>93732.478327500008</v>
      </c>
      <c r="N67" s="31">
        <f ca="1">N18</f>
        <v>56232.478327500008</v>
      </c>
    </row>
    <row r="68" spans="4:14" ht="14" x14ac:dyDescent="0.3">
      <c r="E68" s="21" t="s">
        <v>56</v>
      </c>
      <c r="J68" s="31">
        <f ca="1">J25</f>
        <v>57500</v>
      </c>
      <c r="K68" s="31">
        <f ca="1">K25</f>
        <v>57500</v>
      </c>
      <c r="L68" s="31">
        <f ca="1">L25</f>
        <v>57500</v>
      </c>
      <c r="M68" s="31">
        <f ca="1">M25</f>
        <v>143723.13343550003</v>
      </c>
      <c r="N68" s="31">
        <f ca="1">N25</f>
        <v>86223.133435500014</v>
      </c>
    </row>
    <row r="69" spans="4:14" ht="14" x14ac:dyDescent="0.3">
      <c r="E69" s="21" t="s">
        <v>57</v>
      </c>
      <c r="J69" s="31">
        <f ca="1">J32</f>
        <v>0</v>
      </c>
      <c r="K69" s="31">
        <f ca="1">K32</f>
        <v>76460</v>
      </c>
      <c r="L69" s="31">
        <f ca="1">L32</f>
        <v>76460</v>
      </c>
      <c r="M69" s="31">
        <f ca="1">M32</f>
        <v>176428.85036000004</v>
      </c>
      <c r="N69" s="31">
        <f ca="1">N32</f>
        <v>99968.850360000026</v>
      </c>
    </row>
    <row r="70" spans="4:14" x14ac:dyDescent="0.25">
      <c r="J70" s="33"/>
      <c r="K70" s="33"/>
      <c r="L70" s="33"/>
      <c r="M70" s="33"/>
      <c r="N70" s="33"/>
    </row>
    <row r="71" spans="4:14" x14ac:dyDescent="0.25">
      <c r="J71" s="33"/>
      <c r="K71" s="33"/>
      <c r="L71" s="33"/>
      <c r="M71" s="33"/>
      <c r="N71" s="33"/>
    </row>
    <row r="72" spans="4:14" x14ac:dyDescent="0.25">
      <c r="D72" t="s">
        <v>111</v>
      </c>
      <c r="J72" s="33"/>
      <c r="K72" s="33"/>
      <c r="L72" s="33"/>
      <c r="M72" s="33"/>
      <c r="N72" s="33"/>
    </row>
    <row r="73" spans="4:14" ht="14" x14ac:dyDescent="0.3">
      <c r="E73" s="21" t="s">
        <v>101</v>
      </c>
      <c r="J73" s="31">
        <f t="shared" ref="J73:N76" ca="1" si="12">J59+J66</f>
        <v>33333.333333333336</v>
      </c>
      <c r="K73" s="31">
        <f t="shared" ca="1" si="12"/>
        <v>66666.666666666672</v>
      </c>
      <c r="L73" s="31">
        <f t="shared" ca="1" si="12"/>
        <v>143845.98700000002</v>
      </c>
      <c r="M73" s="31">
        <f t="shared" ca="1" si="12"/>
        <v>187691.97400000002</v>
      </c>
      <c r="N73" s="31">
        <f t="shared" ca="1" si="12"/>
        <v>288520.20570520003</v>
      </c>
    </row>
    <row r="74" spans="4:14" ht="14" x14ac:dyDescent="0.3">
      <c r="E74" s="21" t="s">
        <v>67</v>
      </c>
      <c r="J74" s="31">
        <f t="shared" ca="1" si="12"/>
        <v>37500</v>
      </c>
      <c r="K74" s="31">
        <f t="shared" ca="1" si="12"/>
        <v>75000</v>
      </c>
      <c r="L74" s="31">
        <f t="shared" ca="1" si="12"/>
        <v>112500</v>
      </c>
      <c r="M74" s="31">
        <f t="shared" ca="1" si="12"/>
        <v>206232.47832749999</v>
      </c>
      <c r="N74" s="31">
        <f t="shared" ca="1" si="12"/>
        <v>262464.95665499999</v>
      </c>
    </row>
    <row r="75" spans="4:14" ht="14" x14ac:dyDescent="0.3">
      <c r="E75" s="21" t="s">
        <v>56</v>
      </c>
      <c r="J75" s="31">
        <f t="shared" ca="1" si="12"/>
        <v>57500</v>
      </c>
      <c r="K75" s="31">
        <f t="shared" ca="1" si="12"/>
        <v>115000</v>
      </c>
      <c r="L75" s="31">
        <f t="shared" ca="1" si="12"/>
        <v>172500</v>
      </c>
      <c r="M75" s="31">
        <f t="shared" ca="1" si="12"/>
        <v>316223.13343550003</v>
      </c>
      <c r="N75" s="31">
        <f t="shared" ca="1" si="12"/>
        <v>402446.26687100006</v>
      </c>
    </row>
    <row r="76" spans="4:14" ht="14" x14ac:dyDescent="0.3">
      <c r="E76" s="21" t="s">
        <v>57</v>
      </c>
      <c r="J76" s="31">
        <f t="shared" ca="1" si="12"/>
        <v>0</v>
      </c>
      <c r="K76" s="31">
        <f t="shared" ca="1" si="12"/>
        <v>76460</v>
      </c>
      <c r="L76" s="31">
        <f t="shared" ca="1" si="12"/>
        <v>152920</v>
      </c>
      <c r="M76" s="31">
        <f t="shared" ca="1" si="12"/>
        <v>329348.85036000004</v>
      </c>
      <c r="N76" s="31">
        <f t="shared" ca="1" si="12"/>
        <v>429317.70072000008</v>
      </c>
    </row>
    <row r="79" spans="4:14" x14ac:dyDescent="0.25">
      <c r="D79" t="s">
        <v>114</v>
      </c>
      <c r="J79" s="33"/>
      <c r="K79" s="33"/>
      <c r="L79" s="33"/>
      <c r="M79" s="33"/>
      <c r="N79" s="33"/>
    </row>
    <row r="80" spans="4:14" ht="14" x14ac:dyDescent="0.3">
      <c r="E80" s="21" t="s">
        <v>101</v>
      </c>
      <c r="J80" s="31">
        <f t="shared" ref="J80:N83" ca="1" si="13">J52-J73</f>
        <v>66666.666666666657</v>
      </c>
      <c r="K80" s="31">
        <f t="shared" ca="1" si="13"/>
        <v>33333.333333333328</v>
      </c>
      <c r="L80" s="31">
        <f t="shared" ca="1" si="13"/>
        <v>87691.973999999987</v>
      </c>
      <c r="M80" s="31">
        <f t="shared" ca="1" si="13"/>
        <v>43845.986999999994</v>
      </c>
      <c r="N80" s="31">
        <f t="shared" ca="1" si="13"/>
        <v>113964.48941040004</v>
      </c>
    </row>
    <row r="81" spans="5:14" ht="14" x14ac:dyDescent="0.3">
      <c r="E81" s="21" t="s">
        <v>67</v>
      </c>
      <c r="J81" s="31">
        <f t="shared" ca="1" si="13"/>
        <v>112500</v>
      </c>
      <c r="K81" s="31">
        <f t="shared" ca="1" si="13"/>
        <v>75000</v>
      </c>
      <c r="L81" s="31">
        <f t="shared" ca="1" si="13"/>
        <v>37500</v>
      </c>
      <c r="M81" s="31">
        <f t="shared" ca="1" si="13"/>
        <v>168697.43498250004</v>
      </c>
      <c r="N81" s="31">
        <f t="shared" ca="1" si="13"/>
        <v>112464.95665500005</v>
      </c>
    </row>
    <row r="82" spans="5:14" ht="14" x14ac:dyDescent="0.3">
      <c r="E82" s="21" t="s">
        <v>56</v>
      </c>
      <c r="J82" s="31">
        <f t="shared" ca="1" si="13"/>
        <v>172500</v>
      </c>
      <c r="K82" s="31">
        <f t="shared" ca="1" si="13"/>
        <v>115000</v>
      </c>
      <c r="L82" s="31">
        <f t="shared" ca="1" si="13"/>
        <v>57500</v>
      </c>
      <c r="M82" s="31">
        <f t="shared" ca="1" si="13"/>
        <v>258669.40030650009</v>
      </c>
      <c r="N82" s="31">
        <f t="shared" ca="1" si="13"/>
        <v>172446.26687100006</v>
      </c>
    </row>
    <row r="83" spans="5:14" ht="14" x14ac:dyDescent="0.3">
      <c r="E83" s="21" t="s">
        <v>57</v>
      </c>
      <c r="J83" s="31">
        <f t="shared" ca="1" si="13"/>
        <v>0</v>
      </c>
      <c r="K83" s="31">
        <f t="shared" ca="1" si="13"/>
        <v>152920</v>
      </c>
      <c r="L83" s="31">
        <f t="shared" ca="1" si="13"/>
        <v>76460</v>
      </c>
      <c r="M83" s="31">
        <f t="shared" ca="1" si="13"/>
        <v>199937.70072000008</v>
      </c>
      <c r="N83" s="31">
        <f t="shared" ca="1" si="13"/>
        <v>99968.85036000004</v>
      </c>
    </row>
  </sheetData>
  <hyperlinks>
    <hyperlink ref="M1" location="'Cover Page'!A1" display="MENU" xr:uid="{F2E32063-7219-4BF2-ACC1-4061EC95A0B4}"/>
  </hyperlink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4</xdr:col>
                    <xdr:colOff>1600200</xdr:colOff>
                    <xdr:row>3</xdr:row>
                    <xdr:rowOff>127000</xdr:rowOff>
                  </from>
                  <to>
                    <xdr:col>4</xdr:col>
                    <xdr:colOff>2686050</xdr:colOff>
                    <xdr:row>4</xdr:row>
                    <xdr:rowOff>165100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74351-9E87-4F68-BAE2-9D5A41720957}">
  <sheetPr>
    <tabColor theme="5" tint="-0.499984740745262"/>
  </sheetPr>
  <dimension ref="A1:N133"/>
  <sheetViews>
    <sheetView topLeftCell="A6" zoomScale="70" zoomScaleNormal="70" workbookViewId="0">
      <selection activeCell="M1" sqref="M1"/>
    </sheetView>
  </sheetViews>
  <sheetFormatPr defaultRowHeight="13.5" x14ac:dyDescent="0.25"/>
  <cols>
    <col min="1" max="4" width="2.4140625" customWidth="1"/>
    <col min="5" max="5" width="38.1640625" customWidth="1"/>
    <col min="6" max="9" width="4.08203125" customWidth="1"/>
    <col min="10" max="16384" width="8.6640625" style="37"/>
  </cols>
  <sheetData>
    <row r="1" spans="1:14" s="2" customFormat="1" x14ac:dyDescent="0.25">
      <c r="A1" s="2" t="s">
        <v>0</v>
      </c>
      <c r="M1" s="63" t="s">
        <v>267</v>
      </c>
    </row>
    <row r="2" spans="1:14" s="2" customFormat="1" x14ac:dyDescent="0.25">
      <c r="A2" s="2" t="s">
        <v>1</v>
      </c>
    </row>
    <row r="3" spans="1:14" s="2" customFormat="1" x14ac:dyDescent="0.25">
      <c r="A3" s="2" t="s">
        <v>215</v>
      </c>
    </row>
    <row r="4" spans="1:14" s="2" customFormat="1" x14ac:dyDescent="0.25"/>
    <row r="5" spans="1:14" s="2" customFormat="1" ht="14" x14ac:dyDescent="0.3">
      <c r="A5" s="2" t="s">
        <v>3</v>
      </c>
      <c r="J5" s="8">
        <v>2024</v>
      </c>
      <c r="K5" s="8">
        <f>J5+1</f>
        <v>2025</v>
      </c>
      <c r="L5" s="8">
        <f t="shared" ref="L5:N5" si="0">K5+1</f>
        <v>2026</v>
      </c>
      <c r="M5" s="8">
        <f t="shared" si="0"/>
        <v>2027</v>
      </c>
      <c r="N5" s="8">
        <f t="shared" si="0"/>
        <v>2028</v>
      </c>
    </row>
    <row r="6" spans="1:14" customFormat="1" x14ac:dyDescent="0.25"/>
    <row r="7" spans="1:14" s="4" customFormat="1" ht="14" x14ac:dyDescent="0.3">
      <c r="A7" s="6" t="s">
        <v>8</v>
      </c>
      <c r="B7" s="5" t="s">
        <v>216</v>
      </c>
    </row>
    <row r="8" spans="1:14" customFormat="1" ht="14" x14ac:dyDescent="0.3">
      <c r="B8" s="21" t="s">
        <v>115</v>
      </c>
      <c r="D8" s="21"/>
    </row>
    <row r="9" spans="1:14" customFormat="1" ht="14" x14ac:dyDescent="0.3">
      <c r="D9" s="21"/>
      <c r="E9" s="21" t="s">
        <v>217</v>
      </c>
    </row>
    <row r="10" spans="1:14" ht="14" x14ac:dyDescent="0.3">
      <c r="D10" s="21"/>
      <c r="E10" s="41" t="s">
        <v>22</v>
      </c>
      <c r="J10" s="37">
        <f>Workings!J8/Workings!J$11</f>
        <v>0.65517241379310343</v>
      </c>
      <c r="K10" s="37">
        <f>Workings!K8/Workings!K$11</f>
        <v>0.64</v>
      </c>
      <c r="L10" s="37">
        <f>Workings!L8/Workings!L$11</f>
        <v>0.70588235294117652</v>
      </c>
      <c r="M10" s="37">
        <f>Workings!M8/Workings!M$11</f>
        <v>0.71111111111111114</v>
      </c>
      <c r="N10" s="37">
        <f>Workings!N8/Workings!N$11</f>
        <v>0.73720136518771329</v>
      </c>
    </row>
    <row r="11" spans="1:14" ht="14" x14ac:dyDescent="0.3">
      <c r="D11" s="21"/>
      <c r="E11" s="41" t="s">
        <v>26</v>
      </c>
      <c r="J11" s="37">
        <f>Workings!J9/Workings!J$11</f>
        <v>0.11494252873563218</v>
      </c>
      <c r="K11" s="37">
        <f>Workings!K9/Workings!K$11</f>
        <v>0.2</v>
      </c>
      <c r="L11" s="37">
        <f>Workings!L9/Workings!L$11</f>
        <v>0.125</v>
      </c>
      <c r="M11" s="37">
        <f>Workings!M9/Workings!M$11</f>
        <v>0.14691358024691359</v>
      </c>
      <c r="N11" s="37">
        <f>Workings!N9/Workings!N$11</f>
        <v>0.11348122866894197</v>
      </c>
    </row>
    <row r="12" spans="1:14" ht="14" x14ac:dyDescent="0.3">
      <c r="D12" s="21"/>
      <c r="E12" s="41" t="s">
        <v>218</v>
      </c>
      <c r="J12" s="37">
        <f>Workings!J10/Workings!J$11</f>
        <v>0.22988505747126436</v>
      </c>
      <c r="K12" s="37">
        <f>Workings!K10/Workings!K$11</f>
        <v>0.16</v>
      </c>
      <c r="L12" s="37">
        <f>Workings!L10/Workings!L$11</f>
        <v>0.16911764705882354</v>
      </c>
      <c r="M12" s="37">
        <f>Workings!M10/Workings!M$11</f>
        <v>0.1419753086419753</v>
      </c>
      <c r="N12" s="37">
        <f>Workings!N10/Workings!N$11</f>
        <v>0.14931740614334471</v>
      </c>
    </row>
    <row r="13" spans="1:14" ht="14" x14ac:dyDescent="0.3">
      <c r="D13" s="21"/>
    </row>
    <row r="14" spans="1:14" x14ac:dyDescent="0.25">
      <c r="E14" t="s">
        <v>89</v>
      </c>
      <c r="J14" s="37">
        <f>SUM(J10:J13)</f>
        <v>1</v>
      </c>
      <c r="K14" s="37">
        <f t="shared" ref="K14:N14" si="1">SUM(K10:K13)</f>
        <v>1</v>
      </c>
      <c r="L14" s="37">
        <f t="shared" si="1"/>
        <v>1</v>
      </c>
      <c r="M14" s="37">
        <f t="shared" si="1"/>
        <v>1</v>
      </c>
      <c r="N14" s="37">
        <f t="shared" si="1"/>
        <v>1</v>
      </c>
    </row>
    <row r="15" spans="1:14" x14ac:dyDescent="0.25">
      <c r="E15" s="42" t="s">
        <v>86</v>
      </c>
      <c r="J15" s="37">
        <f>'Financial Statements'!J8/'Financial Statements'!J$8</f>
        <v>1</v>
      </c>
      <c r="K15" s="37">
        <f>'Financial Statements'!K8/'Financial Statements'!K$8</f>
        <v>1</v>
      </c>
      <c r="L15" s="37">
        <f>'Financial Statements'!L8/'Financial Statements'!L$8</f>
        <v>1</v>
      </c>
      <c r="M15" s="37">
        <f>'Financial Statements'!M8/'Financial Statements'!M$8</f>
        <v>1</v>
      </c>
      <c r="N15" s="37">
        <f>'Financial Statements'!N8/'Financial Statements'!N$8</f>
        <v>1</v>
      </c>
    </row>
    <row r="17" spans="5:14" x14ac:dyDescent="0.25">
      <c r="E17" t="s">
        <v>91</v>
      </c>
      <c r="J17" s="37">
        <f>'Financial Statements'!J10/'Financial Statements'!J$8</f>
        <v>-0.54818220519369942</v>
      </c>
      <c r="K17" s="37">
        <f>'Financial Statements'!K10/'Financial Statements'!K$8</f>
        <v>-0.64521766666666669</v>
      </c>
      <c r="L17" s="37">
        <f>'Financial Statements'!L10/'Financial Statements'!L$8</f>
        <v>-0.69772979156617643</v>
      </c>
      <c r="M17" s="37">
        <f>'Financial Statements'!M10/'Financial Statements'!M$8</f>
        <v>-0.69374004598703709</v>
      </c>
      <c r="N17" s="37">
        <f>'Financial Statements'!N10/'Financial Statements'!N$8</f>
        <v>-0.73642972127367412</v>
      </c>
    </row>
    <row r="18" spans="5:14" ht="14" thickBot="1" x14ac:dyDescent="0.3"/>
    <row r="19" spans="5:14" ht="14" x14ac:dyDescent="0.3">
      <c r="E19" s="21" t="s">
        <v>116</v>
      </c>
      <c r="J19" s="49">
        <f>'Financial Statements'!J12/'Financial Statements'!J$8</f>
        <v>0.45181779480630058</v>
      </c>
      <c r="K19" s="49">
        <f>'Financial Statements'!K12/'Financial Statements'!K$8</f>
        <v>0.35478233333333331</v>
      </c>
      <c r="L19" s="49">
        <f>'Financial Statements'!L12/'Financial Statements'!L$8</f>
        <v>0.30227020843382352</v>
      </c>
      <c r="M19" s="49">
        <f>'Financial Statements'!M12/'Financial Statements'!M$8</f>
        <v>0.30625995401296285</v>
      </c>
      <c r="N19" s="49">
        <f>'Financial Statements'!N12/'Financial Statements'!N$8</f>
        <v>0.26357027872632582</v>
      </c>
    </row>
    <row r="21" spans="5:14" ht="14" x14ac:dyDescent="0.3">
      <c r="E21" s="21" t="s">
        <v>118</v>
      </c>
      <c r="J21" s="48">
        <f ca="1">'Financial Statements'!J14/'Financial Statements'!J$8</f>
        <v>-0.39518234709805594</v>
      </c>
      <c r="K21" s="48">
        <f ca="1">'Financial Statements'!K14/'Financial Statements'!K$8</f>
        <v>-0.29769699259259264</v>
      </c>
      <c r="L21" s="48">
        <f ca="1">'Financial Statements'!L14/'Financial Statements'!L$8</f>
        <v>-0.20369846651797385</v>
      </c>
      <c r="M21" s="48">
        <f ca="1">'Financial Statements'!M14/'Financial Statements'!M$8</f>
        <v>-0.23021660770661526</v>
      </c>
      <c r="N21" s="48">
        <f ca="1">'Financial Statements'!N14/'Financial Statements'!N$8</f>
        <v>-0.17558761217217378</v>
      </c>
    </row>
    <row r="22" spans="5:14" x14ac:dyDescent="0.25">
      <c r="E22" t="s">
        <v>46</v>
      </c>
      <c r="J22" s="37">
        <f>'Financial Statements'!J15/'Financial Statements'!J$8</f>
        <v>-7.9821200510855686E-2</v>
      </c>
      <c r="K22" s="37">
        <f>'Financial Statements'!K15/'Financial Statements'!K$8</f>
        <v>-9.3333333333333338E-2</v>
      </c>
      <c r="L22" s="37">
        <f>'Financial Statements'!L15/'Financial Statements'!L$8</f>
        <v>-5.8823529411764705E-2</v>
      </c>
      <c r="M22" s="37">
        <f>'Financial Statements'!M15/'Financial Statements'!M$8</f>
        <v>-8.3333333333333329E-2</v>
      </c>
      <c r="N22" s="37">
        <f>'Financial Statements'!N15/'Financial Statements'!N$8</f>
        <v>-5.7593856655290106E-2</v>
      </c>
    </row>
    <row r="23" spans="5:14" x14ac:dyDescent="0.25">
      <c r="E23" t="s">
        <v>68</v>
      </c>
      <c r="J23" s="37">
        <f ca="1">'Financial Statements'!J16/'Financial Statements'!J$8</f>
        <v>-3.4145735774088269E-2</v>
      </c>
      <c r="K23" s="37">
        <f ca="1">'Financial Statements'!K16/'Financial Statements'!K$8</f>
        <v>-2.2754814814814815E-2</v>
      </c>
      <c r="L23" s="37">
        <f ca="1">'Financial Statements'!L16/'Financial Statements'!L$8</f>
        <v>-1.5235252471405229E-2</v>
      </c>
      <c r="M23" s="37">
        <f ca="1">'Financial Statements'!M16/'Financial Statements'!M$8</f>
        <v>-2.3545804996039098E-2</v>
      </c>
      <c r="N23" s="37">
        <f ca="1">'Financial Statements'!N16/'Financial Statements'!N$8</f>
        <v>-1.2203238546224406E-2</v>
      </c>
    </row>
    <row r="24" spans="5:14" x14ac:dyDescent="0.25">
      <c r="E24" t="s">
        <v>117</v>
      </c>
      <c r="J24" s="37">
        <f>'Financial Statements'!J17/'Financial Statements'!J$8</f>
        <v>-0.28121541081311197</v>
      </c>
      <c r="K24" s="37">
        <f>'Financial Statements'!K17/'Financial Statements'!K$8</f>
        <v>-0.18160884444444444</v>
      </c>
      <c r="L24" s="37">
        <f>'Financial Statements'!L17/'Financial Statements'!L$8</f>
        <v>-0.12963968463480391</v>
      </c>
      <c r="M24" s="37">
        <f>'Financial Statements'!M17/'Financial Statements'!M$8</f>
        <v>-0.12333746937724281</v>
      </c>
      <c r="N24" s="37">
        <f>'Financial Statements'!N17/'Financial Statements'!N$8</f>
        <v>-0.10579051697065928</v>
      </c>
    </row>
    <row r="25" spans="5:14" ht="14" thickBot="1" x14ac:dyDescent="0.3"/>
    <row r="26" spans="5:14" ht="14" x14ac:dyDescent="0.3">
      <c r="E26" s="21" t="s">
        <v>119</v>
      </c>
      <c r="J26" s="49">
        <f ca="1">'Financial Statements'!J19/'Financial Statements'!J$8</f>
        <v>5.66354477082446E-2</v>
      </c>
      <c r="K26" s="49">
        <f ca="1">'Financial Statements'!K19/'Financial Statements'!K$8</f>
        <v>5.708534074074071E-2</v>
      </c>
      <c r="L26" s="49">
        <f ca="1">'Financial Statements'!L19/'Financial Statements'!L$8</f>
        <v>9.8571741915849692E-2</v>
      </c>
      <c r="M26" s="49">
        <f ca="1">'Financial Statements'!M19/'Financial Statements'!M$8</f>
        <v>7.6043346306347626E-2</v>
      </c>
      <c r="N26" s="49">
        <f ca="1">'Financial Statements'!N19/'Financial Statements'!N$8</f>
        <v>8.7982666554152086E-2</v>
      </c>
    </row>
    <row r="28" spans="5:14" x14ac:dyDescent="0.25">
      <c r="E28" t="s">
        <v>121</v>
      </c>
      <c r="J28" s="37">
        <f>'Financial Statements'!J21/'Financial Statements'!J$8</f>
        <v>-2.9758450404427421E-2</v>
      </c>
      <c r="K28" s="37">
        <f>'Financial Statements'!K21/'Financial Statements'!K$8</f>
        <v>-1.1805772444444446E-2</v>
      </c>
      <c r="L28" s="37">
        <f>'Financial Statements'!L21/'Financial Statements'!L$8</f>
        <v>0</v>
      </c>
      <c r="M28" s="37">
        <f>'Financial Statements'!M21/'Financial Statements'!M$8</f>
        <v>0</v>
      </c>
      <c r="N28" s="37">
        <f>'Financial Statements'!N21/'Financial Statements'!N$8</f>
        <v>0</v>
      </c>
    </row>
    <row r="29" spans="5:14" ht="14" thickBot="1" x14ac:dyDescent="0.3"/>
    <row r="30" spans="5:14" ht="14" x14ac:dyDescent="0.3">
      <c r="E30" s="21" t="s">
        <v>122</v>
      </c>
      <c r="J30" s="49">
        <f ca="1">'Financial Statements'!J23/'Financial Statements'!J$8</f>
        <v>2.6876997303817179E-2</v>
      </c>
      <c r="K30" s="49">
        <f ca="1">'Financial Statements'!K23/'Financial Statements'!K$8</f>
        <v>4.5279568296296271E-2</v>
      </c>
      <c r="L30" s="49">
        <f ca="1">'Financial Statements'!L23/'Financial Statements'!L$8</f>
        <v>9.8571741915849692E-2</v>
      </c>
      <c r="M30" s="49">
        <f ca="1">'Financial Statements'!M23/'Financial Statements'!M$8</f>
        <v>7.6043346306347626E-2</v>
      </c>
      <c r="N30" s="49">
        <f ca="1">'Financial Statements'!N23/'Financial Statements'!N$8</f>
        <v>8.7982666554152086E-2</v>
      </c>
    </row>
    <row r="32" spans="5:14" x14ac:dyDescent="0.25">
      <c r="E32" t="s">
        <v>123</v>
      </c>
      <c r="J32" s="37">
        <f>'Financial Statements'!J25/'Financial Statements'!J$8</f>
        <v>0</v>
      </c>
      <c r="K32" s="37">
        <f>'Financial Statements'!K25/'Financial Statements'!K$8</f>
        <v>0</v>
      </c>
      <c r="L32" s="37">
        <f>'Financial Statements'!L25/'Financial Statements'!L$8</f>
        <v>0</v>
      </c>
      <c r="M32" s="37">
        <f>'Financial Statements'!M25/'Financial Statements'!M$8</f>
        <v>0</v>
      </c>
      <c r="N32" s="37">
        <f ca="1">'Financial Statements'!N25/'Financial Statements'!N$8</f>
        <v>-2.5954886633474863E-2</v>
      </c>
    </row>
    <row r="33" spans="2:14" ht="14" thickBot="1" x14ac:dyDescent="0.3"/>
    <row r="34" spans="2:14" ht="14" x14ac:dyDescent="0.3">
      <c r="E34" s="21" t="s">
        <v>124</v>
      </c>
      <c r="J34" s="49">
        <f ca="1">'Financial Statements'!J27/'Financial Statements'!J$8</f>
        <v>2.6876997303817179E-2</v>
      </c>
      <c r="K34" s="49">
        <f ca="1">'Financial Statements'!K27/'Financial Statements'!K$8</f>
        <v>4.5279568296296271E-2</v>
      </c>
      <c r="L34" s="49">
        <f ca="1">'Financial Statements'!L27/'Financial Statements'!L$8</f>
        <v>9.8571741915849692E-2</v>
      </c>
      <c r="M34" s="49">
        <f ca="1">'Financial Statements'!M27/'Financial Statements'!M$8</f>
        <v>7.6043346306347626E-2</v>
      </c>
      <c r="N34" s="49">
        <f ca="1">'Financial Statements'!N27/'Financial Statements'!N$8</f>
        <v>6.202777992067722E-2</v>
      </c>
    </row>
    <row r="36" spans="2:14" x14ac:dyDescent="0.25">
      <c r="E36" t="s">
        <v>125</v>
      </c>
      <c r="J36" s="37">
        <f ca="1">'Financial Statements'!J29/'Financial Statements'!J$8</f>
        <v>0</v>
      </c>
      <c r="K36" s="37">
        <f ca="1">'Financial Statements'!K29/'Financial Statements'!K$8</f>
        <v>-9.0559136592592553E-3</v>
      </c>
      <c r="L36" s="37">
        <f ca="1">'Financial Statements'!L29/'Financial Statements'!L$8</f>
        <v>-1.9714348383169943E-2</v>
      </c>
      <c r="M36" s="37">
        <f ca="1">'Financial Statements'!M29/'Financial Statements'!M$8</f>
        <v>-1.5208669261269524E-2</v>
      </c>
      <c r="N36" s="37">
        <f ca="1">'Financial Statements'!N29/'Financial Statements'!N$8</f>
        <v>-1.2405555984135445E-2</v>
      </c>
    </row>
    <row r="37" spans="2:14" ht="14" thickBot="1" x14ac:dyDescent="0.3"/>
    <row r="38" spans="2:14" ht="14" x14ac:dyDescent="0.3">
      <c r="E38" s="21" t="s">
        <v>126</v>
      </c>
      <c r="J38" s="49">
        <f ca="1">'Financial Statements'!J31/'Financial Statements'!J$8</f>
        <v>2.6876997303817179E-2</v>
      </c>
      <c r="K38" s="49">
        <f ca="1">'Financial Statements'!K31/'Financial Statements'!K$8</f>
        <v>3.6223654637037014E-2</v>
      </c>
      <c r="L38" s="49">
        <f ca="1">'Financial Statements'!L31/'Financial Statements'!L$8</f>
        <v>7.8857393532679759E-2</v>
      </c>
      <c r="M38" s="49">
        <f ca="1">'Financial Statements'!M31/'Financial Statements'!M$8</f>
        <v>6.0834677045078098E-2</v>
      </c>
      <c r="N38" s="49">
        <f ca="1">'Financial Statements'!N31/'Financial Statements'!N$8</f>
        <v>4.9622223936541768E-2</v>
      </c>
    </row>
    <row r="39" spans="2:14" ht="14.5" thickBot="1" x14ac:dyDescent="0.35">
      <c r="E39" s="21" t="s">
        <v>127</v>
      </c>
      <c r="J39" s="50">
        <f ca="1">'Financial Statements'!J32/'Financial Statements'!J$8</f>
        <v>2.6876997303817179E-2</v>
      </c>
      <c r="K39" s="50">
        <f ca="1">'Financial Statements'!K32/'Financial Statements'!K$8</f>
        <v>4.7447488711111069E-2</v>
      </c>
      <c r="L39" s="50">
        <f ca="1">'Financial Statements'!L32/'Financial Statements'!L$8</f>
        <v>0.10502328804248365</v>
      </c>
      <c r="M39" s="50">
        <f ca="1">'Financial Statements'!M32/'Financial Statements'!M$8</f>
        <v>0.1490023756486446</v>
      </c>
      <c r="N39" s="50">
        <f ca="1">'Financial Statements'!N32/'Financial Statements'!N$8</f>
        <v>0.15260168150941048</v>
      </c>
    </row>
    <row r="40" spans="2:14" ht="14" thickTop="1" x14ac:dyDescent="0.25"/>
    <row r="42" spans="2:14" ht="14" x14ac:dyDescent="0.3">
      <c r="B42" s="21" t="s">
        <v>219</v>
      </c>
    </row>
    <row r="43" spans="2:14" ht="14" x14ac:dyDescent="0.3">
      <c r="C43" s="21" t="s">
        <v>129</v>
      </c>
    </row>
    <row r="44" spans="2:14" x14ac:dyDescent="0.25">
      <c r="E44" t="s">
        <v>101</v>
      </c>
      <c r="J44" s="37">
        <f ca="1">'Financial Statements'!J37/'Financial Statements'!J$48</f>
        <v>4.3908167648058119E-2</v>
      </c>
      <c r="K44" s="37">
        <f ca="1">'Financial Statements'!K37/'Financial Statements'!K$48</f>
        <v>2.2515859576363279E-2</v>
      </c>
      <c r="L44" s="37">
        <f ca="1">'Financial Statements'!L37/'Financial Statements'!L$48</f>
        <v>2.7967457724013572E-2</v>
      </c>
      <c r="M44" s="37">
        <f ca="1">'Financial Statements'!M37/'Financial Statements'!M$48</f>
        <v>1.0102400940528217E-2</v>
      </c>
      <c r="N44" s="37">
        <f ca="1">'Financial Statements'!N37/'Financial Statements'!N$48</f>
        <v>1.7048005113562692E-2</v>
      </c>
    </row>
    <row r="45" spans="2:14" x14ac:dyDescent="0.25">
      <c r="E45" t="s">
        <v>67</v>
      </c>
      <c r="J45" s="37">
        <f ca="1">'Financial Statements'!J38/'Financial Statements'!J$48</f>
        <v>7.4095032906098091E-2</v>
      </c>
      <c r="K45" s="37">
        <f ca="1">'Financial Statements'!K38/'Financial Statements'!K$48</f>
        <v>5.0660684046817388E-2</v>
      </c>
      <c r="L45" s="37">
        <f ca="1">'Financial Statements'!L38/'Financial Statements'!L$48</f>
        <v>1.1959813615901827E-2</v>
      </c>
      <c r="M45" s="37">
        <f ca="1">'Financial Statements'!M38/'Financial Statements'!M$48</f>
        <v>3.8868987618682335E-2</v>
      </c>
      <c r="N45" s="37">
        <f ca="1">'Financial Statements'!N38/'Financial Statements'!N$48</f>
        <v>1.6823689256805288E-2</v>
      </c>
    </row>
    <row r="46" spans="2:14" x14ac:dyDescent="0.25">
      <c r="E46" t="s">
        <v>56</v>
      </c>
      <c r="J46" s="37">
        <f ca="1">'Financial Statements'!J39/'Financial Statements'!J$48</f>
        <v>0.1136123837893504</v>
      </c>
      <c r="K46" s="37">
        <f ca="1">'Financial Statements'!K39/'Financial Statements'!K$48</f>
        <v>7.767971553845332E-2</v>
      </c>
      <c r="L46" s="37">
        <f ca="1">'Financial Statements'!L39/'Financial Statements'!L$48</f>
        <v>1.8338380877716137E-2</v>
      </c>
      <c r="M46" s="37">
        <f ca="1">'Financial Statements'!M39/'Financial Statements'!M$48</f>
        <v>5.9599114348646252E-2</v>
      </c>
      <c r="N46" s="37">
        <f ca="1">'Financial Statements'!N39/'Financial Statements'!N$48</f>
        <v>2.5796323527101438E-2</v>
      </c>
    </row>
    <row r="47" spans="2:14" ht="14" thickBot="1" x14ac:dyDescent="0.3">
      <c r="E47" t="s">
        <v>57</v>
      </c>
      <c r="J47" s="37">
        <f ca="1">'Financial Statements'!J40/'Financial Statements'!J$48</f>
        <v>0</v>
      </c>
      <c r="K47" s="37">
        <f ca="1">'Financial Statements'!K40/'Financial Statements'!K$48</f>
        <v>0.10329375739252419</v>
      </c>
      <c r="L47" s="37">
        <f ca="1">'Financial Statements'!L40/'Financial Statements'!L$48</f>
        <v>2.4385262641916101E-2</v>
      </c>
      <c r="M47" s="37">
        <f ca="1">'Financial Statements'!M40/'Financial Statements'!M$48</f>
        <v>4.6066948288808696E-2</v>
      </c>
      <c r="N47" s="37">
        <f ca="1">'Financial Statements'!N40/'Financial Statements'!N$48</f>
        <v>1.495439045049359E-2</v>
      </c>
    </row>
    <row r="48" spans="2:14" ht="14" x14ac:dyDescent="0.3">
      <c r="J48" s="49">
        <f ca="1">'Financial Statements'!J41/'Financial Statements'!J$48</f>
        <v>0.23161558434350657</v>
      </c>
      <c r="K48" s="49">
        <f ca="1">'Financial Statements'!K41/'Financial Statements'!K$48</f>
        <v>0.2541500165541582</v>
      </c>
      <c r="L48" s="49">
        <f ca="1">'Financial Statements'!L41/'Financial Statements'!L$48</f>
        <v>8.2650914859547633E-2</v>
      </c>
      <c r="M48" s="49">
        <f ca="1">'Financial Statements'!M41/'Financial Statements'!M$48</f>
        <v>0.1546374511966655</v>
      </c>
      <c r="N48" s="49">
        <f ca="1">'Financial Statements'!N41/'Financial Statements'!N$48</f>
        <v>7.4622408347963007E-2</v>
      </c>
    </row>
    <row r="49" spans="3:14" x14ac:dyDescent="0.25">
      <c r="D49" t="s">
        <v>130</v>
      </c>
    </row>
    <row r="50" spans="3:14" x14ac:dyDescent="0.25">
      <c r="E50" t="s">
        <v>18</v>
      </c>
      <c r="J50" s="37">
        <f ca="1">'Financial Statements'!J43/'Financial Statements'!J$48</f>
        <v>0.13569520636092358</v>
      </c>
      <c r="K50" s="37">
        <f ca="1">'Financial Statements'!K43/'Financial Statements'!K$48</f>
        <v>0.39224602022909688</v>
      </c>
      <c r="L50" s="37">
        <f ca="1">'Financial Statements'!L43/'Financial Statements'!L$48</f>
        <v>0.36316213873584519</v>
      </c>
      <c r="M50" s="37">
        <f ca="1">'Financial Statements'!M43/'Financial Statements'!M$48</f>
        <v>0.31073328423218349</v>
      </c>
      <c r="N50" s="37">
        <f ca="1">'Financial Statements'!N43/'Financial Statements'!N$48</f>
        <v>0.30986618052709025</v>
      </c>
    </row>
    <row r="51" spans="3:14" x14ac:dyDescent="0.25">
      <c r="E51" t="s">
        <v>131</v>
      </c>
      <c r="J51" s="37">
        <f ca="1">'Financial Statements'!J44/'Financial Statements'!J$48</f>
        <v>3.0942085741586561E-2</v>
      </c>
      <c r="K51" s="37">
        <f ca="1">'Financial Statements'!K44/'Financial Statements'!K$48</f>
        <v>7.5991026070226078E-2</v>
      </c>
      <c r="L51" s="37">
        <f ca="1">'Financial Statements'!L44/'Financial Statements'!L$48</f>
        <v>6.5061386070505947E-2</v>
      </c>
      <c r="M51" s="37">
        <f ca="1">'Financial Statements'!M44/'Financial Statements'!M$48</f>
        <v>5.5988782475083917E-2</v>
      </c>
      <c r="N51" s="37">
        <f ca="1">'Financial Statements'!N44/'Financial Statements'!N$48</f>
        <v>5.259602029491163E-2</v>
      </c>
    </row>
    <row r="52" spans="3:14" ht="14" thickBot="1" x14ac:dyDescent="0.3">
      <c r="E52" t="s">
        <v>132</v>
      </c>
      <c r="J52" s="37">
        <f ca="1">'Financial Statements'!J45/'Financial Statements'!J$48</f>
        <v>0.6017471235539833</v>
      </c>
      <c r="K52" s="37">
        <f ca="1">'Financial Statements'!K45/'Financial Statements'!K$48</f>
        <v>0.27761293714651891</v>
      </c>
      <c r="L52" s="37">
        <f ca="1">'Financial Statements'!L45/'Financial Statements'!L$48</f>
        <v>0.48912556033410137</v>
      </c>
      <c r="M52" s="37">
        <f ca="1">'Financial Statements'!M45/'Financial Statements'!M$48</f>
        <v>0.47864048209606702</v>
      </c>
      <c r="N52" s="37">
        <f ca="1">'Financial Statements'!N45/'Financial Statements'!N$48</f>
        <v>0.56291539083003517</v>
      </c>
    </row>
    <row r="53" spans="3:14" ht="14" x14ac:dyDescent="0.3">
      <c r="D53" s="21" t="s">
        <v>133</v>
      </c>
      <c r="J53" s="49">
        <f ca="1">'Financial Statements'!J46/'Financial Statements'!J$48</f>
        <v>0.76838441565649329</v>
      </c>
      <c r="K53" s="49">
        <f ca="1">'Financial Statements'!K46/'Financial Statements'!K$48</f>
        <v>0.74584998344584186</v>
      </c>
      <c r="L53" s="49">
        <f ca="1">'Financial Statements'!L46/'Financial Statements'!L$48</f>
        <v>0.91734908514045244</v>
      </c>
      <c r="M53" s="49">
        <f ca="1">'Financial Statements'!M46/'Financial Statements'!M$48</f>
        <v>0.8453625488033345</v>
      </c>
      <c r="N53" s="49">
        <f ca="1">'Financial Statements'!N46/'Financial Statements'!N$48</f>
        <v>0.92537759165203703</v>
      </c>
    </row>
    <row r="55" spans="3:14" ht="14.5" thickBot="1" x14ac:dyDescent="0.35">
      <c r="C55" s="21" t="s">
        <v>134</v>
      </c>
      <c r="J55" s="50">
        <f ca="1">'Financial Statements'!J48/'Financial Statements'!J$48</f>
        <v>1</v>
      </c>
      <c r="K55" s="50">
        <f ca="1">'Financial Statements'!K48/'Financial Statements'!K$48</f>
        <v>1</v>
      </c>
      <c r="L55" s="50">
        <f ca="1">'Financial Statements'!L48/'Financial Statements'!L$48</f>
        <v>1</v>
      </c>
      <c r="M55" s="50">
        <f ca="1">'Financial Statements'!M48/'Financial Statements'!M$48</f>
        <v>1</v>
      </c>
      <c r="N55" s="50">
        <f ca="1">'Financial Statements'!N48/'Financial Statements'!N$48</f>
        <v>1</v>
      </c>
    </row>
    <row r="56" spans="3:14" ht="14" thickTop="1" x14ac:dyDescent="0.25"/>
    <row r="58" spans="3:14" ht="14" x14ac:dyDescent="0.3">
      <c r="C58" s="21" t="s">
        <v>135</v>
      </c>
    </row>
    <row r="59" spans="3:14" ht="14" x14ac:dyDescent="0.3">
      <c r="C59" s="21"/>
      <c r="D59" s="21" t="s">
        <v>78</v>
      </c>
    </row>
    <row r="60" spans="3:14" x14ac:dyDescent="0.25">
      <c r="E60" t="s">
        <v>153</v>
      </c>
      <c r="J60" s="37">
        <f ca="1">'Financial Statements'!J53/'Financial Statements'!J$48</f>
        <v>0.55247311437032653</v>
      </c>
      <c r="K60" s="37">
        <f ca="1">'Financial Statements'!K53/'Financial Statements'!K$48</f>
        <v>0.56661016522416907</v>
      </c>
      <c r="L60" s="37">
        <f ca="1">'Financial Statements'!L53/'Financial Statements'!L$48</f>
        <v>0.2675270615254205</v>
      </c>
      <c r="M60" s="37">
        <f ca="1">'Financial Statements'!M53/'Financial Statements'!M$48</f>
        <v>0.1932721711527309</v>
      </c>
      <c r="N60" s="37">
        <f ca="1">'Financial Statements'!N53/'Financial Statements'!N$48</f>
        <v>0.12548117980433754</v>
      </c>
    </row>
    <row r="61" spans="3:14" ht="14" thickBot="1" x14ac:dyDescent="0.3">
      <c r="E61" t="s">
        <v>154</v>
      </c>
      <c r="J61" s="37">
        <f ca="1">'Financial Statements'!J54/'Financial Statements'!J$48</f>
        <v>6.6530428404088168E-2</v>
      </c>
      <c r="K61" s="37">
        <f ca="1">'Financial Statements'!K54/'Financial Statements'!K$48</f>
        <v>0.28844666812902386</v>
      </c>
      <c r="L61" s="37">
        <f ca="1">'Financial Statements'!L54/'Financial Statements'!L$48</f>
        <v>0.54663685517807836</v>
      </c>
      <c r="M61" s="37">
        <f ca="1">'Financial Statements'!M54/'Financial Statements'!M$48</f>
        <v>0.66739692787701632</v>
      </c>
      <c r="N61" s="37">
        <f ca="1">'Financial Statements'!N54/'Financial Statements'!N$48</f>
        <v>0.64209929101652752</v>
      </c>
    </row>
    <row r="62" spans="3:14" ht="14" x14ac:dyDescent="0.3">
      <c r="E62" s="21" t="s">
        <v>155</v>
      </c>
      <c r="J62" s="49">
        <f ca="1">'Financial Statements'!J55/'Financial Statements'!J$48</f>
        <v>0.61900354277441472</v>
      </c>
      <c r="K62" s="49">
        <f ca="1">'Financial Statements'!K55/'Financial Statements'!K$48</f>
        <v>0.85505683335319294</v>
      </c>
      <c r="L62" s="49">
        <f ca="1">'Financial Statements'!L55/'Financial Statements'!L$48</f>
        <v>0.81416391670349897</v>
      </c>
      <c r="M62" s="49">
        <f ca="1">'Financial Statements'!M55/'Financial Statements'!M$48</f>
        <v>0.86066909902974731</v>
      </c>
      <c r="N62" s="49">
        <f ca="1">'Financial Statements'!N55/'Financial Statements'!N$48</f>
        <v>0.76758047082086511</v>
      </c>
    </row>
    <row r="64" spans="3:14" ht="14" x14ac:dyDescent="0.3">
      <c r="D64" s="21" t="s">
        <v>156</v>
      </c>
    </row>
    <row r="65" spans="2:14" ht="14" x14ac:dyDescent="0.3">
      <c r="D65" s="21" t="s">
        <v>157</v>
      </c>
    </row>
    <row r="66" spans="2:14" ht="14" thickBot="1" x14ac:dyDescent="0.3">
      <c r="E66" t="s">
        <v>158</v>
      </c>
      <c r="J66" s="37">
        <f ca="1">'Financial Statements'!J59/'Financial Statements'!J$48</f>
        <v>0.34989963910120686</v>
      </c>
      <c r="K66" s="37">
        <f ca="1">'Financial Statements'!K59/'Financial Statements'!K$48</f>
        <v>0</v>
      </c>
      <c r="L66" s="37">
        <f ca="1">'Financial Statements'!L59/'Financial Statements'!L$48</f>
        <v>0</v>
      </c>
      <c r="M66" s="37">
        <f ca="1">'Financial Statements'!M59/'Financial Statements'!M$48</f>
        <v>0</v>
      </c>
      <c r="N66" s="37">
        <f ca="1">'Financial Statements'!N59/'Financial Statements'!N$48</f>
        <v>0</v>
      </c>
    </row>
    <row r="67" spans="2:14" ht="14" x14ac:dyDescent="0.3">
      <c r="D67" s="21" t="s">
        <v>159</v>
      </c>
      <c r="J67" s="49">
        <f ca="1">'Financial Statements'!J60/'Financial Statements'!J$48</f>
        <v>0.34989963910120686</v>
      </c>
      <c r="K67" s="49">
        <f ca="1">'Financial Statements'!K60/'Financial Statements'!K$48</f>
        <v>0</v>
      </c>
      <c r="L67" s="49">
        <f ca="1">'Financial Statements'!L60/'Financial Statements'!L$48</f>
        <v>0</v>
      </c>
      <c r="M67" s="49">
        <f ca="1">'Financial Statements'!M60/'Financial Statements'!M$48</f>
        <v>0</v>
      </c>
      <c r="N67" s="49">
        <f ca="1">'Financial Statements'!N60/'Financial Statements'!N$48</f>
        <v>0</v>
      </c>
    </row>
    <row r="69" spans="2:14" ht="14" x14ac:dyDescent="0.3">
      <c r="D69" s="21" t="s">
        <v>160</v>
      </c>
    </row>
    <row r="70" spans="2:14" x14ac:dyDescent="0.25">
      <c r="E70" t="s">
        <v>136</v>
      </c>
      <c r="J70" s="37">
        <f ca="1">'Financial Statements'!J63/'Financial Statements'!J$48</f>
        <v>3.1096818124378311E-2</v>
      </c>
      <c r="K70" s="37">
        <f ca="1">'Financial Statements'!K63/'Financial Statements'!K$48</f>
        <v>8.9889712969168034E-2</v>
      </c>
      <c r="L70" s="37">
        <f ca="1">'Financial Statements'!L63/'Financial Statements'!L$48</f>
        <v>8.3224656793631183E-2</v>
      </c>
      <c r="M70" s="37">
        <f ca="1">'Financial Statements'!M63/'Financial Statements'!M$48</f>
        <v>7.120971096987537E-2</v>
      </c>
      <c r="N70" s="37">
        <f ca="1">'Financial Statements'!N63/'Financial Statements'!N$48</f>
        <v>7.1010999704124847E-2</v>
      </c>
    </row>
    <row r="71" spans="2:14" x14ac:dyDescent="0.25">
      <c r="E71" t="s">
        <v>161</v>
      </c>
      <c r="J71" s="37">
        <f ca="1">'Financial Statements'!J64/'Financial Statements'!J$48</f>
        <v>0</v>
      </c>
      <c r="K71" s="37">
        <f ca="1">'Financial Statements'!K64/'Financial Statements'!K$48</f>
        <v>5.5053453677638919E-2</v>
      </c>
      <c r="L71" s="37">
        <f ca="1">'Financial Statements'!L64/'Financial Statements'!L$48</f>
        <v>0.10261142650286995</v>
      </c>
      <c r="M71" s="37">
        <f ca="1">'Financial Statements'!M64/'Financial Statements'!M$48</f>
        <v>6.8121190000377155E-2</v>
      </c>
      <c r="N71" s="37">
        <f ca="1">'Financial Statements'!N64/'Financial Statements'!N$48</f>
        <v>5.2198629944900023E-2</v>
      </c>
    </row>
    <row r="72" spans="2:14" ht="14" thickBot="1" x14ac:dyDescent="0.3">
      <c r="E72" t="s">
        <v>162</v>
      </c>
      <c r="J72" s="37">
        <f ca="1">'Financial Statements'!J65/'Financial Statements'!J$48</f>
        <v>0</v>
      </c>
      <c r="K72" s="37">
        <f ca="1">'Financial Statements'!K65/'Financial Statements'!K$48</f>
        <v>0</v>
      </c>
      <c r="L72" s="37">
        <f ca="1">'Financial Statements'!L65/'Financial Statements'!L$48</f>
        <v>0</v>
      </c>
      <c r="M72" s="37">
        <f ca="1">'Financial Statements'!M65/'Financial Statements'!M$48</f>
        <v>0</v>
      </c>
      <c r="N72" s="37">
        <f ca="1">'Financial Statements'!N65/'Financial Statements'!N$48</f>
        <v>0.10920989953010997</v>
      </c>
    </row>
    <row r="73" spans="2:14" ht="14" x14ac:dyDescent="0.3">
      <c r="D73" s="21" t="s">
        <v>163</v>
      </c>
      <c r="J73" s="49">
        <f ca="1">'Financial Statements'!J66/'Financial Statements'!J$48</f>
        <v>3.1096818124378311E-2</v>
      </c>
      <c r="K73" s="49">
        <f ca="1">'Financial Statements'!K66/'Financial Statements'!K$48</f>
        <v>0.14494316664680695</v>
      </c>
      <c r="L73" s="49">
        <f ca="1">'Financial Statements'!L66/'Financial Statements'!L$48</f>
        <v>0.18583608329650111</v>
      </c>
      <c r="M73" s="49">
        <f ca="1">'Financial Statements'!M66/'Financial Statements'!M$48</f>
        <v>0.13933090097025255</v>
      </c>
      <c r="N73" s="49">
        <f ca="1">'Financial Statements'!N66/'Financial Statements'!N$48</f>
        <v>0.23241952917913486</v>
      </c>
    </row>
    <row r="74" spans="2:14" ht="14" thickBot="1" x14ac:dyDescent="0.3"/>
    <row r="75" spans="2:14" ht="14" x14ac:dyDescent="0.3">
      <c r="D75" s="21" t="s">
        <v>165</v>
      </c>
      <c r="J75" s="49">
        <f ca="1">'Financial Statements'!J68/'Financial Statements'!J$48</f>
        <v>0.38099645722558517</v>
      </c>
      <c r="K75" s="49">
        <f ca="1">'Financial Statements'!K68/'Financial Statements'!K$48</f>
        <v>0.14494316664680695</v>
      </c>
      <c r="L75" s="49">
        <f ca="1">'Financial Statements'!L68/'Financial Statements'!L$48</f>
        <v>0.18583608329650111</v>
      </c>
      <c r="M75" s="49">
        <f ca="1">'Financial Statements'!M68/'Financial Statements'!M$48</f>
        <v>0.13933090097025255</v>
      </c>
      <c r="N75" s="49">
        <f ca="1">'Financial Statements'!N68/'Financial Statements'!N$48</f>
        <v>0.23241952917913486</v>
      </c>
    </row>
    <row r="77" spans="2:14" ht="14.5" thickBot="1" x14ac:dyDescent="0.35">
      <c r="C77" s="21" t="s">
        <v>164</v>
      </c>
      <c r="J77" s="50">
        <f ca="1">'Financial Statements'!J70/'Financial Statements'!J$48</f>
        <v>1</v>
      </c>
      <c r="K77" s="50">
        <f ca="1">'Financial Statements'!K70/'Financial Statements'!K$48</f>
        <v>0.99999999999999989</v>
      </c>
      <c r="L77" s="50">
        <f ca="1">'Financial Statements'!L70/'Financial Statements'!L$48</f>
        <v>1</v>
      </c>
      <c r="M77" s="50">
        <f ca="1">'Financial Statements'!M70/'Financial Statements'!M$48</f>
        <v>0.99999999999999978</v>
      </c>
      <c r="N77" s="50">
        <f ca="1">'Financial Statements'!N70/'Financial Statements'!N$48</f>
        <v>0.99999999999999989</v>
      </c>
    </row>
    <row r="78" spans="2:14" ht="14" thickTop="1" x14ac:dyDescent="0.25"/>
    <row r="80" spans="2:14" ht="14" x14ac:dyDescent="0.3">
      <c r="B80" s="21" t="s">
        <v>220</v>
      </c>
    </row>
    <row r="81" spans="4:14" ht="14" x14ac:dyDescent="0.3">
      <c r="D81" s="21" t="s">
        <v>172</v>
      </c>
    </row>
    <row r="82" spans="4:14" x14ac:dyDescent="0.25">
      <c r="E82" t="s">
        <v>147</v>
      </c>
      <c r="J82" s="37">
        <f ca="1">'Financial Statements'!J78/'Financial Statements'!J$8</f>
        <v>2.6876997303817179E-2</v>
      </c>
      <c r="K82" s="37">
        <f ca="1">'Financial Statements'!K78/'Financial Statements'!K$8</f>
        <v>4.5279568296296271E-2</v>
      </c>
      <c r="L82" s="37">
        <f ca="1">'Financial Statements'!L78/'Financial Statements'!L$8</f>
        <v>9.8571741915849692E-2</v>
      </c>
      <c r="M82" s="37">
        <f ca="1">'Financial Statements'!M78/'Financial Statements'!M$8</f>
        <v>7.6043346306347626E-2</v>
      </c>
      <c r="N82" s="37">
        <f ca="1">'Financial Statements'!N78/'Financial Statements'!N$8</f>
        <v>6.202777992067722E-2</v>
      </c>
    </row>
    <row r="83" spans="4:14" x14ac:dyDescent="0.25">
      <c r="E83" t="s">
        <v>173</v>
      </c>
    </row>
    <row r="84" spans="4:14" x14ac:dyDescent="0.25">
      <c r="E84" s="41" t="s">
        <v>68</v>
      </c>
      <c r="J84" s="37">
        <f ca="1">'Financial Statements'!J80/'Financial Statements'!J$8</f>
        <v>3.4145735774088269E-2</v>
      </c>
      <c r="K84" s="37">
        <f ca="1">'Financial Statements'!K80/'Financial Statements'!K$8</f>
        <v>2.2754814814814815E-2</v>
      </c>
      <c r="L84" s="37">
        <f ca="1">'Financial Statements'!L80/'Financial Statements'!L$8</f>
        <v>1.5235252471405229E-2</v>
      </c>
      <c r="M84" s="37">
        <f ca="1">'Financial Statements'!M80/'Financial Statements'!M$8</f>
        <v>2.3545804996039098E-2</v>
      </c>
      <c r="N84" s="37">
        <f ca="1">'Financial Statements'!N80/'Financial Statements'!N$8</f>
        <v>1.2203238546224406E-2</v>
      </c>
    </row>
    <row r="85" spans="4:14" x14ac:dyDescent="0.25">
      <c r="E85" s="41" t="s">
        <v>174</v>
      </c>
      <c r="J85" s="37">
        <f>'Financial Statements'!J81/'Financial Statements'!J$8</f>
        <v>0</v>
      </c>
      <c r="K85" s="37">
        <f>'Financial Statements'!K81/'Financial Statements'!K$8</f>
        <v>0</v>
      </c>
      <c r="L85" s="37">
        <f>'Financial Statements'!L81/'Financial Statements'!L$8</f>
        <v>0</v>
      </c>
      <c r="M85" s="37">
        <f>'Financial Statements'!M81/'Financial Statements'!M$8</f>
        <v>0</v>
      </c>
      <c r="N85" s="37">
        <f ca="1">'Financial Statements'!N81/'Financial Statements'!N$8</f>
        <v>2.5954886633474863E-2</v>
      </c>
    </row>
    <row r="86" spans="4:14" x14ac:dyDescent="0.25">
      <c r="E86" s="41" t="s">
        <v>175</v>
      </c>
      <c r="J86" s="37">
        <f>'Financial Statements'!J82/'Financial Statements'!J$8</f>
        <v>2.9758450404427421E-2</v>
      </c>
      <c r="K86" s="37">
        <f>'Financial Statements'!K82/'Financial Statements'!K$8</f>
        <v>1.1805772444444446E-2</v>
      </c>
      <c r="L86" s="37">
        <f>'Financial Statements'!L82/'Financial Statements'!L$8</f>
        <v>0</v>
      </c>
      <c r="M86" s="37">
        <f>'Financial Statements'!M82/'Financial Statements'!M$8</f>
        <v>0</v>
      </c>
      <c r="N86" s="37">
        <f>'Financial Statements'!N82/'Financial Statements'!N$8</f>
        <v>0</v>
      </c>
    </row>
    <row r="88" spans="4:14" x14ac:dyDescent="0.25">
      <c r="E88" s="42" t="s">
        <v>176</v>
      </c>
      <c r="J88" s="37">
        <f>'Financial Statements'!J84/'Financial Statements'!J$8</f>
        <v>0</v>
      </c>
      <c r="K88" s="37">
        <f>'Financial Statements'!K84/'Financial Statements'!K$8</f>
        <v>0</v>
      </c>
      <c r="L88" s="37">
        <f>'Financial Statements'!L84/'Financial Statements'!L$8</f>
        <v>0</v>
      </c>
      <c r="M88" s="37">
        <f>'Financial Statements'!M84/'Financial Statements'!M$8</f>
        <v>0</v>
      </c>
      <c r="N88" s="37">
        <f>'Financial Statements'!N84/'Financial Statements'!N$8</f>
        <v>0</v>
      </c>
    </row>
    <row r="89" spans="4:14" x14ac:dyDescent="0.25">
      <c r="E89" s="41" t="s">
        <v>177</v>
      </c>
      <c r="J89" s="37">
        <f>'Financial Statements'!J85/'Financial Statements'!J$8</f>
        <v>-5.4818220519369951E-2</v>
      </c>
      <c r="K89" s="37">
        <f>'Financial Statements'!K85/'Financial Statements'!K$8</f>
        <v>-4.1629677777777777E-2</v>
      </c>
      <c r="L89" s="37">
        <f>'Financial Statements'!L85/'Financial Statements'!L$8</f>
        <v>-3.4191122538970581E-2</v>
      </c>
      <c r="M89" s="37">
        <f>'Financial Statements'!M85/'Financial Statements'!M$8</f>
        <v>-1.0799157899321002E-2</v>
      </c>
      <c r="N89" s="37">
        <f>'Financial Statements'!N85/'Financial Statements'!N$8</f>
        <v>-2.5696774409833281E-2</v>
      </c>
    </row>
    <row r="90" spans="4:14" x14ac:dyDescent="0.25">
      <c r="E90" s="41" t="s">
        <v>131</v>
      </c>
      <c r="J90" s="37">
        <f>'Financial Statements'!J86/'Financial Statements'!J$8</f>
        <v>-1.2500000000000001E-2</v>
      </c>
      <c r="K90" s="37">
        <f>'Financial Statements'!K86/'Financial Statements'!K$8</f>
        <v>-7.28E-3</v>
      </c>
      <c r="L90" s="37">
        <f>'Financial Statements'!L86/'Financial Statements'!L$8</f>
        <v>-5.6066176470588236E-3</v>
      </c>
      <c r="M90" s="37">
        <f>'Financial Statements'!M86/'Financial Statements'!M$8</f>
        <v>-2.006172839506173E-3</v>
      </c>
      <c r="N90" s="37">
        <f>'Financial Statements'!N86/'Financial Statements'!N$8</f>
        <v>-3.8609215017064847E-3</v>
      </c>
    </row>
    <row r="91" spans="4:14" x14ac:dyDescent="0.25">
      <c r="E91" s="41" t="s">
        <v>136</v>
      </c>
      <c r="J91" s="37">
        <f>'Financial Statements'!J87/'Financial Statements'!J$8</f>
        <v>1.2562508869022278E-2</v>
      </c>
      <c r="K91" s="37">
        <f>'Financial Statements'!K87/'Financial Statements'!K$8</f>
        <v>9.5401344907407436E-3</v>
      </c>
      <c r="L91" s="37">
        <f>'Financial Statements'!L87/'Financial Statements'!L$8</f>
        <v>7.8354655818474242E-3</v>
      </c>
      <c r="M91" s="37">
        <f>'Financial Statements'!M87/'Financial Statements'!M$8</f>
        <v>2.474807018594395E-3</v>
      </c>
      <c r="N91" s="37">
        <f>'Financial Statements'!N87/'Financial Statements'!N$8</f>
        <v>5.8888441355867951E-3</v>
      </c>
    </row>
    <row r="92" spans="4:14" x14ac:dyDescent="0.25">
      <c r="D92" t="s">
        <v>178</v>
      </c>
      <c r="J92" s="37">
        <f ca="1">'Financial Statements'!J88/'Financial Statements'!J$8</f>
        <v>3.6025471831985199E-2</v>
      </c>
      <c r="K92" s="37">
        <f ca="1">'Financial Statements'!K88/'Financial Statements'!K$8</f>
        <v>4.0470612268518502E-2</v>
      </c>
      <c r="L92" s="37">
        <f ca="1">'Financial Statements'!L88/'Financial Statements'!L$8</f>
        <v>8.184471978307295E-2</v>
      </c>
      <c r="M92" s="37">
        <f ca="1">'Financial Statements'!M88/'Financial Statements'!M$8</f>
        <v>8.9258627582153929E-2</v>
      </c>
      <c r="N92" s="37">
        <f ca="1">'Financial Statements'!N88/'Financial Statements'!N$8</f>
        <v>7.6517053324423517E-2</v>
      </c>
    </row>
    <row r="93" spans="4:14" ht="14" thickBot="1" x14ac:dyDescent="0.3">
      <c r="E93" s="41" t="s">
        <v>167</v>
      </c>
      <c r="J93" s="37">
        <f>'Financial Statements'!J89/'Financial Statements'!J$8</f>
        <v>0</v>
      </c>
      <c r="K93" s="37">
        <f>'Financial Statements'!K89/'Financial Statements'!K$8</f>
        <v>0</v>
      </c>
      <c r="L93" s="37">
        <f>'Financial Statements'!L89/'Financial Statements'!L$8</f>
        <v>0</v>
      </c>
      <c r="M93" s="37">
        <f>'Financial Statements'!M89/'Financial Statements'!M$8</f>
        <v>0</v>
      </c>
      <c r="N93" s="37">
        <f>'Financial Statements'!N89/'Financial Statements'!N$8</f>
        <v>0</v>
      </c>
    </row>
    <row r="94" spans="4:14" ht="14" x14ac:dyDescent="0.3">
      <c r="D94" s="21" t="s">
        <v>179</v>
      </c>
      <c r="J94" s="49">
        <f ca="1">'Financial Statements'!J90/'Financial Statements'!J$8</f>
        <v>3.6025471831985199E-2</v>
      </c>
      <c r="K94" s="49">
        <f ca="1">'Financial Statements'!K90/'Financial Statements'!K$8</f>
        <v>4.0470612268518502E-2</v>
      </c>
      <c r="L94" s="49">
        <f ca="1">'Financial Statements'!L90/'Financial Statements'!L$8</f>
        <v>8.184471978307295E-2</v>
      </c>
      <c r="M94" s="49">
        <f ca="1">'Financial Statements'!M90/'Financial Statements'!M$8</f>
        <v>8.9258627582153929E-2</v>
      </c>
      <c r="N94" s="49">
        <f ca="1">'Financial Statements'!N90/'Financial Statements'!N$8</f>
        <v>7.6517053324423517E-2</v>
      </c>
    </row>
    <row r="96" spans="4:14" ht="14" x14ac:dyDescent="0.3">
      <c r="D96" s="21" t="s">
        <v>180</v>
      </c>
    </row>
    <row r="97" spans="4:14" ht="14" thickBot="1" x14ac:dyDescent="0.3">
      <c r="E97" t="s">
        <v>181</v>
      </c>
      <c r="J97" s="37">
        <f>'Financial Statements'!J93/'Financial Statements'!J$8</f>
        <v>-0.1277139208173691</v>
      </c>
      <c r="K97" s="37">
        <f>'Financial Statements'!K93/'Financial Statements'!K$8</f>
        <v>-2.5486666666666668E-2</v>
      </c>
      <c r="L97" s="37">
        <f>'Financial Statements'!L93/'Financial Statements'!L$8</f>
        <v>-8.0599240808823542E-3</v>
      </c>
      <c r="M97" s="37">
        <f>'Financial Statements'!M93/'Financial Statements'!M$8</f>
        <v>-4.4739145994444458E-2</v>
      </c>
      <c r="N97" s="37">
        <f>'Financial Statements'!N93/'Financial Statements'!N$8</f>
        <v>-6.0774578397184325E-3</v>
      </c>
    </row>
    <row r="98" spans="4:14" ht="14" x14ac:dyDescent="0.3">
      <c r="D98" s="21" t="s">
        <v>182</v>
      </c>
      <c r="J98" s="49">
        <f>'Financial Statements'!J94/'Financial Statements'!J$8</f>
        <v>-0.1277139208173691</v>
      </c>
      <c r="K98" s="49">
        <f>'Financial Statements'!K94/'Financial Statements'!K$8</f>
        <v>-2.5486666666666668E-2</v>
      </c>
      <c r="L98" s="49">
        <f>'Financial Statements'!L94/'Financial Statements'!L$8</f>
        <v>-8.0599240808823542E-3</v>
      </c>
      <c r="M98" s="49">
        <f>'Financial Statements'!M94/'Financial Statements'!M$8</f>
        <v>-4.4739145994444458E-2</v>
      </c>
      <c r="N98" s="49">
        <f>'Financial Statements'!N94/'Financial Statements'!N$8</f>
        <v>-6.0774578397184325E-3</v>
      </c>
    </row>
    <row r="100" spans="4:14" ht="14" x14ac:dyDescent="0.3">
      <c r="D100" s="21" t="s">
        <v>183</v>
      </c>
    </row>
    <row r="101" spans="4:14" x14ac:dyDescent="0.25">
      <c r="E101" t="s">
        <v>184</v>
      </c>
      <c r="J101" s="37">
        <f>'Financial Statements'!J97/'Financial Statements'!J$8</f>
        <v>0.2231883780332056</v>
      </c>
      <c r="K101" s="37">
        <f>'Financial Statements'!K97/'Financial Statements'!K$8</f>
        <v>0</v>
      </c>
      <c r="L101" s="37">
        <f>'Financial Statements'!L97/'Financial Statements'!L$8</f>
        <v>0</v>
      </c>
      <c r="M101" s="37">
        <f>'Financial Statements'!M97/'Financial Statements'!M$8</f>
        <v>0</v>
      </c>
      <c r="N101" s="37">
        <f>'Financial Statements'!N97/'Financial Statements'!N$8</f>
        <v>0</v>
      </c>
    </row>
    <row r="102" spans="4:14" x14ac:dyDescent="0.25">
      <c r="E102" t="s">
        <v>170</v>
      </c>
      <c r="J102" s="37">
        <f>'Financial Statements'!J98/'Financial Statements'!J$8</f>
        <v>0</v>
      </c>
      <c r="K102" s="37">
        <f ca="1">'Financial Statements'!K98/'Financial Statements'!K$8</f>
        <v>0</v>
      </c>
      <c r="L102" s="37">
        <f ca="1">'Financial Statements'!L98/'Financial Statements'!L$8</f>
        <v>-4.9940700326797363E-3</v>
      </c>
      <c r="M102" s="37">
        <f ca="1">'Financial Statements'!M98/'Financial Statements'!M$8</f>
        <v>-1.6550317161179703E-2</v>
      </c>
      <c r="N102" s="37">
        <f ca="1">'Financial Statements'!N98/'Financial Statements'!N$8</f>
        <v>-1.0511111008215286E-2</v>
      </c>
    </row>
    <row r="103" spans="4:14" x14ac:dyDescent="0.25">
      <c r="E103" t="s">
        <v>185</v>
      </c>
      <c r="J103" s="37">
        <f>'Financial Statements'!J99/'Financial Statements'!J$8</f>
        <v>0.14879225202213708</v>
      </c>
      <c r="K103" s="37">
        <f>'Financial Statements'!K99/'Financial Statements'!K$8</f>
        <v>0</v>
      </c>
      <c r="L103" s="37">
        <f>'Financial Statements'!L99/'Financial Statements'!L$8</f>
        <v>0</v>
      </c>
      <c r="M103" s="37">
        <f>'Financial Statements'!M99/'Financial Statements'!M$8</f>
        <v>0</v>
      </c>
      <c r="N103" s="37">
        <f>'Financial Statements'!N99/'Financial Statements'!N$8</f>
        <v>0</v>
      </c>
    </row>
    <row r="104" spans="4:14" x14ac:dyDescent="0.25">
      <c r="E104" t="s">
        <v>186</v>
      </c>
      <c r="J104" s="37">
        <f>'Financial Statements'!J100/'Financial Statements'!J$8</f>
        <v>-3.7198063005534271E-2</v>
      </c>
      <c r="K104" s="37">
        <f>'Financial Statements'!K100/'Financial Statements'!K$8</f>
        <v>0</v>
      </c>
      <c r="L104" s="37">
        <f>'Financial Statements'!L100/'Financial Statements'!L$8</f>
        <v>0</v>
      </c>
      <c r="M104" s="37">
        <f>'Financial Statements'!M100/'Financial Statements'!M$8</f>
        <v>0</v>
      </c>
      <c r="N104" s="37">
        <f>'Financial Statements'!N100/'Financial Statements'!N$8</f>
        <v>0</v>
      </c>
    </row>
    <row r="105" spans="4:14" ht="14" thickBot="1" x14ac:dyDescent="0.3">
      <c r="E105" t="s">
        <v>187</v>
      </c>
      <c r="J105" s="37">
        <f>'Financial Statements'!J101/'Financial Statements'!J$8</f>
        <v>0</v>
      </c>
      <c r="K105" s="37">
        <f>'Financial Statements'!K101/'Financial Statements'!K$8</f>
        <v>-7.0834634666666674E-2</v>
      </c>
      <c r="L105" s="37">
        <f>'Financial Statements'!L101/'Financial Statements'!L$8</f>
        <v>0</v>
      </c>
      <c r="M105" s="37">
        <f>'Financial Statements'!M101/'Financial Statements'!M$8</f>
        <v>0</v>
      </c>
      <c r="N105" s="37">
        <f>'Financial Statements'!N101/'Financial Statements'!N$8</f>
        <v>0</v>
      </c>
    </row>
    <row r="106" spans="4:14" ht="14" x14ac:dyDescent="0.3">
      <c r="D106" s="21" t="s">
        <v>188</v>
      </c>
      <c r="J106" s="49">
        <f>'Financial Statements'!J102/'Financial Statements'!J$8</f>
        <v>0.33478256704980847</v>
      </c>
      <c r="K106" s="49">
        <f ca="1">'Financial Statements'!K102/'Financial Statements'!K$8</f>
        <v>-7.0834634666666674E-2</v>
      </c>
      <c r="L106" s="49">
        <f ca="1">'Financial Statements'!L102/'Financial Statements'!L$8</f>
        <v>-4.9940700326797363E-3</v>
      </c>
      <c r="M106" s="49">
        <f ca="1">'Financial Statements'!M102/'Financial Statements'!M$8</f>
        <v>-1.6550317161179703E-2</v>
      </c>
      <c r="N106" s="49">
        <f ca="1">'Financial Statements'!N102/'Financial Statements'!N$8</f>
        <v>-1.0511111008215286E-2</v>
      </c>
    </row>
    <row r="107" spans="4:14" ht="14" thickBot="1" x14ac:dyDescent="0.3"/>
    <row r="108" spans="4:14" ht="14.5" thickBot="1" x14ac:dyDescent="0.35">
      <c r="D108" s="21" t="s">
        <v>189</v>
      </c>
      <c r="J108" s="49">
        <f ca="1">'Financial Statements'!J104/'Financial Statements'!J$8</f>
        <v>0.24309411806442455</v>
      </c>
      <c r="K108" s="49">
        <f ca="1">'Financial Statements'!K104/'Financial Statements'!K$8</f>
        <v>-5.5850689064814836E-2</v>
      </c>
      <c r="L108" s="49">
        <f ca="1">'Financial Statements'!L104/'Financial Statements'!L$8</f>
        <v>6.879072566951086E-2</v>
      </c>
      <c r="M108" s="49">
        <f ca="1">'Financial Statements'!M104/'Financial Statements'!M$8</f>
        <v>2.7969164426529775E-2</v>
      </c>
      <c r="N108" s="49">
        <f ca="1">'Financial Statements'!N104/'Financial Statements'!N$8</f>
        <v>5.9928484476489796E-2</v>
      </c>
    </row>
    <row r="109" spans="4:14" ht="14" x14ac:dyDescent="0.3">
      <c r="D109" s="21" t="s">
        <v>190</v>
      </c>
      <c r="J109" s="49">
        <f>'Financial Statements'!J105/'Financial Statements'!J$8</f>
        <v>0</v>
      </c>
      <c r="K109" s="49">
        <f ca="1">'Financial Statements'!K105/'Financial Statements'!K$8</f>
        <v>0.10151610370370369</v>
      </c>
      <c r="L109" s="49">
        <f ca="1">'Financial Statements'!L105/'Financial Statements'!L$8</f>
        <v>2.5183133072916648E-2</v>
      </c>
      <c r="M109" s="49">
        <f ca="1">'Financial Statements'!M105/'Financial Statements'!M$8</f>
        <v>7.8891634499815691E-2</v>
      </c>
      <c r="N109" s="49">
        <f ca="1">'Financial Statements'!N105/'Financial Statements'!N$8</f>
        <v>7.385430642520463E-2</v>
      </c>
    </row>
    <row r="110" spans="4:14" ht="14.5" thickBot="1" x14ac:dyDescent="0.35">
      <c r="D110" s="21" t="s">
        <v>191</v>
      </c>
      <c r="J110" s="50">
        <f ca="1">'Financial Statements'!J106/'Financial Statements'!J$8</f>
        <v>0.24309411806442455</v>
      </c>
      <c r="K110" s="50">
        <f ca="1">'Financial Statements'!K106/'Financial Statements'!K$8</f>
        <v>4.5665414638888853E-2</v>
      </c>
      <c r="L110" s="50">
        <f ca="1">'Financial Statements'!L106/'Financial Statements'!L$8</f>
        <v>9.3973858742427516E-2</v>
      </c>
      <c r="M110" s="50">
        <f ca="1">'Financial Statements'!M106/'Financial Statements'!M$8</f>
        <v>0.10686079892634547</v>
      </c>
      <c r="N110" s="50">
        <f ca="1">'Financial Statements'!N106/'Financial Statements'!N$8</f>
        <v>0.13378279090169443</v>
      </c>
    </row>
    <row r="111" spans="4:14" ht="14" thickTop="1" x14ac:dyDescent="0.25"/>
    <row r="113" spans="1:14" s="4" customFormat="1" ht="14" x14ac:dyDescent="0.3">
      <c r="A113" s="6" t="s">
        <v>8</v>
      </c>
      <c r="B113" s="5" t="s">
        <v>221</v>
      </c>
    </row>
    <row r="114" spans="1:14" x14ac:dyDescent="0.25">
      <c r="C114" s="37"/>
    </row>
    <row r="115" spans="1:14" ht="14" x14ac:dyDescent="0.3">
      <c r="C115" s="21" t="s">
        <v>224</v>
      </c>
    </row>
    <row r="116" spans="1:14" x14ac:dyDescent="0.25">
      <c r="E116" t="s">
        <v>222</v>
      </c>
      <c r="J116" s="51">
        <f ca="1">'Financial Statements'!J46/'Financial Statements'!J66</f>
        <v>24.709422442617026</v>
      </c>
      <c r="K116" s="51">
        <f ca="1">'Financial Statements'!K46/'Financial Statements'!K66</f>
        <v>5.1458099108825612</v>
      </c>
      <c r="L116" s="51">
        <f ca="1">'Financial Statements'!L46/'Financial Statements'!L66</f>
        <v>4.9363345851237277</v>
      </c>
      <c r="M116" s="51">
        <f ca="1">'Financial Statements'!M46/'Financial Statements'!M66</f>
        <v>6.0673012441355079</v>
      </c>
      <c r="N116" s="51">
        <f ca="1">'Financial Statements'!N46/'Financial Statements'!N66</f>
        <v>3.98149671381019</v>
      </c>
    </row>
    <row r="117" spans="1:14" x14ac:dyDescent="0.25">
      <c r="J117" s="51"/>
      <c r="K117" s="51"/>
      <c r="L117" s="51"/>
      <c r="M117" s="51"/>
      <c r="N117" s="51"/>
    </row>
    <row r="118" spans="1:14" x14ac:dyDescent="0.25">
      <c r="E118" t="s">
        <v>223</v>
      </c>
      <c r="J118" s="51">
        <f ca="1">('Financial Statements'!J46-'Financial Statements'!J43)/'Financial Statements'!J66</f>
        <v>20.345786078980659</v>
      </c>
      <c r="K118" s="51">
        <f ca="1">('Financial Statements'!K46-'Financial Statements'!K43)/'Financial Statements'!K66</f>
        <v>2.4396042352130767</v>
      </c>
      <c r="L118" s="51">
        <f ca="1">('Financial Statements'!L46-'Financial Statements'!L43)/'Financial Statements'!L66</f>
        <v>2.9821277793527479</v>
      </c>
      <c r="M118" s="51">
        <f ca="1">('Financial Statements'!M46-'Financial Statements'!M43)/'Financial Statements'!M66</f>
        <v>3.837119123239543</v>
      </c>
      <c r="N118" s="51">
        <f ca="1">('Financial Statements'!N46-'Financial Statements'!N43)/'Financial Statements'!N66</f>
        <v>2.6482775061924682</v>
      </c>
    </row>
    <row r="120" spans="1:14" ht="14" x14ac:dyDescent="0.3">
      <c r="C120" s="21" t="s">
        <v>225</v>
      </c>
    </row>
    <row r="121" spans="1:14" x14ac:dyDescent="0.25">
      <c r="E121" t="s">
        <v>226</v>
      </c>
      <c r="J121" s="51">
        <f ca="1">IFERROR('Financial Statements'!J19/-'Financial Statements'!J21,0)</f>
        <v>1.903171937333755</v>
      </c>
      <c r="K121" s="51">
        <f ca="1">IFERROR('Financial Statements'!K19/-'Financial Statements'!K21,0)</f>
        <v>4.8353753224850529</v>
      </c>
      <c r="L121" s="51">
        <f ca="1">IFERROR('Financial Statements'!L19/-'Financial Statements'!L21,0)</f>
        <v>0</v>
      </c>
      <c r="M121" s="51">
        <f ca="1">IFERROR('Financial Statements'!M19/-'Financial Statements'!M21,0)</f>
        <v>0</v>
      </c>
      <c r="N121" s="51">
        <f ca="1">IFERROR('Financial Statements'!N19/-'Financial Statements'!N21,0)</f>
        <v>0</v>
      </c>
    </row>
    <row r="124" spans="1:14" x14ac:dyDescent="0.25">
      <c r="E124" t="s">
        <v>227</v>
      </c>
      <c r="J124" s="37">
        <f ca="1">'Financial Statements'!J68/'Financial Statements'!J48</f>
        <v>0.38099645722558517</v>
      </c>
      <c r="K124" s="37">
        <f ca="1">'Financial Statements'!K68/'Financial Statements'!K48</f>
        <v>0.14494316664680695</v>
      </c>
      <c r="L124" s="37">
        <f ca="1">'Financial Statements'!L68/'Financial Statements'!L48</f>
        <v>0.18583608329650111</v>
      </c>
      <c r="M124" s="37">
        <f ca="1">'Financial Statements'!M68/'Financial Statements'!M48</f>
        <v>0.13933090097025255</v>
      </c>
      <c r="N124" s="37">
        <f ca="1">'Financial Statements'!N68/'Financial Statements'!N48</f>
        <v>0.23241952917913486</v>
      </c>
    </row>
    <row r="126" spans="1:14" ht="14" x14ac:dyDescent="0.3">
      <c r="C126" s="21" t="s">
        <v>228</v>
      </c>
    </row>
    <row r="127" spans="1:14" x14ac:dyDescent="0.25">
      <c r="E127" t="s">
        <v>229</v>
      </c>
      <c r="J127" s="37">
        <f>'Financial Statements'!J12/'Financial Statements'!J8</f>
        <v>0.45181779480630058</v>
      </c>
      <c r="K127" s="37">
        <f>'Financial Statements'!K12/'Financial Statements'!K8</f>
        <v>0.35478233333333331</v>
      </c>
      <c r="L127" s="37">
        <f>'Financial Statements'!L12/'Financial Statements'!L8</f>
        <v>0.30227020843382352</v>
      </c>
      <c r="M127" s="37">
        <f>'Financial Statements'!M12/'Financial Statements'!M8</f>
        <v>0.30625995401296285</v>
      </c>
      <c r="N127" s="37">
        <f>'Financial Statements'!N12/'Financial Statements'!N8</f>
        <v>0.26357027872632582</v>
      </c>
    </row>
    <row r="129" spans="5:14" x14ac:dyDescent="0.25">
      <c r="E129" t="s">
        <v>230</v>
      </c>
      <c r="J129" s="37">
        <f ca="1">'Financial Statements'!J27/'Financial Statements'!J8</f>
        <v>2.6876997303817179E-2</v>
      </c>
      <c r="K129" s="37">
        <f ca="1">'Financial Statements'!K27/'Financial Statements'!K8</f>
        <v>4.5279568296296271E-2</v>
      </c>
      <c r="L129" s="37">
        <f ca="1">'Financial Statements'!L27/'Financial Statements'!L8</f>
        <v>9.8571741915849692E-2</v>
      </c>
      <c r="M129" s="37">
        <f ca="1">'Financial Statements'!M27/'Financial Statements'!M8</f>
        <v>7.6043346306347626E-2</v>
      </c>
      <c r="N129" s="37">
        <f ca="1">'Financial Statements'!N27/'Financial Statements'!N8</f>
        <v>6.202777992067722E-2</v>
      </c>
    </row>
    <row r="131" spans="5:14" x14ac:dyDescent="0.25">
      <c r="E131" t="s">
        <v>231</v>
      </c>
      <c r="J131" s="37">
        <f ca="1">'Financial Statements'!J19/'Financial Statements'!J48</f>
        <v>0.14019351032013172</v>
      </c>
      <c r="K131" s="37">
        <f ca="1">'Financial Statements'!K19/'Financial Statements'!K48</f>
        <v>0.3470378893165893</v>
      </c>
      <c r="L131" s="37">
        <f ca="1">'Financial Statements'!L19/'Financial Statements'!L48</f>
        <v>0.51305713251434959</v>
      </c>
      <c r="M131" s="37">
        <f ca="1">'Financial Statements'!M19/'Financial Statements'!M48</f>
        <v>0.34060595000188587</v>
      </c>
      <c r="N131" s="37">
        <f ca="1">'Financial Statements'!N19/'Financial Statements'!N48</f>
        <v>0.37020304925461006</v>
      </c>
    </row>
    <row r="133" spans="5:14" x14ac:dyDescent="0.25">
      <c r="E133" t="s">
        <v>232</v>
      </c>
      <c r="J133" s="37">
        <f ca="1">'Financial Statements'!J27/'Financial Statements'!J53</f>
        <v>0.12042292497783404</v>
      </c>
      <c r="K133" s="37">
        <f ca="1">'Financial Statements'!K27/'Financial Statements'!K53</f>
        <v>0.4858142075147735</v>
      </c>
      <c r="L133" s="37">
        <f ca="1">'Financial Statements'!L27/'Financial Statements'!L53</f>
        <v>1.9177765777747264</v>
      </c>
      <c r="M133" s="37">
        <f ca="1">'Financial Statements'!M27/'Financial Statements'!M53</f>
        <v>1.7623124321024275</v>
      </c>
      <c r="N133" s="37">
        <f ca="1">'Financial Statements'!N27/'Financial Statements'!N53</f>
        <v>2.0799386021988795</v>
      </c>
    </row>
  </sheetData>
  <hyperlinks>
    <hyperlink ref="M1" location="'Cover Page'!A1" display="MENU" xr:uid="{D117FAE1-6214-482A-BC2B-3568F849FEA1}"/>
  </hyperlink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9217" r:id="rId3" name="Drop Down 1">
              <controlPr defaultSize="0" autoLine="0" autoPict="0">
                <anchor moveWithCells="1">
                  <from>
                    <xdr:col>4</xdr:col>
                    <xdr:colOff>2755900</xdr:colOff>
                    <xdr:row>3</xdr:row>
                    <xdr:rowOff>19050</xdr:rowOff>
                  </from>
                  <to>
                    <xdr:col>8</xdr:col>
                    <xdr:colOff>241300</xdr:colOff>
                    <xdr:row>4</xdr:row>
                    <xdr:rowOff>127000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BA194-172A-4000-9820-50EBC04E0731}">
  <sheetPr>
    <tabColor theme="5" tint="-0.499984740745262"/>
  </sheetPr>
  <dimension ref="A1:Q43"/>
  <sheetViews>
    <sheetView zoomScale="67" workbookViewId="0">
      <selection activeCell="M1" sqref="M1"/>
    </sheetView>
  </sheetViews>
  <sheetFormatPr defaultRowHeight="13.5" x14ac:dyDescent="0.25"/>
  <cols>
    <col min="1" max="5" width="3.83203125" customWidth="1"/>
    <col min="6" max="6" width="11.08203125" customWidth="1"/>
    <col min="7" max="7" width="15.83203125" customWidth="1"/>
    <col min="8" max="8" width="11.1640625" bestFit="1" customWidth="1"/>
    <col min="9" max="9" width="14" customWidth="1"/>
    <col min="10" max="10" width="12" customWidth="1"/>
    <col min="11" max="11" width="25.08203125" bestFit="1" customWidth="1"/>
    <col min="12" max="12" width="10.6640625" customWidth="1"/>
    <col min="13" max="13" width="14.83203125" customWidth="1"/>
    <col min="14" max="14" width="18.9140625" customWidth="1"/>
    <col min="15" max="15" width="17" customWidth="1"/>
    <col min="16" max="16" width="16.58203125" customWidth="1"/>
  </cols>
  <sheetData>
    <row r="1" spans="1:17" s="2" customFormat="1" x14ac:dyDescent="0.25">
      <c r="A1" s="2" t="s">
        <v>0</v>
      </c>
      <c r="M1" s="63" t="s">
        <v>267</v>
      </c>
    </row>
    <row r="2" spans="1:17" s="2" customFormat="1" x14ac:dyDescent="0.25">
      <c r="A2" s="2" t="s">
        <v>1</v>
      </c>
    </row>
    <row r="3" spans="1:17" s="2" customFormat="1" x14ac:dyDescent="0.25">
      <c r="A3" s="2" t="s">
        <v>242</v>
      </c>
    </row>
    <row r="4" spans="1:17" s="2" customFormat="1" x14ac:dyDescent="0.25"/>
    <row r="5" spans="1:17" s="2" customFormat="1" ht="14" x14ac:dyDescent="0.3">
      <c r="A5" s="2" t="s">
        <v>3</v>
      </c>
      <c r="M5" s="8"/>
      <c r="N5" s="8"/>
      <c r="O5" s="8"/>
      <c r="P5" s="8"/>
      <c r="Q5" s="8"/>
    </row>
    <row r="7" spans="1:17" x14ac:dyDescent="0.25">
      <c r="F7" t="s">
        <v>233</v>
      </c>
      <c r="G7" t="s">
        <v>236</v>
      </c>
      <c r="H7" t="s">
        <v>86</v>
      </c>
      <c r="I7" t="s">
        <v>91</v>
      </c>
      <c r="J7" t="s">
        <v>234</v>
      </c>
      <c r="K7" t="s">
        <v>237</v>
      </c>
      <c r="L7" t="s">
        <v>238</v>
      </c>
      <c r="M7" t="s">
        <v>235</v>
      </c>
      <c r="N7" t="s">
        <v>239</v>
      </c>
      <c r="O7" t="s">
        <v>240</v>
      </c>
      <c r="P7" t="s">
        <v>232</v>
      </c>
    </row>
    <row r="8" spans="1:17" x14ac:dyDescent="0.25">
      <c r="D8">
        <v>-1</v>
      </c>
      <c r="F8">
        <v>2024</v>
      </c>
      <c r="G8" t="s">
        <v>22</v>
      </c>
      <c r="H8" s="27">
        <f>Workings!J8</f>
        <v>2462400</v>
      </c>
      <c r="I8" s="27"/>
      <c r="J8" s="27"/>
      <c r="K8" t="s">
        <v>46</v>
      </c>
      <c r="L8" s="27">
        <f>('Financial Statements'!J15)*-1</f>
        <v>300000</v>
      </c>
      <c r="M8" s="27"/>
      <c r="N8" s="27"/>
    </row>
    <row r="9" spans="1:17" x14ac:dyDescent="0.25">
      <c r="F9">
        <v>2024</v>
      </c>
      <c r="G9" t="s">
        <v>26</v>
      </c>
      <c r="H9" s="27">
        <f>Workings!J9</f>
        <v>432000</v>
      </c>
      <c r="I9" s="27"/>
      <c r="J9" s="27"/>
      <c r="K9" t="s">
        <v>68</v>
      </c>
      <c r="L9" s="27">
        <f ca="1">('Financial Statements'!J16)*-1</f>
        <v>128333.33333333334</v>
      </c>
      <c r="M9" s="27"/>
      <c r="N9" s="27"/>
    </row>
    <row r="10" spans="1:17" x14ac:dyDescent="0.25">
      <c r="F10">
        <v>2024</v>
      </c>
      <c r="G10" t="s">
        <v>88</v>
      </c>
      <c r="H10" s="27">
        <f>Workings!J10</f>
        <v>864000</v>
      </c>
      <c r="I10" s="27"/>
      <c r="J10" s="27"/>
      <c r="K10" t="s">
        <v>117</v>
      </c>
      <c r="L10" s="27">
        <f>('Financial Statements'!J17)*-1</f>
        <v>1056920</v>
      </c>
      <c r="M10" s="27"/>
      <c r="N10" s="27"/>
    </row>
    <row r="11" spans="1:17" x14ac:dyDescent="0.25">
      <c r="F11">
        <v>2025</v>
      </c>
      <c r="G11" t="s">
        <v>22</v>
      </c>
      <c r="H11" s="27">
        <f>Workings!K8</f>
        <v>5760000</v>
      </c>
      <c r="I11" s="27"/>
      <c r="J11" s="27"/>
      <c r="K11" t="s">
        <v>46</v>
      </c>
      <c r="L11" s="27">
        <f>('Financial Statements'!K15)*-1</f>
        <v>840000</v>
      </c>
      <c r="M11" s="27"/>
      <c r="N11" s="27"/>
    </row>
    <row r="12" spans="1:17" x14ac:dyDescent="0.25">
      <c r="F12">
        <v>2025</v>
      </c>
      <c r="G12" t="s">
        <v>26</v>
      </c>
      <c r="H12" s="27">
        <f>Workings!K9</f>
        <v>1800000</v>
      </c>
      <c r="I12" s="27"/>
      <c r="J12" s="27"/>
      <c r="K12" t="s">
        <v>68</v>
      </c>
      <c r="L12" s="27">
        <f ca="1">('Financial Statements'!K16)*-1</f>
        <v>204793.33333333334</v>
      </c>
      <c r="M12" s="27"/>
      <c r="N12" s="27"/>
    </row>
    <row r="13" spans="1:17" x14ac:dyDescent="0.25">
      <c r="F13">
        <v>2025</v>
      </c>
      <c r="G13" t="s">
        <v>88</v>
      </c>
      <c r="H13" s="27">
        <f>Workings!K10</f>
        <v>1440000</v>
      </c>
      <c r="I13" s="27"/>
      <c r="J13" s="27"/>
      <c r="K13" t="s">
        <v>117</v>
      </c>
      <c r="L13" s="27">
        <f>('Financial Statements'!K17)*-1</f>
        <v>1634479.6</v>
      </c>
      <c r="M13" s="27"/>
      <c r="N13" s="27"/>
    </row>
    <row r="14" spans="1:17" x14ac:dyDescent="0.25">
      <c r="F14">
        <v>2026</v>
      </c>
      <c r="G14" t="s">
        <v>22</v>
      </c>
      <c r="H14" s="27">
        <f>Workings!L8</f>
        <v>11520000</v>
      </c>
      <c r="I14" s="27"/>
      <c r="J14" s="27"/>
      <c r="K14" t="s">
        <v>46</v>
      </c>
      <c r="L14" s="27">
        <f>('Financial Statements'!L15)*-1</f>
        <v>960000</v>
      </c>
      <c r="M14" s="27"/>
      <c r="N14" s="27"/>
    </row>
    <row r="15" spans="1:17" x14ac:dyDescent="0.25">
      <c r="F15">
        <v>2026</v>
      </c>
      <c r="G15" t="s">
        <v>26</v>
      </c>
      <c r="H15" s="27">
        <f>Workings!L9</f>
        <v>2040000</v>
      </c>
      <c r="I15" s="27"/>
      <c r="J15" s="27"/>
      <c r="K15" t="s">
        <v>68</v>
      </c>
      <c r="L15" s="27">
        <f ca="1">('Financial Statements'!L16)*-1</f>
        <v>248639.32033333334</v>
      </c>
      <c r="M15" s="27"/>
      <c r="N15" s="27"/>
    </row>
    <row r="16" spans="1:17" x14ac:dyDescent="0.25">
      <c r="F16">
        <v>2026</v>
      </c>
      <c r="G16" t="s">
        <v>88</v>
      </c>
      <c r="H16" s="27">
        <f>Workings!L10</f>
        <v>2760000</v>
      </c>
      <c r="I16" s="27"/>
      <c r="J16" s="27"/>
      <c r="K16" t="s">
        <v>117</v>
      </c>
      <c r="L16" s="27">
        <f>('Financial Statements'!L17)*-1</f>
        <v>2115719.6532399999</v>
      </c>
      <c r="M16" s="27"/>
      <c r="N16" s="27"/>
    </row>
    <row r="17" spans="6:17" x14ac:dyDescent="0.25">
      <c r="F17">
        <v>2027</v>
      </c>
      <c r="G17" t="s">
        <v>22</v>
      </c>
      <c r="H17" s="27">
        <f>Workings!M8</f>
        <v>13824000</v>
      </c>
      <c r="I17" s="27"/>
      <c r="J17" s="27"/>
      <c r="K17" t="s">
        <v>46</v>
      </c>
      <c r="L17" s="27">
        <f>('Financial Statements'!M15)*-1</f>
        <v>1620000</v>
      </c>
      <c r="M17" s="27"/>
      <c r="N17" s="27"/>
    </row>
    <row r="18" spans="6:17" x14ac:dyDescent="0.25">
      <c r="F18">
        <v>2027</v>
      </c>
      <c r="G18" t="s">
        <v>26</v>
      </c>
      <c r="H18" s="27">
        <f>Workings!M9</f>
        <v>2856000</v>
      </c>
      <c r="I18" s="27"/>
      <c r="J18" s="27"/>
      <c r="K18" t="s">
        <v>68</v>
      </c>
      <c r="L18" s="27">
        <f ca="1">('Financial Statements'!M16)*-1</f>
        <v>457730.44912300009</v>
      </c>
      <c r="M18" s="27"/>
      <c r="N18" s="27"/>
    </row>
    <row r="19" spans="6:17" x14ac:dyDescent="0.25">
      <c r="F19">
        <v>2027</v>
      </c>
      <c r="G19" t="s">
        <v>88</v>
      </c>
      <c r="H19" s="27">
        <f>Workings!M10</f>
        <v>2760000</v>
      </c>
      <c r="I19" s="27"/>
      <c r="J19" s="27"/>
      <c r="K19" t="s">
        <v>117</v>
      </c>
      <c r="L19" s="27">
        <f>('Financial Statements'!M17)*-1</f>
        <v>2397680.4046936003</v>
      </c>
      <c r="M19" s="27"/>
      <c r="N19" s="27"/>
    </row>
    <row r="20" spans="6:17" x14ac:dyDescent="0.25">
      <c r="F20">
        <v>2028</v>
      </c>
      <c r="G20" t="s">
        <v>22</v>
      </c>
      <c r="H20" s="27">
        <f>Workings!N8</f>
        <v>20736000</v>
      </c>
      <c r="I20" s="27"/>
      <c r="J20" s="27"/>
      <c r="K20" t="s">
        <v>46</v>
      </c>
      <c r="L20" s="27">
        <f>('Financial Statements'!N15)*-1</f>
        <v>1620000</v>
      </c>
      <c r="M20" s="27"/>
      <c r="N20" s="27"/>
    </row>
    <row r="21" spans="6:17" x14ac:dyDescent="0.25">
      <c r="F21">
        <v>2028</v>
      </c>
      <c r="G21" t="s">
        <v>26</v>
      </c>
      <c r="H21" s="27">
        <f>Workings!N9</f>
        <v>3192000</v>
      </c>
      <c r="I21" s="27"/>
      <c r="J21" s="27"/>
      <c r="K21" t="s">
        <v>68</v>
      </c>
      <c r="L21" s="27">
        <f ca="1">('Financial Statements'!N16)*-1</f>
        <v>343252.69382820011</v>
      </c>
      <c r="M21" s="27"/>
      <c r="N21" s="27"/>
    </row>
    <row r="22" spans="6:17" x14ac:dyDescent="0.25">
      <c r="F22">
        <v>2028</v>
      </c>
      <c r="G22" t="s">
        <v>88</v>
      </c>
      <c r="H22" s="27">
        <f>Workings!N10</f>
        <v>4200000</v>
      </c>
      <c r="I22" s="27"/>
      <c r="J22" s="27"/>
      <c r="K22" t="s">
        <v>117</v>
      </c>
      <c r="L22" s="27">
        <f>('Financial Statements'!N17)*-1</f>
        <v>2975675.6613507043</v>
      </c>
      <c r="M22" s="27"/>
      <c r="N22" s="27"/>
    </row>
    <row r="23" spans="6:17" x14ac:dyDescent="0.25">
      <c r="F23">
        <v>2024</v>
      </c>
      <c r="H23" s="27"/>
      <c r="I23" s="27">
        <f>('Financial Statements'!J10)*-1</f>
        <v>2060288</v>
      </c>
      <c r="J23" s="27">
        <f>'Financial Statements'!J12</f>
        <v>1698112</v>
      </c>
      <c r="K23" s="27"/>
      <c r="L23" s="27"/>
      <c r="M23" s="27">
        <f ca="1">'Financial Statements'!J27</f>
        <v>101014.50666666649</v>
      </c>
      <c r="N23" s="37">
        <f>Analysis!J127</f>
        <v>0.45181779480630058</v>
      </c>
      <c r="O23" s="37">
        <f ca="1">Analysis!J129</f>
        <v>2.6876997303817179E-2</v>
      </c>
      <c r="P23" s="37">
        <f ca="1">Analysis!J133</f>
        <v>0.12042292497783404</v>
      </c>
      <c r="Q23" s="37"/>
    </row>
    <row r="24" spans="6:17" x14ac:dyDescent="0.25">
      <c r="F24">
        <v>2025</v>
      </c>
      <c r="H24" s="27"/>
      <c r="I24" s="27">
        <f>('Financial Statements'!K10)*-1</f>
        <v>5806959</v>
      </c>
      <c r="J24" s="27">
        <f>'Financial Statements'!K12</f>
        <v>3193041</v>
      </c>
      <c r="K24" s="27" t="s">
        <v>241</v>
      </c>
      <c r="L24" s="27"/>
      <c r="M24" s="27">
        <f ca="1">'Financial Statements'!K27</f>
        <v>407516.11466666643</v>
      </c>
      <c r="N24" s="37">
        <f>Analysis!K127</f>
        <v>0.35478233333333331</v>
      </c>
      <c r="O24" s="37">
        <f ca="1">Analysis!K129</f>
        <v>4.5279568296296271E-2</v>
      </c>
      <c r="P24" s="37">
        <f ca="1">Analysis!K133</f>
        <v>0.4858142075147735</v>
      </c>
      <c r="Q24" s="37"/>
    </row>
    <row r="25" spans="6:17" x14ac:dyDescent="0.25">
      <c r="F25">
        <v>2026</v>
      </c>
      <c r="H25" s="27"/>
      <c r="I25" s="27">
        <f>('Financial Statements'!L10)*-1</f>
        <v>11386950.19836</v>
      </c>
      <c r="J25" s="27">
        <f>'Financial Statements'!L12</f>
        <v>4933049.8016400002</v>
      </c>
      <c r="K25" s="27"/>
      <c r="L25" s="27"/>
      <c r="M25" s="27">
        <f ca="1">'Financial Statements'!L27</f>
        <v>1608690.8280666671</v>
      </c>
      <c r="N25" s="37">
        <f>Analysis!L127</f>
        <v>0.30227020843382352</v>
      </c>
      <c r="O25" s="37">
        <f ca="1">Analysis!L129</f>
        <v>9.8571741915849692E-2</v>
      </c>
      <c r="P25" s="37">
        <f ca="1">Analysis!L133</f>
        <v>1.9177765777747264</v>
      </c>
      <c r="Q25" s="37"/>
    </row>
    <row r="26" spans="6:17" x14ac:dyDescent="0.25">
      <c r="F26">
        <v>2027</v>
      </c>
      <c r="H26" s="27"/>
      <c r="I26" s="27">
        <f>('Financial Statements'!M10)*-1</f>
        <v>13486306.493988002</v>
      </c>
      <c r="J26" s="27">
        <f>'Financial Statements'!M12</f>
        <v>5953693.5060119983</v>
      </c>
      <c r="K26" s="27"/>
      <c r="L26" s="27"/>
      <c r="M26" s="27">
        <f ca="1">'Financial Statements'!M27</f>
        <v>1478282.6521953978</v>
      </c>
      <c r="N26" s="37">
        <f>Analysis!M127</f>
        <v>0.30625995401296285</v>
      </c>
      <c r="O26" s="37">
        <f ca="1">Analysis!M129</f>
        <v>7.6043346306347626E-2</v>
      </c>
      <c r="P26" s="37">
        <f ca="1">Analysis!M133</f>
        <v>1.7623124321024275</v>
      </c>
      <c r="Q26" s="37"/>
    </row>
    <row r="27" spans="6:17" x14ac:dyDescent="0.25">
      <c r="F27">
        <v>2028</v>
      </c>
      <c r="H27" s="27"/>
      <c r="I27" s="27">
        <f>('Financial Statements'!N10)*-1</f>
        <v>20714295.199985906</v>
      </c>
      <c r="J27" s="27">
        <f>'Financial Statements'!N12</f>
        <v>7413704.8000140935</v>
      </c>
      <c r="K27" s="27"/>
      <c r="L27" s="27"/>
      <c r="M27" s="27">
        <f ca="1">'Financial Statements'!N27</f>
        <v>1744717.3936088088</v>
      </c>
      <c r="N27" s="37">
        <f>Analysis!N127</f>
        <v>0.26357027872632582</v>
      </c>
      <c r="O27" s="37">
        <f ca="1">Analysis!N129</f>
        <v>6.202777992067722E-2</v>
      </c>
      <c r="P27" s="37">
        <f ca="1">Analysis!N133</f>
        <v>2.0799386021988795</v>
      </c>
      <c r="Q27" s="37"/>
    </row>
    <row r="28" spans="6:17" x14ac:dyDescent="0.25">
      <c r="H28" s="27"/>
      <c r="I28" s="27"/>
      <c r="J28" s="27"/>
      <c r="K28" s="27"/>
      <c r="L28" s="27"/>
      <c r="M28" s="27"/>
      <c r="N28" s="27"/>
    </row>
    <row r="29" spans="6:17" x14ac:dyDescent="0.25">
      <c r="H29" s="27"/>
      <c r="I29" s="27"/>
      <c r="J29" s="27"/>
      <c r="K29" s="27"/>
      <c r="L29" s="27"/>
      <c r="M29" s="27"/>
      <c r="N29" s="27"/>
    </row>
    <row r="30" spans="6:17" x14ac:dyDescent="0.25">
      <c r="H30" s="27"/>
      <c r="I30" s="27"/>
      <c r="J30" s="27"/>
      <c r="K30" s="27"/>
      <c r="L30" s="27"/>
      <c r="M30" s="27"/>
      <c r="N30" s="27"/>
    </row>
    <row r="31" spans="6:17" x14ac:dyDescent="0.25">
      <c r="H31" s="27"/>
      <c r="I31" s="27"/>
      <c r="J31" s="27"/>
      <c r="K31" s="27"/>
      <c r="L31" s="27"/>
      <c r="M31" s="27"/>
      <c r="N31" s="27"/>
    </row>
    <row r="32" spans="6:17" x14ac:dyDescent="0.25">
      <c r="H32" s="27"/>
      <c r="I32" s="27"/>
      <c r="J32" s="27"/>
      <c r="K32" s="27"/>
      <c r="L32" s="27"/>
      <c r="M32" s="27"/>
      <c r="N32" s="27"/>
    </row>
    <row r="33" spans="8:14" x14ac:dyDescent="0.25">
      <c r="H33" s="27"/>
      <c r="I33" s="27"/>
      <c r="J33" s="27"/>
      <c r="K33" s="27"/>
      <c r="L33" s="27"/>
      <c r="M33" s="27"/>
      <c r="N33" s="27"/>
    </row>
    <row r="34" spans="8:14" x14ac:dyDescent="0.25">
      <c r="H34" s="27"/>
      <c r="I34" s="27"/>
      <c r="J34" s="27"/>
      <c r="K34" s="27"/>
      <c r="L34" s="27"/>
      <c r="M34" s="27"/>
      <c r="N34" s="27"/>
    </row>
    <row r="35" spans="8:14" x14ac:dyDescent="0.25">
      <c r="H35" s="27"/>
      <c r="I35" s="27"/>
      <c r="J35" s="27"/>
      <c r="K35" s="27"/>
      <c r="L35" s="27"/>
      <c r="M35" s="27"/>
      <c r="N35" s="27"/>
    </row>
    <row r="36" spans="8:14" x14ac:dyDescent="0.25">
      <c r="H36" s="27"/>
      <c r="I36" s="27"/>
      <c r="J36" s="27"/>
      <c r="K36" s="27"/>
      <c r="L36" s="27"/>
      <c r="M36" s="27"/>
      <c r="N36" s="27"/>
    </row>
    <row r="37" spans="8:14" x14ac:dyDescent="0.25">
      <c r="H37" s="27"/>
      <c r="I37" s="27"/>
      <c r="J37" s="27"/>
      <c r="K37" s="27"/>
      <c r="L37" s="27"/>
      <c r="M37" s="27"/>
      <c r="N37" s="27"/>
    </row>
    <row r="38" spans="8:14" x14ac:dyDescent="0.25">
      <c r="H38" s="27"/>
      <c r="I38" s="27"/>
      <c r="J38" s="27"/>
      <c r="K38" s="27"/>
      <c r="L38" s="27"/>
      <c r="M38" s="27"/>
      <c r="N38" s="27"/>
    </row>
    <row r="39" spans="8:14" x14ac:dyDescent="0.25">
      <c r="H39" s="27"/>
      <c r="I39" s="27"/>
      <c r="J39" s="27"/>
      <c r="K39" s="27"/>
      <c r="L39" s="27"/>
      <c r="M39" s="27"/>
      <c r="N39" s="27"/>
    </row>
    <row r="40" spans="8:14" x14ac:dyDescent="0.25">
      <c r="H40" s="27"/>
      <c r="I40" s="27"/>
      <c r="J40" s="27"/>
      <c r="K40" s="27"/>
      <c r="L40" s="27"/>
      <c r="M40" s="27"/>
      <c r="N40" s="27"/>
    </row>
    <row r="41" spans="8:14" x14ac:dyDescent="0.25">
      <c r="H41" s="27"/>
      <c r="I41" s="27"/>
      <c r="J41" s="27"/>
      <c r="K41" s="27"/>
      <c r="L41" s="27"/>
      <c r="M41" s="27"/>
      <c r="N41" s="27"/>
    </row>
    <row r="42" spans="8:14" x14ac:dyDescent="0.25">
      <c r="H42" s="27"/>
      <c r="I42" s="27"/>
      <c r="J42" s="27"/>
      <c r="K42" s="27"/>
      <c r="L42" s="27"/>
      <c r="M42" s="27"/>
      <c r="N42" s="27"/>
    </row>
    <row r="43" spans="8:14" x14ac:dyDescent="0.25">
      <c r="H43" s="27"/>
      <c r="I43" s="27"/>
      <c r="J43" s="27"/>
      <c r="K43" s="27"/>
      <c r="L43" s="27"/>
      <c r="M43" s="27"/>
      <c r="N43" s="27"/>
    </row>
  </sheetData>
  <hyperlinks>
    <hyperlink ref="M1" location="'Cover Page'!A1" display="MENU" xr:uid="{B3D19BD6-5B64-4645-9A48-7E3BCE6DCCBA}"/>
  </hyperlink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41" r:id="rId3" name="Drop Down 1">
              <controlPr defaultSize="0" autoLine="0" autoPict="0">
                <anchor moveWithCells="1">
                  <from>
                    <xdr:col>4</xdr:col>
                    <xdr:colOff>63500</xdr:colOff>
                    <xdr:row>3</xdr:row>
                    <xdr:rowOff>25400</xdr:rowOff>
                  </from>
                  <to>
                    <xdr:col>6</xdr:col>
                    <xdr:colOff>260350</xdr:colOff>
                    <xdr:row>4</xdr:row>
                    <xdr:rowOff>139700</xdr:rowOff>
                  </to>
                </anchor>
              </controlPr>
            </control>
          </mc:Choice>
        </mc:AlternateContent>
      </controls>
    </mc:Choice>
  </mc:AlternateContent>
  <tableParts count="1">
    <tablePart r:id="rId4"/>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FE92C-CF78-4D54-99C1-753423698B89}">
  <sheetPr>
    <tabColor theme="5" tint="-0.499984740745262"/>
  </sheetPr>
  <dimension ref="A1:R49"/>
  <sheetViews>
    <sheetView topLeftCell="A31" zoomScale="81" zoomScaleNormal="81" workbookViewId="0">
      <selection activeCell="G39" sqref="G39"/>
    </sheetView>
  </sheetViews>
  <sheetFormatPr defaultRowHeight="13.5" x14ac:dyDescent="0.25"/>
  <cols>
    <col min="2" max="2" width="15.58203125" bestFit="1" customWidth="1"/>
    <col min="3" max="3" width="16.9140625" bestFit="1" customWidth="1"/>
    <col min="4" max="4" width="12.9140625" bestFit="1" customWidth="1"/>
    <col min="5" max="5" width="12.25" bestFit="1" customWidth="1"/>
    <col min="6" max="6" width="11.4140625" bestFit="1" customWidth="1"/>
    <col min="7" max="7" width="24.75" bestFit="1" customWidth="1"/>
    <col min="8" max="8" width="14.9140625" bestFit="1" customWidth="1"/>
    <col min="9" max="9" width="14.4140625" bestFit="1" customWidth="1"/>
    <col min="10" max="10" width="29.25" bestFit="1" customWidth="1"/>
    <col min="11" max="11" width="22.9140625" bestFit="1" customWidth="1"/>
    <col min="12" max="12" width="8.75" bestFit="1" customWidth="1"/>
    <col min="13" max="13" width="13.75" bestFit="1" customWidth="1"/>
  </cols>
  <sheetData>
    <row r="1" spans="1:18" s="2" customFormat="1" x14ac:dyDescent="0.25">
      <c r="A1" s="2" t="s">
        <v>0</v>
      </c>
      <c r="H1" s="63" t="s">
        <v>267</v>
      </c>
    </row>
    <row r="2" spans="1:18" s="2" customFormat="1" x14ac:dyDescent="0.25">
      <c r="A2" s="2" t="s">
        <v>1</v>
      </c>
    </row>
    <row r="3" spans="1:18" s="2" customFormat="1" x14ac:dyDescent="0.25">
      <c r="A3" s="2" t="s">
        <v>243</v>
      </c>
    </row>
    <row r="4" spans="1:18" s="2" customFormat="1" x14ac:dyDescent="0.25"/>
    <row r="5" spans="1:18" s="2" customFormat="1" ht="14" x14ac:dyDescent="0.3">
      <c r="A5" s="2" t="s">
        <v>3</v>
      </c>
      <c r="N5" s="8"/>
      <c r="O5" s="8"/>
      <c r="P5" s="8"/>
      <c r="Q5" s="8"/>
      <c r="R5" s="8"/>
    </row>
    <row r="8" spans="1:18" x14ac:dyDescent="0.25">
      <c r="B8" s="52" t="s">
        <v>244</v>
      </c>
      <c r="C8" t="s">
        <v>246</v>
      </c>
      <c r="D8" t="s">
        <v>247</v>
      </c>
      <c r="E8" t="s">
        <v>248</v>
      </c>
    </row>
    <row r="9" spans="1:18" x14ac:dyDescent="0.25">
      <c r="B9" s="42">
        <v>2024</v>
      </c>
      <c r="C9" s="15">
        <v>3758400</v>
      </c>
      <c r="D9" s="15">
        <v>2060288</v>
      </c>
      <c r="E9" s="15">
        <v>1698112</v>
      </c>
    </row>
    <row r="10" spans="1:18" x14ac:dyDescent="0.25">
      <c r="B10" s="42">
        <v>2025</v>
      </c>
      <c r="C10" s="15">
        <v>9000000</v>
      </c>
      <c r="D10" s="15">
        <v>5806959</v>
      </c>
      <c r="E10" s="15">
        <v>3193041</v>
      </c>
    </row>
    <row r="11" spans="1:18" x14ac:dyDescent="0.25">
      <c r="B11" s="42">
        <v>2026</v>
      </c>
      <c r="C11" s="15">
        <v>16320000</v>
      </c>
      <c r="D11" s="15">
        <v>11386950.19836</v>
      </c>
      <c r="E11" s="15">
        <v>4933049.8016400002</v>
      </c>
    </row>
    <row r="12" spans="1:18" x14ac:dyDescent="0.25">
      <c r="B12" s="42">
        <v>2027</v>
      </c>
      <c r="C12" s="15">
        <v>19440000</v>
      </c>
      <c r="D12" s="15">
        <v>13486306.493988002</v>
      </c>
      <c r="E12" s="15">
        <v>5953693.5060119983</v>
      </c>
    </row>
    <row r="13" spans="1:18" x14ac:dyDescent="0.25">
      <c r="B13" s="42">
        <v>2028</v>
      </c>
      <c r="C13" s="15">
        <v>28128000</v>
      </c>
      <c r="D13" s="15">
        <v>20714295.199985906</v>
      </c>
      <c r="E13" s="15">
        <v>7413704.8000140935</v>
      </c>
    </row>
    <row r="14" spans="1:18" x14ac:dyDescent="0.25">
      <c r="B14" s="42" t="s">
        <v>245</v>
      </c>
      <c r="C14" s="15">
        <v>76646400</v>
      </c>
      <c r="D14" s="15">
        <v>53454798.89233391</v>
      </c>
      <c r="E14" s="15">
        <v>23191601.10766609</v>
      </c>
    </row>
    <row r="15" spans="1:18" x14ac:dyDescent="0.25">
      <c r="B15" s="42"/>
      <c r="C15" s="15"/>
      <c r="D15" s="15"/>
      <c r="E15" s="15"/>
    </row>
    <row r="16" spans="1:18" x14ac:dyDescent="0.25">
      <c r="B16" s="42"/>
      <c r="C16" s="15"/>
      <c r="D16" s="15"/>
      <c r="E16" s="15"/>
    </row>
    <row r="18" spans="2:8" x14ac:dyDescent="0.25">
      <c r="B18" s="52" t="s">
        <v>246</v>
      </c>
      <c r="C18" s="52" t="s">
        <v>249</v>
      </c>
    </row>
    <row r="19" spans="2:8" x14ac:dyDescent="0.25">
      <c r="B19" s="52" t="s">
        <v>244</v>
      </c>
      <c r="C19" t="s">
        <v>26</v>
      </c>
      <c r="D19" t="s">
        <v>22</v>
      </c>
      <c r="E19" t="s">
        <v>88</v>
      </c>
      <c r="F19" t="s">
        <v>245</v>
      </c>
    </row>
    <row r="20" spans="2:8" x14ac:dyDescent="0.25">
      <c r="B20" s="42">
        <v>2024</v>
      </c>
      <c r="C20" s="15">
        <v>432000</v>
      </c>
      <c r="D20" s="15">
        <v>2462400</v>
      </c>
      <c r="E20" s="15">
        <v>864000</v>
      </c>
      <c r="F20" s="15">
        <v>3758400</v>
      </c>
    </row>
    <row r="21" spans="2:8" x14ac:dyDescent="0.25">
      <c r="B21" s="42">
        <v>2025</v>
      </c>
      <c r="C21" s="15">
        <v>1800000</v>
      </c>
      <c r="D21" s="15">
        <v>5760000</v>
      </c>
      <c r="E21" s="15">
        <v>1440000</v>
      </c>
      <c r="F21" s="15">
        <v>9000000</v>
      </c>
    </row>
    <row r="22" spans="2:8" x14ac:dyDescent="0.25">
      <c r="B22" s="42">
        <v>2026</v>
      </c>
      <c r="C22" s="15">
        <v>2040000</v>
      </c>
      <c r="D22" s="15">
        <v>11520000</v>
      </c>
      <c r="E22" s="15">
        <v>2760000</v>
      </c>
      <c r="F22" s="15">
        <v>16320000</v>
      </c>
    </row>
    <row r="23" spans="2:8" x14ac:dyDescent="0.25">
      <c r="B23" s="42">
        <v>2027</v>
      </c>
      <c r="C23" s="15">
        <v>2856000</v>
      </c>
      <c r="D23" s="15">
        <v>13824000</v>
      </c>
      <c r="E23" s="15">
        <v>2760000</v>
      </c>
      <c r="F23" s="15">
        <v>19440000</v>
      </c>
    </row>
    <row r="24" spans="2:8" x14ac:dyDescent="0.25">
      <c r="B24" s="42">
        <v>2028</v>
      </c>
      <c r="C24" s="15">
        <v>3192000</v>
      </c>
      <c r="D24" s="15">
        <v>20736000</v>
      </c>
      <c r="E24" s="15">
        <v>4200000</v>
      </c>
      <c r="F24" s="15">
        <v>28128000</v>
      </c>
    </row>
    <row r="25" spans="2:8" x14ac:dyDescent="0.25">
      <c r="B25" s="42" t="s">
        <v>245</v>
      </c>
      <c r="C25" s="15">
        <v>10320000</v>
      </c>
      <c r="D25" s="15">
        <v>54302400</v>
      </c>
      <c r="E25" s="15">
        <v>12024000</v>
      </c>
      <c r="F25" s="15">
        <v>76646400</v>
      </c>
    </row>
    <row r="26" spans="2:8" x14ac:dyDescent="0.25">
      <c r="B26" s="42"/>
      <c r="C26" s="15"/>
      <c r="D26" s="15"/>
      <c r="E26" s="15"/>
      <c r="F26" s="15"/>
      <c r="G26" s="15"/>
    </row>
    <row r="27" spans="2:8" x14ac:dyDescent="0.25">
      <c r="B27" s="52" t="s">
        <v>244</v>
      </c>
      <c r="C27" t="s">
        <v>250</v>
      </c>
      <c r="D27" s="15"/>
      <c r="E27" s="15"/>
      <c r="F27" s="15"/>
      <c r="G27" s="15"/>
    </row>
    <row r="28" spans="2:8" x14ac:dyDescent="0.25">
      <c r="B28" s="42" t="s">
        <v>68</v>
      </c>
      <c r="C28" s="15">
        <v>1382749.1299512</v>
      </c>
    </row>
    <row r="29" spans="2:8" x14ac:dyDescent="0.25">
      <c r="B29" s="42" t="s">
        <v>117</v>
      </c>
      <c r="C29" s="15">
        <v>10180475.319284305</v>
      </c>
      <c r="D29" s="15"/>
      <c r="E29" s="15"/>
      <c r="F29" s="15"/>
      <c r="G29" s="15"/>
      <c r="H29" s="15"/>
    </row>
    <row r="30" spans="2:8" x14ac:dyDescent="0.25">
      <c r="B30" s="42" t="s">
        <v>46</v>
      </c>
      <c r="C30" s="15">
        <v>5340000</v>
      </c>
      <c r="D30" s="15"/>
      <c r="E30" s="15"/>
    </row>
    <row r="31" spans="2:8" x14ac:dyDescent="0.25">
      <c r="B31" s="42" t="s">
        <v>245</v>
      </c>
      <c r="C31" s="15">
        <v>16903224.449235506</v>
      </c>
      <c r="D31" s="15"/>
      <c r="E31" s="15"/>
    </row>
    <row r="32" spans="2:8" x14ac:dyDescent="0.25">
      <c r="B32" s="42"/>
      <c r="C32" s="15"/>
      <c r="D32" s="15"/>
      <c r="E32" s="15"/>
    </row>
    <row r="33" spans="2:8" x14ac:dyDescent="0.25">
      <c r="B33" s="52" t="s">
        <v>244</v>
      </c>
      <c r="C33" t="s">
        <v>255</v>
      </c>
      <c r="D33" t="s">
        <v>256</v>
      </c>
      <c r="E33" t="s">
        <v>254</v>
      </c>
    </row>
    <row r="34" spans="2:8" x14ac:dyDescent="0.25">
      <c r="B34" s="42">
        <v>2024</v>
      </c>
      <c r="C34" s="15">
        <v>1698112</v>
      </c>
      <c r="D34" s="15">
        <v>101014.50666666649</v>
      </c>
      <c r="E34" s="15">
        <v>1252800</v>
      </c>
    </row>
    <row r="35" spans="2:8" x14ac:dyDescent="0.25">
      <c r="B35" s="42">
        <v>2025</v>
      </c>
      <c r="C35" s="15">
        <v>3193041</v>
      </c>
      <c r="D35" s="15">
        <v>407516.11466666643</v>
      </c>
      <c r="E35" s="15">
        <v>3000000</v>
      </c>
    </row>
    <row r="36" spans="2:8" x14ac:dyDescent="0.25">
      <c r="B36" s="42">
        <v>2026</v>
      </c>
      <c r="C36" s="15">
        <v>4933049.8016400002</v>
      </c>
      <c r="D36" s="15">
        <v>1608690.8280666671</v>
      </c>
      <c r="E36" s="15">
        <v>5440000</v>
      </c>
    </row>
    <row r="37" spans="2:8" x14ac:dyDescent="0.25">
      <c r="B37" s="42">
        <v>2027</v>
      </c>
      <c r="C37" s="15">
        <v>5953693.5060119983</v>
      </c>
      <c r="D37" s="15">
        <v>1478282.6521953978</v>
      </c>
      <c r="E37" s="15">
        <v>6480000</v>
      </c>
    </row>
    <row r="38" spans="2:8" ht="14" x14ac:dyDescent="0.3">
      <c r="B38" s="42">
        <v>2028</v>
      </c>
      <c r="C38" s="15">
        <v>7413704.8000140935</v>
      </c>
      <c r="D38" s="15">
        <v>1744717.3936088088</v>
      </c>
      <c r="E38" s="15">
        <v>9376000</v>
      </c>
      <c r="F38" s="21" t="s">
        <v>86</v>
      </c>
      <c r="G38" s="21" t="s">
        <v>116</v>
      </c>
      <c r="H38" s="21" t="s">
        <v>257</v>
      </c>
    </row>
    <row r="39" spans="2:8" x14ac:dyDescent="0.25">
      <c r="B39" s="42" t="s">
        <v>245</v>
      </c>
      <c r="C39" s="15">
        <v>4638320.2215332184</v>
      </c>
      <c r="D39" s="15">
        <v>1068044.2990408414</v>
      </c>
      <c r="E39" s="15">
        <v>5109760</v>
      </c>
      <c r="F39" s="54">
        <f>AVERAGE(C9:C13)</f>
        <v>15329280</v>
      </c>
      <c r="G39" s="54">
        <f>GETPIVOTDATA("Average of Gross proft",$B$33)</f>
        <v>4638320.2215332184</v>
      </c>
      <c r="H39" s="54">
        <f>GETPIVOTDATA("Average of Profit after Tax",$B$33)</f>
        <v>1068044.2990408414</v>
      </c>
    </row>
    <row r="40" spans="2:8" x14ac:dyDescent="0.25">
      <c r="B40" s="42"/>
      <c r="C40" s="15"/>
      <c r="D40" s="15"/>
      <c r="E40" s="15"/>
    </row>
    <row r="41" spans="2:8" x14ac:dyDescent="0.25">
      <c r="B41" s="42"/>
      <c r="C41" s="15"/>
      <c r="D41" s="15"/>
      <c r="E41" s="15"/>
    </row>
    <row r="43" spans="2:8" x14ac:dyDescent="0.25">
      <c r="B43" s="52" t="s">
        <v>244</v>
      </c>
      <c r="C43" t="s">
        <v>251</v>
      </c>
      <c r="D43" t="s">
        <v>252</v>
      </c>
      <c r="E43" t="s">
        <v>253</v>
      </c>
    </row>
    <row r="44" spans="2:8" x14ac:dyDescent="0.25">
      <c r="B44" s="42">
        <v>2024</v>
      </c>
      <c r="C44" s="43">
        <v>0.45181779480630058</v>
      </c>
      <c r="D44" s="43">
        <v>2.6876997303817179E-2</v>
      </c>
      <c r="E44" s="43">
        <v>0.12042292497783404</v>
      </c>
    </row>
    <row r="45" spans="2:8" x14ac:dyDescent="0.25">
      <c r="B45" s="42">
        <v>2025</v>
      </c>
      <c r="C45" s="43">
        <v>0.35478233333333331</v>
      </c>
      <c r="D45" s="43">
        <v>4.5279568296296271E-2</v>
      </c>
      <c r="E45" s="43">
        <v>0.4858142075147735</v>
      </c>
    </row>
    <row r="46" spans="2:8" x14ac:dyDescent="0.25">
      <c r="B46" s="42">
        <v>2026</v>
      </c>
      <c r="C46" s="43">
        <v>0.30227020843382352</v>
      </c>
      <c r="D46" s="43">
        <v>9.8571741915849692E-2</v>
      </c>
      <c r="E46" s="43">
        <v>1.9177765777747264</v>
      </c>
    </row>
    <row r="47" spans="2:8" x14ac:dyDescent="0.25">
      <c r="B47" s="42">
        <v>2027</v>
      </c>
      <c r="C47" s="43">
        <v>0.30625995401296285</v>
      </c>
      <c r="D47" s="43">
        <v>7.6043346306347626E-2</v>
      </c>
      <c r="E47" s="43">
        <v>1.7623124321024275</v>
      </c>
    </row>
    <row r="48" spans="2:8" x14ac:dyDescent="0.25">
      <c r="B48" s="42">
        <v>2028</v>
      </c>
      <c r="C48" s="43">
        <v>0.26357027872632582</v>
      </c>
      <c r="D48" s="43">
        <v>6.202777992067722E-2</v>
      </c>
      <c r="E48" s="43">
        <v>2.0799386021988795</v>
      </c>
    </row>
    <row r="49" spans="2:5" x14ac:dyDescent="0.25">
      <c r="B49" s="42" t="s">
        <v>245</v>
      </c>
      <c r="C49" s="43">
        <v>1.6787005693127461</v>
      </c>
      <c r="D49" s="43">
        <v>0.30879943374298796</v>
      </c>
      <c r="E49" s="43">
        <v>6.3662647445686407</v>
      </c>
    </row>
  </sheetData>
  <hyperlinks>
    <hyperlink ref="H1" location="'Cover Page'!A1" display="MENU" xr:uid="{28B43CDC-C2CC-436B-AB2C-0CBE8188B9AC}"/>
  </hyperlinks>
  <pageMargins left="0.7" right="0.7" top="0.75" bottom="0.75" header="0.3" footer="0.3"/>
  <drawing r:id="rId6"/>
  <legacyDrawing r:id="rId7"/>
  <mc:AlternateContent xmlns:mc="http://schemas.openxmlformats.org/markup-compatibility/2006">
    <mc:Choice Requires="x14">
      <controls>
        <mc:AlternateContent xmlns:mc="http://schemas.openxmlformats.org/markup-compatibility/2006">
          <mc:Choice Requires="x14">
            <control shapeId="13313" r:id="rId8" name="Drop Down 1">
              <controlPr defaultSize="0" autoLine="0" autoPict="0">
                <anchor moveWithCells="1">
                  <from>
                    <xdr:col>5</xdr:col>
                    <xdr:colOff>63500</xdr:colOff>
                    <xdr:row>3</xdr:row>
                    <xdr:rowOff>25400</xdr:rowOff>
                  </from>
                  <to>
                    <xdr:col>6</xdr:col>
                    <xdr:colOff>533400</xdr:colOff>
                    <xdr:row>4</xdr:row>
                    <xdr:rowOff>139700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Cover Page</vt:lpstr>
      <vt:lpstr>Dashboard</vt:lpstr>
      <vt:lpstr>Financial Statements</vt:lpstr>
      <vt:lpstr>Valuation</vt:lpstr>
      <vt:lpstr>Assumptions</vt:lpstr>
      <vt:lpstr>Workings</vt:lpstr>
      <vt:lpstr>CAPEX</vt:lpstr>
      <vt:lpstr>Analysis</vt:lpstr>
      <vt:lpstr>Dataset</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2023-07-28T07:30:20Z</dcterms:created>
  <dcterms:modified xsi:type="dcterms:W3CDTF">2023-08-12T21:47:54Z</dcterms:modified>
</cp:coreProperties>
</file>