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trlProps/ctrlProp2.xml" ContentType="application/vnd.ms-excel.controlproperties+xml"/>
  <Override PartName="/xl/drawings/drawing8.xml" ContentType="application/vnd.openxmlformats-officedocument.drawing+xml"/>
  <Override PartName="/xl/ctrlProps/ctrlProp3.xml" ContentType="application/vnd.ms-excel.controlproperties+xml"/>
  <Override PartName="/xl/drawings/drawing9.xml" ContentType="application/vnd.openxmlformats-officedocument.drawing+xml"/>
  <Override PartName="/xl/ctrlProps/ctrlProp4.xml" ContentType="application/vnd.ms-excel.controlproperties+xml"/>
  <Override PartName="/xl/drawings/drawing10.xml" ContentType="application/vnd.openxmlformats-officedocument.drawing+xml"/>
  <Override PartName="/xl/ctrlProps/ctrlProp5.xml" ContentType="application/vnd.ms-excel.controlproperties+xml"/>
  <Override PartName="/xl/drawings/drawing11.xml" ContentType="application/vnd.openxmlformats-officedocument.drawing+xml"/>
  <Override PartName="/xl/ctrlProps/ctrlProp6.xml" ContentType="application/vnd.ms-excel.controlproperties+xml"/>
  <Override PartName="/xl/drawings/drawing12.xml" ContentType="application/vnd.openxmlformats-officedocument.drawing+xml"/>
  <Override PartName="/xl/ctrlProps/ctrlProp7.xml" ContentType="application/vnd.ms-excel.controlproperties+xml"/>
  <Override PartName="/xl/drawings/drawing13.xml" ContentType="application/vnd.openxmlformats-officedocument.drawing+xml"/>
  <Override PartName="/xl/ctrlProps/ctrlProp8.xml" ContentType="application/vnd.ms-excel.controlproperti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4.xml" ContentType="application/vnd.openxmlformats-officedocument.drawing+xml"/>
  <Override PartName="/xl/ctrlProps/ctrlProp9.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hp\Documents\10Alytics\"/>
    </mc:Choice>
  </mc:AlternateContent>
  <xr:revisionPtr revIDLastSave="0" documentId="13_ncr:1_{DBC6088B-04A5-4E9C-97EB-F27E2CFBC4A8}" xr6:coauthVersionLast="47" xr6:coauthVersionMax="47" xr10:uidLastSave="{00000000-0000-0000-0000-000000000000}"/>
  <bookViews>
    <workbookView xWindow="-110" yWindow="-110" windowWidth="19420" windowHeight="10420" firstSheet="2" activeTab="5" xr2:uid="{F2BAE749-A305-40D4-9DFD-1A9CEB1936D2}"/>
  </bookViews>
  <sheets>
    <sheet name="Cover Page" sheetId="1" r:id="rId1"/>
    <sheet name="Guide" sheetId="11" r:id="rId2"/>
    <sheet name="Dashboard" sheetId="2" r:id="rId3"/>
    <sheet name="Financial Statement" sheetId="6" r:id="rId4"/>
    <sheet name="Valuation" sheetId="7" r:id="rId5"/>
    <sheet name="Assumptions" sheetId="3" r:id="rId6"/>
    <sheet name="Workings" sheetId="4" r:id="rId7"/>
    <sheet name="CAPEX" sheetId="5" r:id="rId8"/>
    <sheet name="Analysis" sheetId="8" r:id="rId9"/>
    <sheet name="Dataset" sheetId="9" r:id="rId10"/>
    <sheet name="Pivot" sheetId="10" r:id="rId11"/>
  </sheets>
  <definedNames>
    <definedName name="Slicer_Year">#N/A</definedName>
  </definedNames>
  <calcPr calcId="191029"/>
  <pivotCaches>
    <pivotCache cacheId="0"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3" i="7" l="1"/>
  <c r="K4" i="7"/>
  <c r="L4" i="7" s="1"/>
  <c r="M4" i="7" s="1"/>
  <c r="N4" i="7" s="1"/>
  <c r="J151" i="4"/>
  <c r="J148" i="4"/>
  <c r="J147" i="4"/>
  <c r="J54" i="4"/>
  <c r="J9" i="4"/>
  <c r="G21" i="3"/>
  <c r="M20" i="4" s="1"/>
  <c r="G23" i="3"/>
  <c r="J111" i="6"/>
  <c r="K105" i="6"/>
  <c r="J104" i="6"/>
  <c r="J122" i="4"/>
  <c r="J94" i="6" s="1"/>
  <c r="J133" i="4"/>
  <c r="J131" i="4"/>
  <c r="J120" i="4"/>
  <c r="K108" i="4"/>
  <c r="L108" i="4"/>
  <c r="L105" i="6" s="1"/>
  <c r="M108" i="4"/>
  <c r="M105" i="6" s="1"/>
  <c r="N108" i="4"/>
  <c r="N105" i="6" s="1"/>
  <c r="J107" i="4"/>
  <c r="K67" i="3"/>
  <c r="L67" i="3" s="1"/>
  <c r="K66" i="3"/>
  <c r="J70" i="5"/>
  <c r="J69" i="5"/>
  <c r="J68" i="5"/>
  <c r="J67" i="5"/>
  <c r="J66" i="5"/>
  <c r="J42" i="5"/>
  <c r="J43" i="5"/>
  <c r="J44" i="5"/>
  <c r="J45" i="5"/>
  <c r="J41" i="5"/>
  <c r="G39" i="10"/>
  <c r="H39" i="10"/>
  <c r="I39" i="10"/>
  <c r="J152" i="4" l="1"/>
  <c r="J153" i="4" s="1"/>
  <c r="K9" i="4"/>
  <c r="L10" i="4"/>
  <c r="N8" i="4"/>
  <c r="M8" i="4"/>
  <c r="N9" i="4"/>
  <c r="J10" i="4"/>
  <c r="K10" i="4"/>
  <c r="L20" i="4"/>
  <c r="L8" i="4"/>
  <c r="M9" i="4"/>
  <c r="N10" i="4"/>
  <c r="J20" i="4"/>
  <c r="K20" i="4"/>
  <c r="J8" i="4"/>
  <c r="K8" i="4"/>
  <c r="L9" i="4"/>
  <c r="M10" i="4"/>
  <c r="N20" i="4"/>
  <c r="J53" i="4"/>
  <c r="M67" i="3"/>
  <c r="L66" i="3"/>
  <c r="H33" i="5"/>
  <c r="J32" i="5"/>
  <c r="J53" i="5" s="1"/>
  <c r="H27" i="5"/>
  <c r="J26" i="5"/>
  <c r="J52" i="5" s="1"/>
  <c r="H21" i="5"/>
  <c r="J20" i="5"/>
  <c r="J51" i="5" s="1"/>
  <c r="N20" i="5"/>
  <c r="N51" i="5" s="1"/>
  <c r="N71" i="4" s="1"/>
  <c r="M20" i="5"/>
  <c r="M51" i="5" s="1"/>
  <c r="M71" i="4" s="1"/>
  <c r="L20" i="5"/>
  <c r="L51" i="5" s="1"/>
  <c r="L71" i="4" s="1"/>
  <c r="K20" i="5"/>
  <c r="K51" i="5" s="1"/>
  <c r="K71" i="4" s="1"/>
  <c r="H15" i="5"/>
  <c r="J14" i="5"/>
  <c r="J50" i="5" s="1"/>
  <c r="H9" i="5"/>
  <c r="J8" i="5"/>
  <c r="J49" i="5" s="1"/>
  <c r="J55" i="4"/>
  <c r="K63" i="3"/>
  <c r="K34" i="4"/>
  <c r="L34" i="4"/>
  <c r="M34" i="4"/>
  <c r="N34" i="4"/>
  <c r="K35" i="4"/>
  <c r="L35" i="4"/>
  <c r="M35" i="4"/>
  <c r="N35" i="4"/>
  <c r="K36" i="4"/>
  <c r="L36" i="4"/>
  <c r="M36" i="4"/>
  <c r="N36" i="4"/>
  <c r="K37" i="4"/>
  <c r="L37" i="4"/>
  <c r="M37" i="4"/>
  <c r="N37" i="4"/>
  <c r="K38" i="4"/>
  <c r="L38" i="4"/>
  <c r="M38" i="4"/>
  <c r="N38" i="4"/>
  <c r="K39" i="4"/>
  <c r="L39" i="4"/>
  <c r="M39" i="4"/>
  <c r="N39" i="4"/>
  <c r="K40" i="4"/>
  <c r="L40" i="4"/>
  <c r="M40" i="4"/>
  <c r="N40" i="4"/>
  <c r="K41" i="4"/>
  <c r="L41" i="4"/>
  <c r="M41" i="4"/>
  <c r="N41" i="4"/>
  <c r="K42" i="4"/>
  <c r="L42" i="4"/>
  <c r="L43" i="4" s="1"/>
  <c r="L45" i="4" s="1"/>
  <c r="M42" i="4"/>
  <c r="N42" i="4"/>
  <c r="J35" i="4"/>
  <c r="J36" i="4"/>
  <c r="J37" i="4"/>
  <c r="J38" i="4"/>
  <c r="J39" i="4"/>
  <c r="J40" i="4"/>
  <c r="J41" i="4"/>
  <c r="J42" i="4"/>
  <c r="J34" i="4"/>
  <c r="G151" i="3"/>
  <c r="G145" i="3"/>
  <c r="J154" i="4" s="1"/>
  <c r="L64" i="3"/>
  <c r="L55" i="4" s="1"/>
  <c r="M64" i="3"/>
  <c r="M55" i="4" s="1"/>
  <c r="N64" i="3"/>
  <c r="N55" i="4" s="1"/>
  <c r="K64" i="3"/>
  <c r="K55" i="4" s="1"/>
  <c r="G138" i="3"/>
  <c r="J61" i="4" s="1"/>
  <c r="J96" i="4" s="1"/>
  <c r="G125" i="3"/>
  <c r="G126" i="3"/>
  <c r="G127" i="3"/>
  <c r="G128" i="3"/>
  <c r="G124" i="3"/>
  <c r="K120" i="3"/>
  <c r="L120" i="3" s="1"/>
  <c r="M120" i="3" s="1"/>
  <c r="N120" i="3" s="1"/>
  <c r="N32" i="5" s="1"/>
  <c r="N53" i="5" s="1"/>
  <c r="N73" i="4" s="1"/>
  <c r="K116" i="3"/>
  <c r="L116" i="3" s="1"/>
  <c r="M116" i="3" s="1"/>
  <c r="N116" i="3" s="1"/>
  <c r="N26" i="5" s="1"/>
  <c r="N52" i="5" s="1"/>
  <c r="N72" i="4" s="1"/>
  <c r="K112" i="3"/>
  <c r="L112" i="3" s="1"/>
  <c r="M112" i="3" s="1"/>
  <c r="N112" i="3" s="1"/>
  <c r="K108" i="3"/>
  <c r="L108" i="3" s="1"/>
  <c r="M108" i="3" s="1"/>
  <c r="N108" i="3" s="1"/>
  <c r="N14" i="5" s="1"/>
  <c r="N50" i="5" s="1"/>
  <c r="N70" i="4" s="1"/>
  <c r="K103" i="3"/>
  <c r="L103" i="3" s="1"/>
  <c r="M103" i="3" s="1"/>
  <c r="N103" i="3" s="1"/>
  <c r="N8" i="5" s="1"/>
  <c r="N49" i="5" s="1"/>
  <c r="N69" i="4" s="1"/>
  <c r="K62" i="3"/>
  <c r="K53" i="4" s="1"/>
  <c r="L12" i="3"/>
  <c r="L58" i="4" s="1"/>
  <c r="M12" i="3"/>
  <c r="N12" i="3"/>
  <c r="K12" i="3"/>
  <c r="K58" i="4" s="1"/>
  <c r="J12" i="3"/>
  <c r="J58" i="4" s="1"/>
  <c r="J156" i="4" l="1"/>
  <c r="I21" i="7" s="1"/>
  <c r="K22" i="7" s="1"/>
  <c r="N22" i="7"/>
  <c r="M22" i="7"/>
  <c r="L22" i="7"/>
  <c r="K57" i="4"/>
  <c r="L63" i="3"/>
  <c r="K54" i="4"/>
  <c r="L57" i="4"/>
  <c r="J57" i="4"/>
  <c r="M58" i="4"/>
  <c r="L23" i="5" a="1"/>
  <c r="L23" i="5" s="1"/>
  <c r="L76" i="5" s="1"/>
  <c r="L79" i="4" s="1"/>
  <c r="N23" i="5" a="1"/>
  <c r="N23" i="5" s="1"/>
  <c r="N76" i="5" s="1"/>
  <c r="N79" i="4" s="1"/>
  <c r="L62" i="3"/>
  <c r="K11" i="4"/>
  <c r="K52" i="4" s="1"/>
  <c r="J73" i="4"/>
  <c r="J61" i="5"/>
  <c r="K45" i="5" s="1"/>
  <c r="K32" i="5"/>
  <c r="K53" i="5" s="1"/>
  <c r="K73" i="4" s="1"/>
  <c r="M66" i="3"/>
  <c r="M57" i="4" s="1"/>
  <c r="M8" i="5"/>
  <c r="M49" i="5" s="1"/>
  <c r="M69" i="4" s="1"/>
  <c r="J70" i="4"/>
  <c r="J58" i="5"/>
  <c r="K42" i="5" s="1"/>
  <c r="K14" i="5"/>
  <c r="J71" i="4"/>
  <c r="J59" i="5"/>
  <c r="K43" i="5" s="1"/>
  <c r="K59" i="5" s="1"/>
  <c r="L43" i="5" s="1"/>
  <c r="L59" i="5" s="1"/>
  <c r="M43" i="5" s="1"/>
  <c r="M59" i="5" s="1"/>
  <c r="N43" i="5" s="1"/>
  <c r="N59" i="5" s="1"/>
  <c r="M23" i="5" a="1"/>
  <c r="M23" i="5" s="1"/>
  <c r="M76" i="5" s="1"/>
  <c r="M79" i="4" s="1"/>
  <c r="M26" i="5"/>
  <c r="M52" i="5" s="1"/>
  <c r="M72" i="4" s="1"/>
  <c r="L14" i="5"/>
  <c r="L50" i="5" s="1"/>
  <c r="L70" i="4" s="1"/>
  <c r="N74" i="4"/>
  <c r="N99" i="6" s="1"/>
  <c r="L8" i="5"/>
  <c r="L49" i="5" s="1"/>
  <c r="L69" i="4" s="1"/>
  <c r="J16" i="5"/>
  <c r="M22" i="5"/>
  <c r="M32" i="5"/>
  <c r="M53" i="5" s="1"/>
  <c r="M73" i="4" s="1"/>
  <c r="N67" i="3"/>
  <c r="N58" i="4" s="1"/>
  <c r="J57" i="5"/>
  <c r="K41" i="5" s="1"/>
  <c r="J69" i="4"/>
  <c r="K8" i="5"/>
  <c r="K49" i="5" s="1"/>
  <c r="K69" i="4" s="1"/>
  <c r="M14" i="5"/>
  <c r="N16" i="5"/>
  <c r="J17" i="5" a="1"/>
  <c r="J17" i="5" s="1"/>
  <c r="J75" i="5" s="1"/>
  <c r="J83" i="5" s="1"/>
  <c r="N22" i="5"/>
  <c r="J23" i="5"/>
  <c r="J76" i="5" s="1"/>
  <c r="K23" i="5" a="1"/>
  <c r="K23" i="5" s="1"/>
  <c r="K76" i="5" s="1"/>
  <c r="K79" i="4" s="1"/>
  <c r="L32" i="5"/>
  <c r="L53" i="5" s="1"/>
  <c r="L73" i="4" s="1"/>
  <c r="J11" i="4"/>
  <c r="J52" i="4" s="1"/>
  <c r="N11" i="4"/>
  <c r="N21" i="4" s="1"/>
  <c r="N43" i="4"/>
  <c r="J43" i="4"/>
  <c r="K43" i="4"/>
  <c r="M11" i="4"/>
  <c r="M56" i="4" s="1"/>
  <c r="M43" i="4"/>
  <c r="L11" i="4"/>
  <c r="L56" i="4" s="1"/>
  <c r="L47" i="4"/>
  <c r="L15" i="6" s="1"/>
  <c r="K20" i="9" s="1"/>
  <c r="J111" i="4"/>
  <c r="J107" i="6" s="1"/>
  <c r="K111" i="4"/>
  <c r="K107" i="6" s="1"/>
  <c r="M111" i="4"/>
  <c r="M107" i="6" s="1"/>
  <c r="L26" i="5"/>
  <c r="L52" i="5" s="1"/>
  <c r="L72" i="4" s="1"/>
  <c r="J72" i="4"/>
  <c r="J60" i="5"/>
  <c r="K44" i="5" s="1"/>
  <c r="K26" i="5"/>
  <c r="L28" i="5"/>
  <c r="J34" i="5"/>
  <c r="M34" i="5"/>
  <c r="N34" i="5"/>
  <c r="J35" i="5" a="1"/>
  <c r="J35" i="5" s="1"/>
  <c r="J78" i="5" s="1"/>
  <c r="N28" i="5"/>
  <c r="J29" i="5" a="1"/>
  <c r="J29" i="5" s="1"/>
  <c r="J77" i="5" s="1"/>
  <c r="J28" i="5"/>
  <c r="J22" i="5"/>
  <c r="K22" i="5"/>
  <c r="L22" i="5"/>
  <c r="J10" i="5"/>
  <c r="J11" i="5" a="1"/>
  <c r="J11" i="5" s="1"/>
  <c r="J74" i="5" s="1"/>
  <c r="N10" i="5"/>
  <c r="K11" i="5" a="1"/>
  <c r="K11" i="5" s="1"/>
  <c r="K74" i="5" s="1"/>
  <c r="K77" i="4" s="1"/>
  <c r="J22" i="7" l="1"/>
  <c r="M19" i="4" a="1"/>
  <c r="M63" i="3"/>
  <c r="L54" i="4"/>
  <c r="M62" i="3"/>
  <c r="M53" i="4" s="1"/>
  <c r="L53" i="4"/>
  <c r="M10" i="5"/>
  <c r="M45" i="4"/>
  <c r="M47" i="4" s="1"/>
  <c r="M15" i="6" s="1"/>
  <c r="N45" i="4"/>
  <c r="N47" i="4" s="1"/>
  <c r="N15" i="6" s="1"/>
  <c r="K26" i="9" s="1"/>
  <c r="K19" i="4" a="1"/>
  <c r="K19" i="4" s="1"/>
  <c r="K45" i="4"/>
  <c r="K47" i="4" s="1"/>
  <c r="K15" i="6" s="1"/>
  <c r="N100" i="6"/>
  <c r="N13" i="7"/>
  <c r="J45" i="4"/>
  <c r="J47" i="4" s="1"/>
  <c r="K21" i="4"/>
  <c r="K13" i="4"/>
  <c r="K14" i="4" s="1"/>
  <c r="M21" i="4"/>
  <c r="N19" i="4" a="1"/>
  <c r="J78" i="4"/>
  <c r="M29" i="5" a="1"/>
  <c r="M29" i="5" s="1"/>
  <c r="M77" i="5" s="1"/>
  <c r="M80" i="4" s="1"/>
  <c r="M13" i="4"/>
  <c r="M14" i="4" s="1"/>
  <c r="K56" i="4"/>
  <c r="K59" i="4" s="1"/>
  <c r="K63" i="4" s="1"/>
  <c r="K17" i="6" s="1"/>
  <c r="K19" i="9" s="1"/>
  <c r="K8" i="6"/>
  <c r="J21" i="4"/>
  <c r="K28" i="5"/>
  <c r="M35" i="5" a="1"/>
  <c r="M35" i="5" s="1"/>
  <c r="M78" i="5" s="1"/>
  <c r="M81" i="4" s="1"/>
  <c r="L10" i="5"/>
  <c r="N8" i="6"/>
  <c r="N62" i="3"/>
  <c r="N53" i="4" s="1"/>
  <c r="J92" i="5"/>
  <c r="J86" i="4" s="1"/>
  <c r="J40" i="6" s="1"/>
  <c r="N11" i="5" a="1"/>
  <c r="N11" i="5" s="1"/>
  <c r="N74" i="5" s="1"/>
  <c r="N77" i="4" s="1"/>
  <c r="M28" i="5"/>
  <c r="K29" i="5" a="1"/>
  <c r="K29" i="5" s="1"/>
  <c r="K77" i="5" s="1"/>
  <c r="K80" i="4" s="1"/>
  <c r="J74" i="4"/>
  <c r="J94" i="4" s="1"/>
  <c r="J19" i="4" a="1"/>
  <c r="J19" i="4" s="1"/>
  <c r="L17" i="5" a="1"/>
  <c r="L17" i="5" s="1"/>
  <c r="L75" i="5" s="1"/>
  <c r="L78" i="4" s="1"/>
  <c r="K34" i="5"/>
  <c r="L29" i="5" a="1"/>
  <c r="L29" i="5" s="1"/>
  <c r="L77" i="5" s="1"/>
  <c r="L80" i="4" s="1"/>
  <c r="K35" i="5" a="1"/>
  <c r="K35" i="5" s="1"/>
  <c r="K78" i="5" s="1"/>
  <c r="K81" i="4" s="1"/>
  <c r="K50" i="5"/>
  <c r="K70" i="4" s="1"/>
  <c r="N17" i="5" a="1"/>
  <c r="N17" i="5" s="1"/>
  <c r="N75" i="5" s="1"/>
  <c r="N78" i="4" s="1"/>
  <c r="L74" i="4"/>
  <c r="L99" i="6" s="1"/>
  <c r="K16" i="5"/>
  <c r="K58" i="5"/>
  <c r="L42" i="5" s="1"/>
  <c r="L58" i="5" s="1"/>
  <c r="M42" i="5" s="1"/>
  <c r="N66" i="3"/>
  <c r="N57" i="4" s="1"/>
  <c r="K17" i="5" a="1"/>
  <c r="K17" i="5" s="1"/>
  <c r="K75" i="5" s="1"/>
  <c r="K78" i="4" s="1"/>
  <c r="L11" i="5" a="1"/>
  <c r="L11" i="5" s="1"/>
  <c r="L74" i="5" s="1"/>
  <c r="L77" i="4" s="1"/>
  <c r="K10" i="5"/>
  <c r="N35" i="5" a="1"/>
  <c r="N35" i="5" s="1"/>
  <c r="N78" i="5" s="1"/>
  <c r="N81" i="4" s="1"/>
  <c r="L34" i="5"/>
  <c r="K57" i="5"/>
  <c r="L41" i="5" s="1"/>
  <c r="L57" i="5" s="1"/>
  <c r="M41" i="5" s="1"/>
  <c r="M57" i="5" s="1"/>
  <c r="N41" i="5" s="1"/>
  <c r="N57" i="5" s="1"/>
  <c r="M17" i="5" a="1"/>
  <c r="M17" i="5" s="1"/>
  <c r="M75" i="5" s="1"/>
  <c r="M78" i="4" s="1"/>
  <c r="M11" i="5" a="1"/>
  <c r="M11" i="5" s="1"/>
  <c r="M74" i="5" s="1"/>
  <c r="M77" i="4" s="1"/>
  <c r="L35" i="5" a="1"/>
  <c r="L35" i="5" s="1"/>
  <c r="L78" i="5" s="1"/>
  <c r="L81" i="4" s="1"/>
  <c r="J79" i="4"/>
  <c r="J84" i="5"/>
  <c r="K68" i="5" s="1"/>
  <c r="K84" i="5" s="1"/>
  <c r="L68" i="5" s="1"/>
  <c r="L84" i="5" s="1"/>
  <c r="M50" i="5"/>
  <c r="M70" i="4" s="1"/>
  <c r="M74" i="4" s="1"/>
  <c r="M99" i="6" s="1"/>
  <c r="M16" i="5"/>
  <c r="L16" i="5"/>
  <c r="K61" i="5"/>
  <c r="L45" i="5" s="1"/>
  <c r="L61" i="5" s="1"/>
  <c r="M45" i="5" s="1"/>
  <c r="M61" i="5" s="1"/>
  <c r="N45" i="5" s="1"/>
  <c r="N61" i="5" s="1"/>
  <c r="N56" i="4"/>
  <c r="M19" i="4"/>
  <c r="M52" i="4"/>
  <c r="N13" i="4"/>
  <c r="N14" i="4" s="1"/>
  <c r="N19" i="4"/>
  <c r="N22" i="4" s="1"/>
  <c r="N52" i="4"/>
  <c r="M8" i="6"/>
  <c r="M107" i="8" s="1"/>
  <c r="J56" i="4"/>
  <c r="J59" i="4" s="1"/>
  <c r="J63" i="4" s="1"/>
  <c r="J17" i="6" s="1"/>
  <c r="J8" i="6"/>
  <c r="J13" i="4"/>
  <c r="J14" i="4" s="1"/>
  <c r="L52" i="4"/>
  <c r="L8" i="6"/>
  <c r="L13" i="4"/>
  <c r="L21" i="4"/>
  <c r="L19" i="4" a="1"/>
  <c r="L19" i="4" s="1"/>
  <c r="K52" i="5"/>
  <c r="K72" i="4" s="1"/>
  <c r="N29" i="5" a="1"/>
  <c r="N29" i="5" s="1"/>
  <c r="N77" i="5" s="1"/>
  <c r="N80" i="4" s="1"/>
  <c r="K67" i="5"/>
  <c r="J85" i="5"/>
  <c r="J80" i="4"/>
  <c r="J86" i="5"/>
  <c r="J81" i="4"/>
  <c r="J82" i="5"/>
  <c r="K66" i="5" s="1"/>
  <c r="K82" i="5" s="1"/>
  <c r="J77" i="4"/>
  <c r="J10" i="8" l="1"/>
  <c r="J104" i="8"/>
  <c r="J94" i="8"/>
  <c r="G9" i="9"/>
  <c r="J84" i="8"/>
  <c r="J111" i="8"/>
  <c r="L10" i="8"/>
  <c r="L105" i="8"/>
  <c r="L99" i="8"/>
  <c r="G11" i="9"/>
  <c r="L84" i="8"/>
  <c r="J19" i="8"/>
  <c r="K16" i="9"/>
  <c r="N10" i="8"/>
  <c r="G13" i="9"/>
  <c r="N84" i="8"/>
  <c r="N100" i="8"/>
  <c r="N105" i="8"/>
  <c r="N99" i="8"/>
  <c r="M17" i="8"/>
  <c r="K23" i="9"/>
  <c r="J107" i="8"/>
  <c r="M10" i="8"/>
  <c r="M105" i="8"/>
  <c r="M99" i="8"/>
  <c r="M84" i="8"/>
  <c r="G12" i="9"/>
  <c r="M100" i="8"/>
  <c r="K10" i="8"/>
  <c r="G10" i="9"/>
  <c r="K105" i="8"/>
  <c r="K99" i="8"/>
  <c r="K84" i="8"/>
  <c r="K17" i="8"/>
  <c r="K17" i="9"/>
  <c r="K107" i="8"/>
  <c r="K19" i="8"/>
  <c r="K137" i="4"/>
  <c r="K47" i="6" s="1"/>
  <c r="N17" i="8"/>
  <c r="L17" i="8"/>
  <c r="J15" i="6"/>
  <c r="J97" i="4"/>
  <c r="N63" i="3"/>
  <c r="N54" i="4" s="1"/>
  <c r="N59" i="4" s="1"/>
  <c r="N63" i="4" s="1"/>
  <c r="N17" i="6" s="1"/>
  <c r="M54" i="4"/>
  <c r="M59" i="4" s="1"/>
  <c r="M63" i="4" s="1"/>
  <c r="M17" i="6" s="1"/>
  <c r="K74" i="4"/>
  <c r="K99" i="6" s="1"/>
  <c r="L100" i="6"/>
  <c r="L100" i="8" s="1"/>
  <c r="L13" i="7"/>
  <c r="J99" i="6"/>
  <c r="J99" i="8" s="1"/>
  <c r="M100" i="6"/>
  <c r="M13" i="7"/>
  <c r="K22" i="4"/>
  <c r="K10" i="6" s="1"/>
  <c r="H10" i="9" s="1"/>
  <c r="J22" i="4"/>
  <c r="J24" i="4" s="1"/>
  <c r="J46" i="6" s="1"/>
  <c r="J90" i="6" s="1"/>
  <c r="J90" i="8" s="1"/>
  <c r="M22" i="4"/>
  <c r="M24" i="4" s="1"/>
  <c r="M46" i="6" s="1"/>
  <c r="M137" i="4"/>
  <c r="M47" i="6" s="1"/>
  <c r="L82" i="4"/>
  <c r="L16" i="6" s="1"/>
  <c r="K21" i="9" s="1"/>
  <c r="L59" i="4"/>
  <c r="L63" i="4" s="1"/>
  <c r="L17" i="6" s="1"/>
  <c r="K82" i="4"/>
  <c r="K16" i="6" s="1"/>
  <c r="K18" i="9" s="1"/>
  <c r="K83" i="5"/>
  <c r="L67" i="5" s="1"/>
  <c r="L83" i="5" s="1"/>
  <c r="L92" i="5" s="1"/>
  <c r="L86" i="4" s="1"/>
  <c r="L40" i="6" s="1"/>
  <c r="M82" i="4"/>
  <c r="M16" i="6" s="1"/>
  <c r="K24" i="9" s="1"/>
  <c r="K93" i="5"/>
  <c r="K87" i="4" s="1"/>
  <c r="K41" i="6" s="1"/>
  <c r="J93" i="5"/>
  <c r="J87" i="4" s="1"/>
  <c r="J41" i="6" s="1"/>
  <c r="N82" i="4"/>
  <c r="N16" i="6" s="1"/>
  <c r="K27" i="9" s="1"/>
  <c r="N137" i="4"/>
  <c r="N47" i="6" s="1"/>
  <c r="M58" i="5"/>
  <c r="N42" i="5" s="1"/>
  <c r="N58" i="5" s="1"/>
  <c r="N24" i="4"/>
  <c r="N46" i="6" s="1"/>
  <c r="N10" i="6"/>
  <c r="H13" i="9" s="1"/>
  <c r="K24" i="4"/>
  <c r="K46" i="6" s="1"/>
  <c r="J137" i="4"/>
  <c r="J47" i="6" s="1"/>
  <c r="J91" i="6" s="1"/>
  <c r="J91" i="8" s="1"/>
  <c r="L14" i="4"/>
  <c r="L137" i="4"/>
  <c r="L47" i="6" s="1"/>
  <c r="J99" i="4"/>
  <c r="L22" i="4"/>
  <c r="J82" i="4"/>
  <c r="K60" i="5"/>
  <c r="L44" i="5" s="1"/>
  <c r="L60" i="5" s="1"/>
  <c r="M44" i="5" s="1"/>
  <c r="M60" i="5" s="1"/>
  <c r="N44" i="5" s="1"/>
  <c r="N60" i="5" s="1"/>
  <c r="J91" i="5"/>
  <c r="J85" i="4" s="1"/>
  <c r="J39" i="6" s="1"/>
  <c r="J94" i="5"/>
  <c r="J88" i="4" s="1"/>
  <c r="J42" i="6" s="1"/>
  <c r="K69" i="5"/>
  <c r="K85" i="5" s="1"/>
  <c r="K70" i="5"/>
  <c r="K86" i="5" s="1"/>
  <c r="J95" i="5"/>
  <c r="J89" i="4" s="1"/>
  <c r="J43" i="6" s="1"/>
  <c r="L66" i="5"/>
  <c r="L82" i="5" s="1"/>
  <c r="K91" i="5"/>
  <c r="K85" i="4" s="1"/>
  <c r="K39" i="6" s="1"/>
  <c r="M68" i="5"/>
  <c r="M84" i="5" s="1"/>
  <c r="L93" i="5"/>
  <c r="L87" i="4" s="1"/>
  <c r="L41" i="6" s="1"/>
  <c r="M19" i="8" l="1"/>
  <c r="K25" i="9"/>
  <c r="L19" i="8"/>
  <c r="K22" i="9"/>
  <c r="N19" i="8"/>
  <c r="K28" i="9"/>
  <c r="J17" i="8"/>
  <c r="K14" i="9"/>
  <c r="K12" i="6"/>
  <c r="K12" i="8"/>
  <c r="N12" i="6"/>
  <c r="N12" i="8"/>
  <c r="M85" i="6"/>
  <c r="M85" i="8" s="1"/>
  <c r="M18" i="8"/>
  <c r="L85" i="6"/>
  <c r="L85" i="8" s="1"/>
  <c r="L18" i="8"/>
  <c r="N85" i="6"/>
  <c r="N85" i="8" s="1"/>
  <c r="N18" i="8"/>
  <c r="K85" i="6"/>
  <c r="K85" i="8" s="1"/>
  <c r="K18" i="8"/>
  <c r="J100" i="6"/>
  <c r="J100" i="8" s="1"/>
  <c r="J13" i="7"/>
  <c r="J98" i="4"/>
  <c r="J100" i="4" s="1"/>
  <c r="G143" i="3" s="1"/>
  <c r="J26" i="4"/>
  <c r="J28" i="4" s="1"/>
  <c r="J141" i="4" s="1"/>
  <c r="J67" i="6" s="1"/>
  <c r="J10" i="6"/>
  <c r="H9" i="9" s="1"/>
  <c r="K90" i="6"/>
  <c r="K90" i="8" s="1"/>
  <c r="K100" i="6"/>
  <c r="K100" i="8" s="1"/>
  <c r="K13" i="7"/>
  <c r="M10" i="6"/>
  <c r="H12" i="9" s="1"/>
  <c r="M26" i="4"/>
  <c r="M28" i="4" s="1"/>
  <c r="M141" i="4" s="1"/>
  <c r="M67" i="6" s="1"/>
  <c r="M91" i="6"/>
  <c r="M91" i="8" s="1"/>
  <c r="N91" i="6"/>
  <c r="N91" i="8" s="1"/>
  <c r="M67" i="5"/>
  <c r="M83" i="5" s="1"/>
  <c r="M92" i="5" s="1"/>
  <c r="M86" i="4" s="1"/>
  <c r="M40" i="6" s="1"/>
  <c r="K92" i="5"/>
  <c r="K86" i="4" s="1"/>
  <c r="K40" i="6" s="1"/>
  <c r="N90" i="6"/>
  <c r="N90" i="8" s="1"/>
  <c r="N26" i="4"/>
  <c r="N28" i="4" s="1"/>
  <c r="N141" i="4" s="1"/>
  <c r="N67" i="6" s="1"/>
  <c r="K26" i="4"/>
  <c r="K28" i="4" s="1"/>
  <c r="K29" i="4" s="1"/>
  <c r="L91" i="6"/>
  <c r="L91" i="8" s="1"/>
  <c r="K91" i="6"/>
  <c r="K91" i="8" s="1"/>
  <c r="J29" i="4"/>
  <c r="L14" i="6"/>
  <c r="L16" i="8" s="1"/>
  <c r="N14" i="6"/>
  <c r="M14" i="6"/>
  <c r="K14" i="6"/>
  <c r="L10" i="6"/>
  <c r="H11" i="9" s="1"/>
  <c r="L24" i="4"/>
  <c r="L46" i="6" s="1"/>
  <c r="J44" i="6"/>
  <c r="J16" i="6"/>
  <c r="K15" i="9" s="1"/>
  <c r="J90" i="4"/>
  <c r="L70" i="5"/>
  <c r="L86" i="5" s="1"/>
  <c r="M70" i="5" s="1"/>
  <c r="M86" i="5" s="1"/>
  <c r="K95" i="5"/>
  <c r="K89" i="4" s="1"/>
  <c r="K43" i="6" s="1"/>
  <c r="K94" i="5"/>
  <c r="K88" i="4" s="1"/>
  <c r="K42" i="6" s="1"/>
  <c r="L69" i="5"/>
  <c r="L85" i="5" s="1"/>
  <c r="M69" i="5" s="1"/>
  <c r="M85" i="5" s="1"/>
  <c r="N68" i="5"/>
  <c r="N84" i="5" s="1"/>
  <c r="M93" i="5"/>
  <c r="M87" i="4" s="1"/>
  <c r="M41" i="6" s="1"/>
  <c r="M66" i="5"/>
  <c r="M82" i="5" s="1"/>
  <c r="L91" i="5"/>
  <c r="L85" i="4" s="1"/>
  <c r="L39" i="6" s="1"/>
  <c r="N14" i="8" l="1"/>
  <c r="I13" i="9"/>
  <c r="N129" i="8"/>
  <c r="M13" i="9" s="1"/>
  <c r="K14" i="8"/>
  <c r="K129" i="8"/>
  <c r="M10" i="9" s="1"/>
  <c r="I10" i="9"/>
  <c r="L12" i="6"/>
  <c r="L12" i="8"/>
  <c r="M12" i="6"/>
  <c r="M12" i="8"/>
  <c r="J12" i="6"/>
  <c r="J12" i="8"/>
  <c r="K19" i="6"/>
  <c r="K16" i="8"/>
  <c r="M16" i="8"/>
  <c r="N19" i="6"/>
  <c r="N16" i="8"/>
  <c r="J85" i="6"/>
  <c r="J85" i="8" s="1"/>
  <c r="J18" i="8"/>
  <c r="M29" i="4"/>
  <c r="N29" i="4"/>
  <c r="N67" i="5"/>
  <c r="N83" i="5" s="1"/>
  <c r="N92" i="5" s="1"/>
  <c r="N86" i="4" s="1"/>
  <c r="N40" i="6" s="1"/>
  <c r="N92" i="6"/>
  <c r="N92" i="8" s="1"/>
  <c r="L19" i="6"/>
  <c r="K141" i="4"/>
  <c r="K67" i="6" s="1"/>
  <c r="K92" i="6" s="1"/>
  <c r="K92" i="8" s="1"/>
  <c r="M90" i="6"/>
  <c r="M90" i="8" s="1"/>
  <c r="L90" i="6"/>
  <c r="L90" i="8" s="1"/>
  <c r="J102" i="4"/>
  <c r="J103" i="4"/>
  <c r="J108" i="4" s="1"/>
  <c r="J92" i="6"/>
  <c r="J92" i="8" s="1"/>
  <c r="J14" i="6"/>
  <c r="L26" i="4"/>
  <c r="L28" i="4" s="1"/>
  <c r="K44" i="6"/>
  <c r="K90" i="4"/>
  <c r="L95" i="5"/>
  <c r="L89" i="4" s="1"/>
  <c r="L43" i="6" s="1"/>
  <c r="L94" i="5"/>
  <c r="L88" i="4" s="1"/>
  <c r="L42" i="6" s="1"/>
  <c r="N93" i="5"/>
  <c r="N87" i="4" s="1"/>
  <c r="N41" i="6" s="1"/>
  <c r="N66" i="5"/>
  <c r="N82" i="5" s="1"/>
  <c r="M91" i="5"/>
  <c r="M85" i="4" s="1"/>
  <c r="M39" i="6" s="1"/>
  <c r="N70" i="5"/>
  <c r="N86" i="5" s="1"/>
  <c r="M95" i="5"/>
  <c r="M89" i="4" s="1"/>
  <c r="M43" i="6" s="1"/>
  <c r="N69" i="5"/>
  <c r="N85" i="5" s="1"/>
  <c r="M94" i="5"/>
  <c r="M88" i="4" s="1"/>
  <c r="M42" i="6" s="1"/>
  <c r="J14" i="8" l="1"/>
  <c r="I9" i="9"/>
  <c r="J129" i="8"/>
  <c r="M9" i="9" s="1"/>
  <c r="L14" i="8"/>
  <c r="I11" i="9"/>
  <c r="L129" i="8"/>
  <c r="M11" i="9" s="1"/>
  <c r="M14" i="8"/>
  <c r="M129" i="8"/>
  <c r="M12" i="9" s="1"/>
  <c r="I12" i="9"/>
  <c r="K21" i="8"/>
  <c r="L21" i="8"/>
  <c r="N21" i="8"/>
  <c r="M19" i="6"/>
  <c r="J19" i="6"/>
  <c r="J16" i="8"/>
  <c r="L29" i="4"/>
  <c r="L141" i="4"/>
  <c r="L67" i="6" s="1"/>
  <c r="J105" i="6"/>
  <c r="J105" i="8" s="1"/>
  <c r="J110" i="4"/>
  <c r="J106" i="6" s="1"/>
  <c r="J106" i="8" s="1"/>
  <c r="J109" i="4"/>
  <c r="N56" i="6"/>
  <c r="K56" i="6"/>
  <c r="M56" i="6"/>
  <c r="J56" i="6"/>
  <c r="J103" i="6" s="1"/>
  <c r="J103" i="8" s="1"/>
  <c r="L56" i="6"/>
  <c r="L44" i="6"/>
  <c r="M44" i="6"/>
  <c r="L90" i="4"/>
  <c r="M90" i="4"/>
  <c r="N95" i="5"/>
  <c r="N89" i="4" s="1"/>
  <c r="N43" i="6" s="1"/>
  <c r="N94" i="5"/>
  <c r="N88" i="4" s="1"/>
  <c r="N42" i="6" s="1"/>
  <c r="N91" i="5"/>
  <c r="N85" i="4" s="1"/>
  <c r="N39" i="6" s="1"/>
  <c r="M21" i="8" l="1"/>
  <c r="J21" i="8"/>
  <c r="M103" i="6"/>
  <c r="M103" i="8" s="1"/>
  <c r="J108" i="6"/>
  <c r="J108" i="8" s="1"/>
  <c r="M92" i="6"/>
  <c r="M92" i="8" s="1"/>
  <c r="L92" i="6"/>
  <c r="L92" i="8" s="1"/>
  <c r="J21" i="6"/>
  <c r="J123" i="8" s="1"/>
  <c r="J112" i="4"/>
  <c r="K103" i="6"/>
  <c r="K103" i="8" s="1"/>
  <c r="L103" i="6"/>
  <c r="L103" i="8" s="1"/>
  <c r="N103" i="6"/>
  <c r="N103" i="8" s="1"/>
  <c r="N44" i="6"/>
  <c r="N90" i="4"/>
  <c r="J10" i="7" l="1"/>
  <c r="J11" i="7" s="1"/>
  <c r="J23" i="8"/>
  <c r="K107" i="4"/>
  <c r="J62" i="6"/>
  <c r="J63" i="6" s="1"/>
  <c r="J87" i="6"/>
  <c r="J87" i="8" s="1"/>
  <c r="J23" i="6"/>
  <c r="J116" i="4" l="1"/>
  <c r="J118" i="4" s="1"/>
  <c r="J121" i="4" s="1"/>
  <c r="K122" i="4" s="1"/>
  <c r="K94" i="6" s="1"/>
  <c r="K94" i="8" s="1"/>
  <c r="J25" i="8"/>
  <c r="K110" i="4"/>
  <c r="K106" i="6" s="1"/>
  <c r="K106" i="8" s="1"/>
  <c r="K109" i="4"/>
  <c r="J123" i="4" l="1"/>
  <c r="J69" i="6" s="1"/>
  <c r="J25" i="6"/>
  <c r="K21" i="6"/>
  <c r="K123" i="8" s="1"/>
  <c r="K112" i="4"/>
  <c r="K10" i="7" l="1"/>
  <c r="K11" i="7" s="1"/>
  <c r="K23" i="8"/>
  <c r="K120" i="4"/>
  <c r="J27" i="6"/>
  <c r="J27" i="8"/>
  <c r="J86" i="6"/>
  <c r="J86" i="8" s="1"/>
  <c r="L107" i="4"/>
  <c r="K62" i="6"/>
  <c r="K63" i="6" s="1"/>
  <c r="K23" i="6"/>
  <c r="K25" i="8" s="1"/>
  <c r="K87" i="6"/>
  <c r="K87" i="8" s="1"/>
  <c r="J135" i="8" l="1"/>
  <c r="O9" i="9" s="1"/>
  <c r="L9" i="9"/>
  <c r="J29" i="8"/>
  <c r="J131" i="8"/>
  <c r="N9" i="9" s="1"/>
  <c r="J127" i="4"/>
  <c r="J129" i="4" s="1"/>
  <c r="J132" i="4" s="1"/>
  <c r="J29" i="6" s="1"/>
  <c r="J83" i="6"/>
  <c r="K116" i="4"/>
  <c r="K118" i="4" s="1"/>
  <c r="K121" i="4" s="1"/>
  <c r="L109" i="4"/>
  <c r="L21" i="6" s="1"/>
  <c r="L123" i="8" s="1"/>
  <c r="L110" i="4"/>
  <c r="L106" i="6" s="1"/>
  <c r="L106" i="8" s="1"/>
  <c r="J88" i="6" l="1"/>
  <c r="J93" i="6" s="1"/>
  <c r="J83" i="8"/>
  <c r="L10" i="7"/>
  <c r="L11" i="7" s="1"/>
  <c r="L23" i="8"/>
  <c r="J134" i="4"/>
  <c r="J68" i="6" s="1"/>
  <c r="K133" i="4"/>
  <c r="K104" i="6" s="1"/>
  <c r="J31" i="6"/>
  <c r="J31" i="8"/>
  <c r="L23" i="6"/>
  <c r="L25" i="8" s="1"/>
  <c r="L87" i="6"/>
  <c r="L87" i="8" s="1"/>
  <c r="L111" i="4"/>
  <c r="L122" i="4"/>
  <c r="L94" i="6" s="1"/>
  <c r="L94" i="8" s="1"/>
  <c r="K25" i="6"/>
  <c r="K27" i="8" s="1"/>
  <c r="K123" i="4"/>
  <c r="K108" i="6" l="1"/>
  <c r="K108" i="8" s="1"/>
  <c r="K104" i="8"/>
  <c r="J95" i="6"/>
  <c r="J9" i="7" s="1"/>
  <c r="J12" i="7" s="1"/>
  <c r="J14" i="7" s="1"/>
  <c r="J15" i="7" s="1"/>
  <c r="J93" i="8"/>
  <c r="J70" i="6"/>
  <c r="J32" i="6"/>
  <c r="J33" i="8"/>
  <c r="K131" i="4"/>
  <c r="L120" i="4"/>
  <c r="K69" i="6"/>
  <c r="L112" i="4"/>
  <c r="L107" i="6"/>
  <c r="L107" i="8" s="1"/>
  <c r="K86" i="6"/>
  <c r="K86" i="8" s="1"/>
  <c r="K27" i="6"/>
  <c r="L116" i="4"/>
  <c r="L118" i="4" s="1"/>
  <c r="L121" i="4" s="1"/>
  <c r="K135" i="8" l="1"/>
  <c r="O10" i="9" s="1"/>
  <c r="L10" i="9"/>
  <c r="K29" i="8"/>
  <c r="K131" i="8"/>
  <c r="N10" i="9" s="1"/>
  <c r="J110" i="6"/>
  <c r="J95" i="8"/>
  <c r="J72" i="6"/>
  <c r="J57" i="6"/>
  <c r="J34" i="8"/>
  <c r="M122" i="4"/>
  <c r="M94" i="6" s="1"/>
  <c r="M94" i="8" s="1"/>
  <c r="L25" i="6"/>
  <c r="L27" i="8" s="1"/>
  <c r="M107" i="4"/>
  <c r="L62" i="6"/>
  <c r="L63" i="6" s="1"/>
  <c r="K83" i="6"/>
  <c r="K127" i="4"/>
  <c r="K129" i="4" s="1"/>
  <c r="K132" i="4" s="1"/>
  <c r="L123" i="4"/>
  <c r="J112" i="6" l="1"/>
  <c r="J112" i="8" s="1"/>
  <c r="J110" i="8"/>
  <c r="K88" i="6"/>
  <c r="K93" i="6" s="1"/>
  <c r="K83" i="8"/>
  <c r="J58" i="6"/>
  <c r="K29" i="6"/>
  <c r="L133" i="4"/>
  <c r="L104" i="6" s="1"/>
  <c r="K134" i="4"/>
  <c r="L86" i="6"/>
  <c r="L86" i="8" s="1"/>
  <c r="L27" i="6"/>
  <c r="L69" i="6"/>
  <c r="M120" i="4"/>
  <c r="M110" i="4"/>
  <c r="M106" i="6" s="1"/>
  <c r="M106" i="8" s="1"/>
  <c r="M109" i="4"/>
  <c r="M21" i="6" s="1"/>
  <c r="M123" i="8" s="1"/>
  <c r="L135" i="8" l="1"/>
  <c r="O11" i="9" s="1"/>
  <c r="L11" i="9"/>
  <c r="L29" i="8"/>
  <c r="L131" i="8"/>
  <c r="N11" i="9" s="1"/>
  <c r="K111" i="6"/>
  <c r="K111" i="8" s="1"/>
  <c r="J48" i="6"/>
  <c r="J49" i="6" s="1"/>
  <c r="J120" i="8" s="1"/>
  <c r="L108" i="6"/>
  <c r="L108" i="8" s="1"/>
  <c r="L104" i="8"/>
  <c r="K95" i="6"/>
  <c r="K93" i="8"/>
  <c r="J75" i="6"/>
  <c r="M10" i="7"/>
  <c r="M11" i="7" s="1"/>
  <c r="M23" i="8"/>
  <c r="K31" i="6"/>
  <c r="K31" i="8"/>
  <c r="L131" i="4"/>
  <c r="K68" i="6"/>
  <c r="M112" i="4"/>
  <c r="M23" i="6"/>
  <c r="M25" i="8" s="1"/>
  <c r="M87" i="6"/>
  <c r="M87" i="8" s="1"/>
  <c r="L83" i="6"/>
  <c r="L127" i="4"/>
  <c r="L129" i="4" s="1"/>
  <c r="L132" i="4" s="1"/>
  <c r="J51" i="6" l="1"/>
  <c r="J118" i="8"/>
  <c r="K95" i="8"/>
  <c r="K9" i="7"/>
  <c r="K12" i="7" s="1"/>
  <c r="K14" i="7" s="1"/>
  <c r="K15" i="7" s="1"/>
  <c r="K110" i="6"/>
  <c r="L88" i="6"/>
  <c r="L93" i="6" s="1"/>
  <c r="L83" i="8"/>
  <c r="K70" i="6"/>
  <c r="K32" i="6"/>
  <c r="K33" i="8"/>
  <c r="L134" i="4"/>
  <c r="L29" i="6"/>
  <c r="M133" i="4"/>
  <c r="M104" i="6" s="1"/>
  <c r="M62" i="6"/>
  <c r="M63" i="6" s="1"/>
  <c r="N107" i="4"/>
  <c r="M116" i="4"/>
  <c r="M118" i="4" s="1"/>
  <c r="M121" i="4" s="1"/>
  <c r="J59" i="8" l="1"/>
  <c r="J133" i="8"/>
  <c r="J64" i="8"/>
  <c r="J60" i="8"/>
  <c r="J126" i="8"/>
  <c r="J46" i="8"/>
  <c r="J43" i="8"/>
  <c r="J49" i="8"/>
  <c r="J53" i="8"/>
  <c r="J65" i="8"/>
  <c r="J74" i="8"/>
  <c r="J41" i="8"/>
  <c r="J45" i="8"/>
  <c r="J70" i="8"/>
  <c r="J77" i="8"/>
  <c r="J71" i="8"/>
  <c r="J48" i="8"/>
  <c r="J72" i="8"/>
  <c r="J50" i="8"/>
  <c r="J77" i="6"/>
  <c r="J58" i="8"/>
  <c r="J69" i="8"/>
  <c r="J42" i="8"/>
  <c r="J44" i="8"/>
  <c r="J51" i="8"/>
  <c r="K112" i="6"/>
  <c r="K112" i="8" s="1"/>
  <c r="K110" i="8"/>
  <c r="M108" i="6"/>
  <c r="M108" i="8" s="1"/>
  <c r="M104" i="8"/>
  <c r="L95" i="6"/>
  <c r="L93" i="8"/>
  <c r="K72" i="6"/>
  <c r="K57" i="6"/>
  <c r="K34" i="8"/>
  <c r="L31" i="6"/>
  <c r="L31" i="8"/>
  <c r="N122" i="4"/>
  <c r="N94" i="6" s="1"/>
  <c r="N94" i="8" s="1"/>
  <c r="M25" i="6"/>
  <c r="M27" i="8" s="1"/>
  <c r="M123" i="4"/>
  <c r="N110" i="4"/>
  <c r="N109" i="4"/>
  <c r="N21" i="6" s="1"/>
  <c r="N123" i="8" s="1"/>
  <c r="M131" i="4"/>
  <c r="L68" i="6"/>
  <c r="L111" i="6" l="1"/>
  <c r="L111" i="8" s="1"/>
  <c r="K48" i="6"/>
  <c r="L95" i="8"/>
  <c r="L110" i="6"/>
  <c r="L9" i="7"/>
  <c r="L12" i="7" s="1"/>
  <c r="L14" i="7" s="1"/>
  <c r="L15" i="7" s="1"/>
  <c r="L70" i="6"/>
  <c r="K58" i="6"/>
  <c r="N10" i="7"/>
  <c r="N11" i="7" s="1"/>
  <c r="N23" i="8"/>
  <c r="L32" i="6"/>
  <c r="L33" i="8"/>
  <c r="N111" i="4"/>
  <c r="N107" i="6" s="1"/>
  <c r="N107" i="8" s="1"/>
  <c r="N106" i="6"/>
  <c r="N106" i="8" s="1"/>
  <c r="M69" i="6"/>
  <c r="N120" i="4"/>
  <c r="M86" i="6"/>
  <c r="M86" i="8" s="1"/>
  <c r="M27" i="6"/>
  <c r="N23" i="6"/>
  <c r="N25" i="8" s="1"/>
  <c r="N87" i="6"/>
  <c r="N87" i="8" s="1"/>
  <c r="M135" i="8" l="1"/>
  <c r="O12" i="9" s="1"/>
  <c r="L12" i="9"/>
  <c r="M29" i="8"/>
  <c r="M131" i="8"/>
  <c r="N12" i="9" s="1"/>
  <c r="K49" i="6"/>
  <c r="L112" i="6"/>
  <c r="L112" i="8" s="1"/>
  <c r="L110" i="8"/>
  <c r="L72" i="6"/>
  <c r="K75" i="6"/>
  <c r="L57" i="6"/>
  <c r="L34" i="8"/>
  <c r="N112" i="4"/>
  <c r="N62" i="6" s="1"/>
  <c r="N63" i="6" s="1"/>
  <c r="M83" i="6"/>
  <c r="M127" i="4"/>
  <c r="M129" i="4" s="1"/>
  <c r="M132" i="4" s="1"/>
  <c r="N116" i="4"/>
  <c r="N118" i="4" s="1"/>
  <c r="N121" i="4" s="1"/>
  <c r="K118" i="8" l="1"/>
  <c r="K120" i="8"/>
  <c r="L48" i="6"/>
  <c r="L49" i="6" s="1"/>
  <c r="L120" i="8" s="1"/>
  <c r="M111" i="6"/>
  <c r="M111" i="8" s="1"/>
  <c r="K51" i="6"/>
  <c r="K133" i="8" s="1"/>
  <c r="M88" i="6"/>
  <c r="M93" i="6" s="1"/>
  <c r="M83" i="8"/>
  <c r="L58" i="6"/>
  <c r="N133" i="4"/>
  <c r="N104" i="6" s="1"/>
  <c r="M29" i="6"/>
  <c r="M134" i="4"/>
  <c r="N123" i="4"/>
  <c r="N69" i="6" s="1"/>
  <c r="N25" i="6"/>
  <c r="N27" i="8" s="1"/>
  <c r="K77" i="6" l="1"/>
  <c r="K126" i="8"/>
  <c r="K77" i="8"/>
  <c r="K51" i="8"/>
  <c r="L51" i="6"/>
  <c r="L133" i="8" s="1"/>
  <c r="L118" i="8"/>
  <c r="K70" i="8"/>
  <c r="K41" i="8"/>
  <c r="K74" i="8"/>
  <c r="K71" i="8"/>
  <c r="K46" i="8"/>
  <c r="K59" i="8"/>
  <c r="K45" i="8"/>
  <c r="K72" i="8"/>
  <c r="K44" i="8"/>
  <c r="K43" i="8"/>
  <c r="K58" i="8"/>
  <c r="K48" i="8"/>
  <c r="K53" i="8"/>
  <c r="K49" i="8"/>
  <c r="K42" i="8"/>
  <c r="K69" i="8"/>
  <c r="K65" i="8"/>
  <c r="K64" i="8"/>
  <c r="K60" i="8"/>
  <c r="K50" i="8"/>
  <c r="N108" i="6"/>
  <c r="N108" i="8" s="1"/>
  <c r="N104" i="8"/>
  <c r="M95" i="6"/>
  <c r="M93" i="8"/>
  <c r="L75" i="6"/>
  <c r="M31" i="6"/>
  <c r="M31" i="8"/>
  <c r="N131" i="4"/>
  <c r="M68" i="6"/>
  <c r="N86" i="6"/>
  <c r="N86" i="8" s="1"/>
  <c r="N27" i="6"/>
  <c r="N135" i="8" l="1"/>
  <c r="O13" i="9" s="1"/>
  <c r="L13" i="9"/>
  <c r="N29" i="8"/>
  <c r="N131" i="8"/>
  <c r="N13" i="9" s="1"/>
  <c r="L51" i="8"/>
  <c r="L126" i="8"/>
  <c r="L60" i="8"/>
  <c r="L72" i="8"/>
  <c r="L74" i="8"/>
  <c r="L58" i="8"/>
  <c r="L59" i="8"/>
  <c r="L48" i="8"/>
  <c r="L41" i="8"/>
  <c r="L45" i="8"/>
  <c r="L43" i="8"/>
  <c r="L69" i="8"/>
  <c r="L64" i="8"/>
  <c r="L53" i="8"/>
  <c r="L42" i="8"/>
  <c r="L65" i="8"/>
  <c r="L46" i="8"/>
  <c r="L70" i="8"/>
  <c r="L44" i="8"/>
  <c r="L71" i="8"/>
  <c r="L50" i="8"/>
  <c r="L49" i="8"/>
  <c r="M95" i="8"/>
  <c r="M110" i="6"/>
  <c r="M9" i="7"/>
  <c r="M12" i="7" s="1"/>
  <c r="M14" i="7" s="1"/>
  <c r="M15" i="7" s="1"/>
  <c r="L77" i="6"/>
  <c r="L77" i="8"/>
  <c r="M70" i="6"/>
  <c r="M32" i="6"/>
  <c r="M33" i="8"/>
  <c r="N83" i="6"/>
  <c r="N127" i="4"/>
  <c r="N129" i="4" s="1"/>
  <c r="N132" i="4" s="1"/>
  <c r="N29" i="6" s="1"/>
  <c r="M112" i="6" l="1"/>
  <c r="M112" i="8" s="1"/>
  <c r="M110" i="8"/>
  <c r="N88" i="6"/>
  <c r="N93" i="6" s="1"/>
  <c r="N83" i="8"/>
  <c r="M72" i="6"/>
  <c r="M57" i="6"/>
  <c r="M34" i="8"/>
  <c r="N31" i="6"/>
  <c r="N31" i="8"/>
  <c r="N134" i="4"/>
  <c r="N68" i="6" s="1"/>
  <c r="M48" i="6" l="1"/>
  <c r="M49" i="6" s="1"/>
  <c r="M120" i="8" s="1"/>
  <c r="N111" i="6"/>
  <c r="N111" i="8" s="1"/>
  <c r="N95" i="6"/>
  <c r="N93" i="8"/>
  <c r="N70" i="6"/>
  <c r="M58" i="6"/>
  <c r="N32" i="6"/>
  <c r="N33" i="8"/>
  <c r="M51" i="6" l="1"/>
  <c r="M53" i="8" s="1"/>
  <c r="M118" i="8"/>
  <c r="N95" i="8"/>
  <c r="N110" i="6"/>
  <c r="N9" i="7"/>
  <c r="N12" i="7" s="1"/>
  <c r="N14" i="7" s="1"/>
  <c r="N15" i="7" s="1"/>
  <c r="N16" i="7" s="1"/>
  <c r="J18" i="7" s="1"/>
  <c r="N72" i="6"/>
  <c r="M75" i="6"/>
  <c r="N57" i="6"/>
  <c r="N34" i="8"/>
  <c r="M71" i="8" l="1"/>
  <c r="M42" i="8"/>
  <c r="M60" i="8"/>
  <c r="M46" i="8"/>
  <c r="M50" i="8"/>
  <c r="M48" i="8"/>
  <c r="M133" i="8"/>
  <c r="M69" i="8"/>
  <c r="M126" i="8"/>
  <c r="M43" i="8"/>
  <c r="M65" i="8"/>
  <c r="M70" i="8"/>
  <c r="M64" i="8"/>
  <c r="M72" i="8"/>
  <c r="M74" i="8"/>
  <c r="M59" i="8"/>
  <c r="M44" i="8"/>
  <c r="M51" i="8"/>
  <c r="M49" i="8"/>
  <c r="M45" i="8"/>
  <c r="M58" i="8"/>
  <c r="M41" i="8"/>
  <c r="N112" i="6"/>
  <c r="N110" i="8"/>
  <c r="M77" i="6"/>
  <c r="M77" i="8"/>
  <c r="N58" i="6"/>
  <c r="N48" i="6" l="1"/>
  <c r="N112" i="8"/>
  <c r="N75" i="6"/>
  <c r="N49" i="6" l="1"/>
  <c r="N118" i="8" l="1"/>
  <c r="N120" i="8"/>
  <c r="N51" i="6"/>
  <c r="N133" i="8" s="1"/>
  <c r="N51" i="8" l="1"/>
  <c r="N126" i="8"/>
  <c r="N72" i="8"/>
  <c r="N74" i="8"/>
  <c r="N58" i="8"/>
  <c r="N59" i="8"/>
  <c r="N49" i="8"/>
  <c r="N65" i="8"/>
  <c r="N53" i="8"/>
  <c r="N45" i="8"/>
  <c r="N64" i="8"/>
  <c r="N42" i="8"/>
  <c r="N70" i="8"/>
  <c r="N43" i="8"/>
  <c r="N69" i="8"/>
  <c r="N48" i="8"/>
  <c r="N46" i="8"/>
  <c r="N41" i="8"/>
  <c r="N71" i="8"/>
  <c r="N44" i="8"/>
  <c r="N60" i="8"/>
  <c r="N50" i="8"/>
  <c r="N77" i="6"/>
  <c r="N77" i="8"/>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<sst xmlns="http://schemas.openxmlformats.org/spreadsheetml/2006/main" count="645" uniqueCount="267">
  <si>
    <t>Five year Financial Model</t>
  </si>
  <si>
    <t>Naira</t>
  </si>
  <si>
    <t>Assumptions</t>
  </si>
  <si>
    <t>Workings</t>
  </si>
  <si>
    <t>CAPEX</t>
  </si>
  <si>
    <t>Financial Statement</t>
  </si>
  <si>
    <t>SAFE FOOT Co.</t>
  </si>
  <si>
    <t>source</t>
  </si>
  <si>
    <t>Unit</t>
  </si>
  <si>
    <t>X</t>
  </si>
  <si>
    <t>General Assumptions</t>
  </si>
  <si>
    <t>Days in a week</t>
  </si>
  <si>
    <t>Weeks in a Month</t>
  </si>
  <si>
    <t>Months in a year</t>
  </si>
  <si>
    <t>Quarters in a Year</t>
  </si>
  <si>
    <t>Infaltion rate</t>
  </si>
  <si>
    <t>Revenue Assumptions</t>
  </si>
  <si>
    <t>Boots</t>
  </si>
  <si>
    <t>Units per box</t>
  </si>
  <si>
    <t>No of boxes sold per day</t>
  </si>
  <si>
    <t>price per boot</t>
  </si>
  <si>
    <t>Sneakers</t>
  </si>
  <si>
    <t>Scandals</t>
  </si>
  <si>
    <t>Cost of Sales Assumptions</t>
  </si>
  <si>
    <t>Direct Material</t>
  </si>
  <si>
    <t>Leather</t>
  </si>
  <si>
    <t>Rubber</t>
  </si>
  <si>
    <t>Textiles</t>
  </si>
  <si>
    <t>Miscellaneous</t>
  </si>
  <si>
    <t>Direct Labour</t>
  </si>
  <si>
    <t>Number of Labourers</t>
  </si>
  <si>
    <t>Direct Overhead</t>
  </si>
  <si>
    <t>Average daily fee per Labourer hour</t>
  </si>
  <si>
    <t>Other Operating Expenses</t>
  </si>
  <si>
    <t>Marketing &amp; Advertising</t>
  </si>
  <si>
    <t>Electricity</t>
  </si>
  <si>
    <t>Fueling</t>
  </si>
  <si>
    <t>Rent</t>
  </si>
  <si>
    <t>General Business Expenses</t>
  </si>
  <si>
    <t>Research &amp; Development</t>
  </si>
  <si>
    <t>Miscelleanous</t>
  </si>
  <si>
    <t>unit</t>
  </si>
  <si>
    <t>per day</t>
  </si>
  <si>
    <t>%</t>
  </si>
  <si>
    <t>Per Month</t>
  </si>
  <si>
    <t>Per year</t>
  </si>
  <si>
    <t>Per quarter</t>
  </si>
  <si>
    <t>Personnel Expenses</t>
  </si>
  <si>
    <t>Count</t>
  </si>
  <si>
    <t>Managing Director</t>
  </si>
  <si>
    <t>Finance Manager</t>
  </si>
  <si>
    <t>Commercial Manager</t>
  </si>
  <si>
    <t>Marketing &amp; Communications Manager</t>
  </si>
  <si>
    <t>Plants Operations Manager</t>
  </si>
  <si>
    <t>Plant Supervisor</t>
  </si>
  <si>
    <t>Finance Executive</t>
  </si>
  <si>
    <t>Commericial Executive</t>
  </si>
  <si>
    <t>Marketing &amp; Communications Executive</t>
  </si>
  <si>
    <t>Monthly Salary</t>
  </si>
  <si>
    <t>Other Personnel Expenses</t>
  </si>
  <si>
    <t>Non Current Asset</t>
  </si>
  <si>
    <t>Acquisition</t>
  </si>
  <si>
    <t>Manufacturing Equipment</t>
  </si>
  <si>
    <t>Quantity Purchased</t>
  </si>
  <si>
    <t>Average price per unit</t>
  </si>
  <si>
    <t>Furniture &amp; Fittings</t>
  </si>
  <si>
    <t>Office Equipment</t>
  </si>
  <si>
    <t>Generator</t>
  </si>
  <si>
    <t>Delivery Van</t>
  </si>
  <si>
    <t>Depreciation</t>
  </si>
  <si>
    <t>EUL</t>
  </si>
  <si>
    <t>Pre-incorporating Expenses</t>
  </si>
  <si>
    <t>Registration &amp; Licensing</t>
  </si>
  <si>
    <t>Renovation</t>
  </si>
  <si>
    <t>Advertising &amp; Marketing</t>
  </si>
  <si>
    <t>Miscellenous</t>
  </si>
  <si>
    <t>Financing Assumptions</t>
  </si>
  <si>
    <t>Capital Required</t>
  </si>
  <si>
    <t>Equity</t>
  </si>
  <si>
    <t>Debt</t>
  </si>
  <si>
    <t>Dividend Pay-out ratio</t>
  </si>
  <si>
    <t>Minimum Profit</t>
  </si>
  <si>
    <t>Coupon Rate</t>
  </si>
  <si>
    <t>Effective Interest Rate</t>
  </si>
  <si>
    <t>Loan Tenure</t>
  </si>
  <si>
    <t>Termination Year</t>
  </si>
  <si>
    <t>Total Revenue</t>
  </si>
  <si>
    <t>Credit Sales</t>
  </si>
  <si>
    <t>Cash Sales</t>
  </si>
  <si>
    <t>Cost of Sales</t>
  </si>
  <si>
    <t>Revenue</t>
  </si>
  <si>
    <t>Closing Inventory</t>
  </si>
  <si>
    <t>Total Purchases</t>
  </si>
  <si>
    <t>Credit Purchases</t>
  </si>
  <si>
    <t>Credit Purchase</t>
  </si>
  <si>
    <t>Cash Purchase</t>
  </si>
  <si>
    <t>Total Personnel Expenses</t>
  </si>
  <si>
    <t>Pre-incorporating Expense</t>
  </si>
  <si>
    <t>Total Other Operating Expenses</t>
  </si>
  <si>
    <t>Acquisition Vlaue</t>
  </si>
  <si>
    <t>Estimated Useful Life</t>
  </si>
  <si>
    <t>New Depreciation</t>
  </si>
  <si>
    <t>Total Depreciation FTY</t>
  </si>
  <si>
    <t>Non Current Asset Register</t>
  </si>
  <si>
    <t>Cost</t>
  </si>
  <si>
    <t>Opening Balance</t>
  </si>
  <si>
    <t>Acquisition Balance</t>
  </si>
  <si>
    <t>Closing Balance</t>
  </si>
  <si>
    <t>Depreciatin</t>
  </si>
  <si>
    <t>Depreciation FTY</t>
  </si>
  <si>
    <t>Net Book Value</t>
  </si>
  <si>
    <t>Closing Value</t>
  </si>
  <si>
    <t>Acquisitions</t>
  </si>
  <si>
    <t>Total</t>
  </si>
  <si>
    <t>Statement of Comprehensive Income</t>
  </si>
  <si>
    <t>Gross Profit</t>
  </si>
  <si>
    <t>Operating Expenses</t>
  </si>
  <si>
    <t>Profit Before Interest &amp; Tax</t>
  </si>
  <si>
    <t>Interest Expenses</t>
  </si>
  <si>
    <t>Profit Before Tax</t>
  </si>
  <si>
    <t>Tax Expense</t>
  </si>
  <si>
    <t>Profit After Tax</t>
  </si>
  <si>
    <t>Dividend Due</t>
  </si>
  <si>
    <t>Retained Earnings</t>
  </si>
  <si>
    <t>Cumulative Retained Earnings</t>
  </si>
  <si>
    <t>Statement of Financial Position</t>
  </si>
  <si>
    <t>Assets</t>
  </si>
  <si>
    <t>Non Curret Asset</t>
  </si>
  <si>
    <t>Current Asset</t>
  </si>
  <si>
    <t>Recievables(debtors)</t>
  </si>
  <si>
    <t>Cash</t>
  </si>
  <si>
    <t>Total Current Asset</t>
  </si>
  <si>
    <t>Total Assets</t>
  </si>
  <si>
    <t>Equity &amp; Liabilities</t>
  </si>
  <si>
    <t>Cumulative Retained Earning</t>
  </si>
  <si>
    <t>Total Equity</t>
  </si>
  <si>
    <t>Liabilities</t>
  </si>
  <si>
    <t>Non-current Liabilities</t>
  </si>
  <si>
    <t>Loan</t>
  </si>
  <si>
    <t>Total Non-current Liabilities</t>
  </si>
  <si>
    <t>Current Liabilities</t>
  </si>
  <si>
    <t>Dividend Payable</t>
  </si>
  <si>
    <t>Tax Payable</t>
  </si>
  <si>
    <t>Total Current Liabilities</t>
  </si>
  <si>
    <t>Total Liabilities</t>
  </si>
  <si>
    <t>Total Equity &amp; Liabilities</t>
  </si>
  <si>
    <t>CHECK</t>
  </si>
  <si>
    <t>Financing</t>
  </si>
  <si>
    <t>OPEX</t>
  </si>
  <si>
    <t>Loan Amortization Schedule</t>
  </si>
  <si>
    <t>Interest due</t>
  </si>
  <si>
    <t>Interest paid</t>
  </si>
  <si>
    <t>Terminal payment</t>
  </si>
  <si>
    <t>Share Capital</t>
  </si>
  <si>
    <t>Tax Rate</t>
  </si>
  <si>
    <t>Taxation</t>
  </si>
  <si>
    <t>Taxable?</t>
  </si>
  <si>
    <t>Tax Paid</t>
  </si>
  <si>
    <t>Dividend</t>
  </si>
  <si>
    <t>Dividend Payable?</t>
  </si>
  <si>
    <t>Dividend Paid</t>
  </si>
  <si>
    <t>Receivables</t>
  </si>
  <si>
    <t>End of year receivables</t>
  </si>
  <si>
    <t>Receivables (Debtors)</t>
  </si>
  <si>
    <t>Payables (Creditors)</t>
  </si>
  <si>
    <t>End of year payables</t>
  </si>
  <si>
    <t>Statement of Cashflow</t>
  </si>
  <si>
    <t>Operating Activities</t>
  </si>
  <si>
    <t>Add non-cash items</t>
  </si>
  <si>
    <t>Tax expense</t>
  </si>
  <si>
    <t>Payables</t>
  </si>
  <si>
    <t>Payables(Credit Purchase)</t>
  </si>
  <si>
    <t>Operating cashflow after WC changes</t>
  </si>
  <si>
    <t>Changes in Working Capital (WC)</t>
  </si>
  <si>
    <t>Tax paid</t>
  </si>
  <si>
    <t>Investing Activities</t>
  </si>
  <si>
    <t>Acquisition of Non-current Asset</t>
  </si>
  <si>
    <t>Csshflow from Investing Activties</t>
  </si>
  <si>
    <t>Financial Activities</t>
  </si>
  <si>
    <t>Share capital</t>
  </si>
  <si>
    <t>Dividend paid</t>
  </si>
  <si>
    <t>Principal Loan</t>
  </si>
  <si>
    <t>Interest Paid</t>
  </si>
  <si>
    <t>Terminal Payment</t>
  </si>
  <si>
    <t>Principal Loan amount</t>
  </si>
  <si>
    <t>Cashflow from Financing Activities</t>
  </si>
  <si>
    <t>Cashflow FTY</t>
  </si>
  <si>
    <t>Opening Cash Flow</t>
  </si>
  <si>
    <t>Closing Cashflow</t>
  </si>
  <si>
    <t>Best Case</t>
  </si>
  <si>
    <t>Base Case</t>
  </si>
  <si>
    <t>Worse Case</t>
  </si>
  <si>
    <t>Business Valuation</t>
  </si>
  <si>
    <t>Discounted Cash Flow Model</t>
  </si>
  <si>
    <t>Cashflow from operations</t>
  </si>
  <si>
    <t>Cashflow from Operating Activities</t>
  </si>
  <si>
    <t>Interest Expense</t>
  </si>
  <si>
    <t>Tax Savings on Interest</t>
  </si>
  <si>
    <t>FCFF</t>
  </si>
  <si>
    <t>Weighted Average Cost of Capital (WACC)</t>
  </si>
  <si>
    <t>Cost of Equity</t>
  </si>
  <si>
    <t>Weight of Equity</t>
  </si>
  <si>
    <t>Cost of debt</t>
  </si>
  <si>
    <t>After tax cost of debt</t>
  </si>
  <si>
    <t>Weight of debt</t>
  </si>
  <si>
    <t>Tax savings on debt</t>
  </si>
  <si>
    <t>WACC</t>
  </si>
  <si>
    <t>Discounting Factor</t>
  </si>
  <si>
    <t>PV</t>
  </si>
  <si>
    <t>Terminal Value</t>
  </si>
  <si>
    <t>Scenarios</t>
  </si>
  <si>
    <t>Longterm Growth Rate</t>
  </si>
  <si>
    <t>Longterm growth rate</t>
  </si>
  <si>
    <t>Business value</t>
  </si>
  <si>
    <t>Common Sized Analysis</t>
  </si>
  <si>
    <t>STATEMENT OF COMPREHENSIVE INCOME</t>
  </si>
  <si>
    <t>STATEMENT OF FINANCIAL POSITION</t>
  </si>
  <si>
    <t>STATEMENT OF CASHFLOW</t>
  </si>
  <si>
    <t>Ratio Analysis</t>
  </si>
  <si>
    <t>Current ratio</t>
  </si>
  <si>
    <t>Quick ratio</t>
  </si>
  <si>
    <t>Liquidity Ratio</t>
  </si>
  <si>
    <t>Coverage Ratio</t>
  </si>
  <si>
    <t>Interest coverage ratio</t>
  </si>
  <si>
    <t>Solvency Ratio</t>
  </si>
  <si>
    <t>Total debt ratio</t>
  </si>
  <si>
    <t>Profitability Ratio</t>
  </si>
  <si>
    <t>Gross Profit Margin</t>
  </si>
  <si>
    <t>Net profit margin</t>
  </si>
  <si>
    <t>Return on Total asset</t>
  </si>
  <si>
    <t>Return on equity</t>
  </si>
  <si>
    <t>Financial Statement Analysis</t>
  </si>
  <si>
    <t>Financial Dataset</t>
  </si>
  <si>
    <t>Year</t>
  </si>
  <si>
    <t>COS</t>
  </si>
  <si>
    <t>Gross profit</t>
  </si>
  <si>
    <t>Opex items</t>
  </si>
  <si>
    <t>ROE</t>
  </si>
  <si>
    <t>Personnel</t>
  </si>
  <si>
    <t>Other operating Expenses</t>
  </si>
  <si>
    <t>Profit after tax</t>
  </si>
  <si>
    <t>Gross profit Margin</t>
  </si>
  <si>
    <t>Pivot</t>
  </si>
  <si>
    <t>Row Labels</t>
  </si>
  <si>
    <t>Grand Total</t>
  </si>
  <si>
    <t>Sum of Revenue</t>
  </si>
  <si>
    <t>Sum of COS</t>
  </si>
  <si>
    <t>Sum of Gross profit</t>
  </si>
  <si>
    <t>Column Labels</t>
  </si>
  <si>
    <t>Sum of OPEX</t>
  </si>
  <si>
    <t>Average of Revenue</t>
  </si>
  <si>
    <t>Average of Gross profit</t>
  </si>
  <si>
    <t>Average of Profit after tax</t>
  </si>
  <si>
    <t>Sum of Gross profit Margin</t>
  </si>
  <si>
    <t>Sum of Net profit margin</t>
  </si>
  <si>
    <t>Sum of ROE</t>
  </si>
  <si>
    <t>Content</t>
  </si>
  <si>
    <t>Output Sheet</t>
  </si>
  <si>
    <t>Input Sheet</t>
  </si>
  <si>
    <t>Calculations Sheet</t>
  </si>
  <si>
    <t>Dashboard</t>
  </si>
  <si>
    <t>Financial statement</t>
  </si>
  <si>
    <t>Valuation</t>
  </si>
  <si>
    <t>Capex</t>
  </si>
  <si>
    <t>Analysis</t>
  </si>
  <si>
    <t>Dataset</t>
  </si>
  <si>
    <t>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</si>
</sst>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 #,##0.00_-;\-* #,##0.00_-;_-* &quot;-&quot;??_-;_-@_-"/>
    <numFmt numFmtId="165" formatCode="_-* #,##0_-;\-* #,##0_-;_-* &quot;-&quot;??_-;_-@_-"/>
    <numFmt numFmtId="166" formatCode="0\ &quot;Years&quot;"/>
    <numFmt numFmtId="167" formatCode="0\ &quot;months&quot;"/>
    <numFmt numFmtId="168" formatCode="&quot;year&quot;\ 0"/>
    <numFmt numFmtId="169" formatCode="_-* #,##0.000_-;\-* #,##0.000_-;_-* &quot;-&quot;??_-;_-@_-"/>
    <numFmt numFmtId="170" formatCode="0.00\ &quot;X&quot;"/>
    <numFmt numFmtId="171" formatCode="[$₦-466]\ #,##0"/>
  </numFmts>
  <fonts count="11" x14ac:knownFonts="1">
    <font>
      <sz val="10"/>
      <color theme="1"/>
      <name val="Century Gothic"/>
      <family val="2"/>
    </font>
    <font>
      <sz val="11"/>
      <color theme="1"/>
      <name val="Calibri"/>
      <family val="2"/>
      <scheme val="minor"/>
    </font>
    <font>
      <b/>
      <sz val="11"/>
      <color theme="0"/>
      <name val="Calibri"/>
      <family val="2"/>
      <scheme val="minor"/>
    </font>
    <font>
      <sz val="11"/>
      <color theme="0"/>
      <name val="Calibri"/>
      <family val="2"/>
      <scheme val="minor"/>
    </font>
    <font>
      <sz val="11"/>
      <color theme="0"/>
      <name val="Century Gothic"/>
      <family val="2"/>
    </font>
    <font>
      <i/>
      <sz val="8"/>
      <color theme="1"/>
      <name val="Century Gothic"/>
      <family val="2"/>
    </font>
    <font>
      <b/>
      <sz val="10"/>
      <color theme="1"/>
      <name val="Century Gothic"/>
      <family val="2"/>
    </font>
    <font>
      <b/>
      <sz val="11"/>
      <color theme="0"/>
      <name val="Century Gothic"/>
      <family val="2"/>
    </font>
    <font>
      <sz val="10"/>
      <color theme="1"/>
      <name val="Century Gothic"/>
      <family val="2"/>
    </font>
    <font>
      <sz val="11"/>
      <color theme="1"/>
      <name val="Century Gothic"/>
      <family val="2"/>
    </font>
    <font>
      <u/>
      <sz val="10"/>
      <color theme="10"/>
      <name val="Century Gothic"/>
      <family val="2"/>
    </font>
  </fonts>
  <fills count="12">
    <fill>
      <patternFill patternType="none"/>
    </fill>
    <fill>
      <patternFill patternType="gray125"/>
    </fill>
    <fill>
      <patternFill patternType="solid">
        <fgColor theme="9" tint="-0.249977111117893"/>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5"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auto="1"/>
      </top>
      <bottom style="double">
        <color auto="1"/>
      </bottom>
      <diagonal/>
    </border>
    <border>
      <left/>
      <right/>
      <top style="thin">
        <color auto="1"/>
      </top>
      <bottom/>
      <diagonal/>
    </border>
  </borders>
  <cellStyleXfs count="6">
    <xf numFmtId="0" fontId="0" fillId="0" borderId="0"/>
    <xf numFmtId="164" fontId="1" fillId="0" borderId="0" applyFont="0" applyFill="0" applyBorder="0" applyAlignment="0" applyProtection="0"/>
    <xf numFmtId="0" fontId="6" fillId="0" borderId="2" applyNumberFormat="0" applyFill="0" applyAlignment="0" applyProtection="0"/>
    <xf numFmtId="165" fontId="6" fillId="0" borderId="3"/>
    <xf numFmtId="9" fontId="8" fillId="0" borderId="0" applyFont="0" applyFill="0" applyBorder="0" applyAlignment="0" applyProtection="0"/>
    <xf numFmtId="0" fontId="10" fillId="0" borderId="0" applyNumberFormat="0" applyFill="0" applyBorder="0" applyAlignment="0" applyProtection="0"/>
  </cellStyleXfs>
  <cellXfs count="54">
    <xf numFmtId="0" fontId="0" fillId="0" borderId="0" xfId="0"/>
    <xf numFmtId="0" fontId="3" fillId="2" borderId="0" xfId="0" applyFont="1" applyFill="1"/>
    <xf numFmtId="0" fontId="4" fillId="2" borderId="0" xfId="0" applyFont="1" applyFill="1"/>
    <xf numFmtId="0" fontId="0" fillId="3" borderId="0" xfId="0" applyFill="1"/>
    <xf numFmtId="0" fontId="5" fillId="0" borderId="0" xfId="0" applyFont="1"/>
    <xf numFmtId="0" fontId="0" fillId="5" borderId="1" xfId="0" applyFill="1" applyBorder="1"/>
    <xf numFmtId="0" fontId="0" fillId="0" borderId="1" xfId="0" applyBorder="1"/>
    <xf numFmtId="9" fontId="0" fillId="5" borderId="1" xfId="0" applyNumberFormat="1" applyFill="1" applyBorder="1"/>
    <xf numFmtId="165" fontId="0" fillId="5" borderId="1" xfId="1" applyNumberFormat="1" applyFont="1" applyFill="1" applyBorder="1"/>
    <xf numFmtId="0" fontId="6" fillId="4" borderId="0" xfId="0" applyFont="1" applyFill="1"/>
    <xf numFmtId="0" fontId="7" fillId="2" borderId="0" xfId="0" applyFont="1" applyFill="1"/>
    <xf numFmtId="0" fontId="2" fillId="2" borderId="0" xfId="0" applyFont="1" applyFill="1"/>
    <xf numFmtId="165" fontId="0" fillId="0" borderId="1" xfId="1" applyNumberFormat="1" applyFont="1" applyFill="1" applyBorder="1"/>
    <xf numFmtId="0" fontId="6" fillId="0" borderId="0" xfId="0" applyFont="1"/>
    <xf numFmtId="9" fontId="0" fillId="0" borderId="1" xfId="0" applyNumberFormat="1" applyBorder="1"/>
    <xf numFmtId="166" fontId="0" fillId="5" borderId="1" xfId="0" applyNumberFormat="1" applyFill="1" applyBorder="1"/>
    <xf numFmtId="165" fontId="6" fillId="0" borderId="0" xfId="0" applyNumberFormat="1" applyFont="1"/>
    <xf numFmtId="165" fontId="0" fillId="0" borderId="0" xfId="1" applyNumberFormat="1" applyFont="1"/>
    <xf numFmtId="165" fontId="6" fillId="0" borderId="3" xfId="3"/>
    <xf numFmtId="165" fontId="6" fillId="0" borderId="2" xfId="2" applyNumberFormat="1"/>
    <xf numFmtId="166" fontId="0" fillId="0" borderId="1" xfId="0" applyNumberFormat="1" applyBorder="1"/>
    <xf numFmtId="43" fontId="0" fillId="0" borderId="0" xfId="0" applyNumberFormat="1"/>
    <xf numFmtId="165" fontId="0" fillId="0" borderId="1" xfId="1" applyNumberFormat="1" applyFont="1" applyBorder="1"/>
    <xf numFmtId="165" fontId="6" fillId="0" borderId="1" xfId="1" applyNumberFormat="1" applyFont="1" applyBorder="1"/>
    <xf numFmtId="165" fontId="6" fillId="0" borderId="0" xfId="1" applyNumberFormat="1" applyFont="1"/>
    <xf numFmtId="167" fontId="0" fillId="5" borderId="1" xfId="0" applyNumberFormat="1" applyFill="1" applyBorder="1"/>
    <xf numFmtId="165" fontId="0" fillId="0" borderId="0" xfId="1" applyNumberFormat="1" applyFont="1" applyFill="1"/>
    <xf numFmtId="0" fontId="0" fillId="0" borderId="0" xfId="0" applyAlignment="1">
      <alignment horizontal="left" indent="1"/>
    </xf>
    <xf numFmtId="0" fontId="0" fillId="0" borderId="0" xfId="0" applyAlignment="1">
      <alignment horizontal="left"/>
    </xf>
    <xf numFmtId="9" fontId="0" fillId="0" borderId="1" xfId="4" applyFont="1" applyBorder="1"/>
    <xf numFmtId="9" fontId="6" fillId="0" borderId="2" xfId="2" applyNumberFormat="1"/>
    <xf numFmtId="168" fontId="4" fillId="2" borderId="0" xfId="0" applyNumberFormat="1" applyFont="1" applyFill="1"/>
    <xf numFmtId="169" fontId="0" fillId="0" borderId="0" xfId="1" applyNumberFormat="1" applyFont="1"/>
    <xf numFmtId="9" fontId="0" fillId="0" borderId="0" xfId="0" applyNumberFormat="1"/>
    <xf numFmtId="9" fontId="0" fillId="0" borderId="0" xfId="4" applyFont="1" applyBorder="1"/>
    <xf numFmtId="9" fontId="0" fillId="0" borderId="0" xfId="4" applyFont="1"/>
    <xf numFmtId="9" fontId="6" fillId="0" borderId="3" xfId="4" applyFont="1" applyBorder="1"/>
    <xf numFmtId="9" fontId="6" fillId="0" borderId="2" xfId="4" applyFont="1" applyBorder="1"/>
    <xf numFmtId="170" fontId="0" fillId="0" borderId="0" xfId="0" applyNumberFormat="1"/>
    <xf numFmtId="0" fontId="9" fillId="0" borderId="0" xfId="0" applyFont="1"/>
    <xf numFmtId="0" fontId="0" fillId="0" borderId="0" xfId="0" pivotButton="1"/>
    <xf numFmtId="165" fontId="0" fillId="0" borderId="0" xfId="0" applyNumberFormat="1"/>
    <xf numFmtId="0" fontId="0" fillId="6" borderId="0" xfId="0" applyFill="1"/>
    <xf numFmtId="171" fontId="0" fillId="0" borderId="0" xfId="1" applyNumberFormat="1" applyFont="1"/>
    <xf numFmtId="0" fontId="0" fillId="7" borderId="0" xfId="0" applyFill="1"/>
    <xf numFmtId="0" fontId="0" fillId="8" borderId="0" xfId="0" applyFill="1"/>
    <xf numFmtId="0" fontId="6" fillId="8" borderId="0" xfId="0" applyFont="1" applyFill="1"/>
    <xf numFmtId="0" fontId="0" fillId="9" borderId="0" xfId="0" applyFill="1"/>
    <xf numFmtId="0" fontId="0" fillId="10" borderId="0" xfId="0" applyFill="1"/>
    <xf numFmtId="0" fontId="0" fillId="11" borderId="0" xfId="0" applyFill="1"/>
    <xf numFmtId="0" fontId="0" fillId="8" borderId="0" xfId="0" applyFill="1" applyAlignment="1">
      <alignment horizontal="left" indent="1"/>
    </xf>
    <xf numFmtId="0" fontId="10" fillId="8" borderId="0" xfId="5" applyFill="1" applyAlignment="1">
      <alignment horizontal="left" indent="1"/>
    </xf>
    <xf numFmtId="0" fontId="10" fillId="6" borderId="0" xfId="5" applyFill="1"/>
    <xf numFmtId="0" fontId="10" fillId="8" borderId="0" xfId="5" applyFill="1"/>
  </cellXfs>
  <cellStyles count="6">
    <cellStyle name="Comma" xfId="1" builtinId="3"/>
    <cellStyle name="Hyperlink" xfId="5" builtinId="8"/>
    <cellStyle name="Normal" xfId="0" builtinId="0" customBuiltin="1"/>
    <cellStyle name="Percent" xfId="4" builtinId="5"/>
    <cellStyle name="SubTotal" xfId="3" xr:uid="{CD290409-E7E7-4A3E-B2A2-D41AACE0861F}"/>
    <cellStyle name="Total" xfId="2" builtinId="25" customBuiltin="1"/>
  </cellStyles>
  <dxfs count="10">
    <dxf>
      <numFmt numFmtId="165" formatCode="_-* #,##0_-;\-* #,##0_-;_-* &quot;-&quot;??_-;_-@_-"/>
    </dxf>
    <dxf>
      <numFmt numFmtId="165" formatCode="_-* #,##0_-;\-* #,##0_-;_-* &quot;-&quot;??_-;_-@_-"/>
    </dxf>
    <dxf>
      <numFmt numFmtId="13" formatCode="0%"/>
    </dxf>
    <dxf>
      <numFmt numFmtId="165" formatCode="_-* #,##0_-;\-* #,##0_-;_-* &quot;-&quot;??_-;_-@_-"/>
    </dxf>
    <dxf>
      <numFmt numFmtId="165" formatCode="_-* #,##0_-;\-* #,##0_-;_-* &quot;-&quot;??_-;_-@_-"/>
    </dxf>
    <dxf>
      <numFmt numFmtId="165" formatCode="_-* #,##0_-;\-* #,##0_-;_-* &quot;-&quot;??_-;_-@_-"/>
    </dxf>
    <dxf>
      <numFmt numFmtId="165" formatCode="_-* #,##0_-;\-* #,##0_-;_-* &quot;-&quot;??_-;_-@_-"/>
    </dxf>
    <dxf>
      <font>
        <b val="0"/>
        <i val="0"/>
        <strike val="0"/>
        <condense val="0"/>
        <extend val="0"/>
        <outline val="0"/>
        <shadow val="0"/>
        <u val="none"/>
        <vertAlign val="baseline"/>
        <sz val="10"/>
        <color theme="1"/>
        <name val="Century Gothic"/>
        <family val="2"/>
        <scheme val="none"/>
      </font>
      <numFmt numFmtId="165" formatCode="_-* #,##0_-;\-* #,##0_-;_-* &quot;-&quot;??_-;_-@_-"/>
    </dxf>
    <dxf>
      <font>
        <b val="0"/>
        <i val="0"/>
        <strike val="0"/>
        <condense val="0"/>
        <extend val="0"/>
        <outline val="0"/>
        <shadow val="0"/>
        <u val="none"/>
        <vertAlign val="baseline"/>
        <sz val="10"/>
        <color theme="1"/>
        <name val="Century Gothic"/>
        <family val="2"/>
        <scheme val="none"/>
      </font>
      <numFmt numFmtId="165" formatCode="_-* #,##0_-;\-* #,##0_-;_-* &quot;-&quot;??_-;_-@_-"/>
    </dxf>
    <dxf>
      <font>
        <b val="0"/>
        <i val="0"/>
        <strike val="0"/>
        <condense val="0"/>
        <extend val="0"/>
        <outline val="0"/>
        <shadow val="0"/>
        <u val="none"/>
        <vertAlign val="baseline"/>
        <sz val="11"/>
        <color theme="1"/>
        <name val="Century Gothic"/>
        <family val="2"/>
        <scheme val="none"/>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 foot financial Model_Hafsat Itanola.xlsx]Pivot!PivotTable1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86725270734609"/>
          <c:y val="3.7395335141792663E-2"/>
          <c:w val="0.79311351215863357"/>
          <c:h val="0.72459779359172549"/>
        </c:manualLayout>
      </c:layout>
      <c:barChart>
        <c:barDir val="col"/>
        <c:grouping val="clustered"/>
        <c:varyColors val="0"/>
        <c:ser>
          <c:idx val="0"/>
          <c:order val="0"/>
          <c:tx>
            <c:strRef>
              <c:f>Pivot!$C$7</c:f>
              <c:strCache>
                <c:ptCount val="1"/>
                <c:pt idx="0">
                  <c:v>Sum of Revenue</c:v>
                </c:pt>
              </c:strCache>
            </c:strRef>
          </c:tx>
          <c:spPr>
            <a:solidFill>
              <a:schemeClr val="accent1"/>
            </a:solidFill>
            <a:ln>
              <a:noFill/>
            </a:ln>
            <a:effectLst/>
          </c:spPr>
          <c:invertIfNegative val="0"/>
          <c:cat>
            <c:strRef>
              <c:f>Pivot!$B$8:$B$13</c:f>
              <c:strCache>
                <c:ptCount val="5"/>
                <c:pt idx="0">
                  <c:v>2024</c:v>
                </c:pt>
                <c:pt idx="1">
                  <c:v>2025</c:v>
                </c:pt>
                <c:pt idx="2">
                  <c:v>2026</c:v>
                </c:pt>
                <c:pt idx="3">
                  <c:v>2027</c:v>
                </c:pt>
                <c:pt idx="4">
                  <c:v>2028</c:v>
                </c:pt>
              </c:strCache>
            </c:strRef>
          </c:cat>
          <c:val>
            <c:numRef>
              <c:f>Pivot!$C$8:$C$13</c:f>
              <c:numCache>
                <c:formatCode>_-* #,##0_-;\-* #,##0_-;_-* "-"??_-;_-@_-</c:formatCode>
                <c:ptCount val="5"/>
                <c:pt idx="0">
                  <c:v>163200000</c:v>
                </c:pt>
                <c:pt idx="1">
                  <c:v>163200000</c:v>
                </c:pt>
                <c:pt idx="2">
                  <c:v>228000000</c:v>
                </c:pt>
                <c:pt idx="3">
                  <c:v>351000000</c:v>
                </c:pt>
                <c:pt idx="4">
                  <c:v>378000000</c:v>
                </c:pt>
              </c:numCache>
            </c:numRef>
          </c:val>
          <c:extLst>
            <c:ext xmlns:c16="http://schemas.microsoft.com/office/drawing/2014/chart" uri="{C3380CC4-5D6E-409C-BE32-E72D297353CC}">
              <c16:uniqueId val="{00000000-9EBA-4092-A7C6-3985ED86F891}"/>
            </c:ext>
          </c:extLst>
        </c:ser>
        <c:ser>
          <c:idx val="1"/>
          <c:order val="1"/>
          <c:tx>
            <c:strRef>
              <c:f>Pivot!$D$7</c:f>
              <c:strCache>
                <c:ptCount val="1"/>
                <c:pt idx="0">
                  <c:v>Sum of Gross profit</c:v>
                </c:pt>
              </c:strCache>
            </c:strRef>
          </c:tx>
          <c:spPr>
            <a:solidFill>
              <a:schemeClr val="accent2"/>
            </a:solidFill>
            <a:ln>
              <a:noFill/>
            </a:ln>
            <a:effectLst/>
          </c:spPr>
          <c:invertIfNegative val="0"/>
          <c:cat>
            <c:strRef>
              <c:f>Pivot!$B$8:$B$13</c:f>
              <c:strCache>
                <c:ptCount val="5"/>
                <c:pt idx="0">
                  <c:v>2024</c:v>
                </c:pt>
                <c:pt idx="1">
                  <c:v>2025</c:v>
                </c:pt>
                <c:pt idx="2">
                  <c:v>2026</c:v>
                </c:pt>
                <c:pt idx="3">
                  <c:v>2027</c:v>
                </c:pt>
                <c:pt idx="4">
                  <c:v>2028</c:v>
                </c:pt>
              </c:strCache>
            </c:strRef>
          </c:cat>
          <c:val>
            <c:numRef>
              <c:f>Pivot!$D$8:$D$13</c:f>
              <c:numCache>
                <c:formatCode>_-* #,##0_-;\-* #,##0_-;_-* "-"??_-;_-@_-</c:formatCode>
                <c:ptCount val="5"/>
                <c:pt idx="0">
                  <c:v>90240000</c:v>
                </c:pt>
                <c:pt idx="1">
                  <c:v>90240000</c:v>
                </c:pt>
                <c:pt idx="2">
                  <c:v>130800000</c:v>
                </c:pt>
                <c:pt idx="3">
                  <c:v>209700000</c:v>
                </c:pt>
                <c:pt idx="4">
                  <c:v>222600000</c:v>
                </c:pt>
              </c:numCache>
            </c:numRef>
          </c:val>
          <c:extLst>
            <c:ext xmlns:c16="http://schemas.microsoft.com/office/drawing/2014/chart" uri="{C3380CC4-5D6E-409C-BE32-E72D297353CC}">
              <c16:uniqueId val="{00000001-9EBA-4092-A7C6-3985ED86F891}"/>
            </c:ext>
          </c:extLst>
        </c:ser>
        <c:ser>
          <c:idx val="2"/>
          <c:order val="2"/>
          <c:tx>
            <c:strRef>
              <c:f>Pivot!$E$7</c:f>
              <c:strCache>
                <c:ptCount val="1"/>
                <c:pt idx="0">
                  <c:v>Sum of COS</c:v>
                </c:pt>
              </c:strCache>
            </c:strRef>
          </c:tx>
          <c:spPr>
            <a:solidFill>
              <a:schemeClr val="accent3"/>
            </a:solidFill>
            <a:ln>
              <a:noFill/>
            </a:ln>
            <a:effectLst/>
          </c:spPr>
          <c:invertIfNegative val="0"/>
          <c:cat>
            <c:strRef>
              <c:f>Pivot!$B$8:$B$13</c:f>
              <c:strCache>
                <c:ptCount val="5"/>
                <c:pt idx="0">
                  <c:v>2024</c:v>
                </c:pt>
                <c:pt idx="1">
                  <c:v>2025</c:v>
                </c:pt>
                <c:pt idx="2">
                  <c:v>2026</c:v>
                </c:pt>
                <c:pt idx="3">
                  <c:v>2027</c:v>
                </c:pt>
                <c:pt idx="4">
                  <c:v>2028</c:v>
                </c:pt>
              </c:strCache>
            </c:strRef>
          </c:cat>
          <c:val>
            <c:numRef>
              <c:f>Pivot!$E$8:$E$13</c:f>
              <c:numCache>
                <c:formatCode>_-* #,##0_-;\-* #,##0_-;_-* "-"??_-;_-@_-</c:formatCode>
                <c:ptCount val="5"/>
                <c:pt idx="0">
                  <c:v>72960000</c:v>
                </c:pt>
                <c:pt idx="1">
                  <c:v>72960000</c:v>
                </c:pt>
                <c:pt idx="2">
                  <c:v>97200000</c:v>
                </c:pt>
                <c:pt idx="3">
                  <c:v>141300000</c:v>
                </c:pt>
                <c:pt idx="4">
                  <c:v>155400000</c:v>
                </c:pt>
              </c:numCache>
            </c:numRef>
          </c:val>
          <c:extLst>
            <c:ext xmlns:c16="http://schemas.microsoft.com/office/drawing/2014/chart" uri="{C3380CC4-5D6E-409C-BE32-E72D297353CC}">
              <c16:uniqueId val="{00000002-9EBA-4092-A7C6-3985ED86F891}"/>
            </c:ext>
          </c:extLst>
        </c:ser>
        <c:dLbls>
          <c:showLegendKey val="0"/>
          <c:showVal val="0"/>
          <c:showCatName val="0"/>
          <c:showSerName val="0"/>
          <c:showPercent val="0"/>
          <c:showBubbleSize val="0"/>
        </c:dLbls>
        <c:gapWidth val="219"/>
        <c:overlap val="-27"/>
        <c:axId val="298632592"/>
        <c:axId val="298633072"/>
      </c:barChart>
      <c:catAx>
        <c:axId val="298632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298633072"/>
        <c:crosses val="autoZero"/>
        <c:auto val="1"/>
        <c:lblAlgn val="ctr"/>
        <c:lblOffset val="100"/>
        <c:noMultiLvlLbl val="0"/>
      </c:catAx>
      <c:valAx>
        <c:axId val="298633072"/>
        <c:scaling>
          <c:orientation val="minMax"/>
        </c:scaling>
        <c:delete val="0"/>
        <c:axPos val="l"/>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298632592"/>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layout>
        <c:manualLayout>
          <c:xMode val="edge"/>
          <c:yMode val="edge"/>
          <c:x val="8.3293942689326717E-2"/>
          <c:y val="0.89078823041856614"/>
          <c:w val="0.87284182033129587"/>
          <c:h val="0.102634065478657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 foot financial Model_Hafsat Itanola.xlsx]Pivot!PivotTable2</c:name>
    <c:fmtId val="3"/>
  </c:pivotSource>
  <c:chart>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0.12987859939653565"/>
          <c:y val="3.6134837854523198E-2"/>
          <c:w val="0.80705878080020022"/>
          <c:h val="0.6570922157112653"/>
        </c:manualLayout>
      </c:layout>
      <c:barChart>
        <c:barDir val="col"/>
        <c:grouping val="stacked"/>
        <c:varyColors val="0"/>
        <c:ser>
          <c:idx val="0"/>
          <c:order val="0"/>
          <c:tx>
            <c:strRef>
              <c:f>Pivot!$C$16:$C$17</c:f>
              <c:strCache>
                <c:ptCount val="1"/>
                <c:pt idx="0">
                  <c:v>Depreciation</c:v>
                </c:pt>
              </c:strCache>
            </c:strRef>
          </c:tx>
          <c:spPr>
            <a:solidFill>
              <a:schemeClr val="accent1"/>
            </a:solidFill>
            <a:ln>
              <a:noFill/>
            </a:ln>
            <a:effectLst/>
          </c:spPr>
          <c:invertIfNegative val="0"/>
          <c:cat>
            <c:strRef>
              <c:f>Pivot!$B$18:$B$23</c:f>
              <c:strCache>
                <c:ptCount val="5"/>
                <c:pt idx="0">
                  <c:v>2024</c:v>
                </c:pt>
                <c:pt idx="1">
                  <c:v>2025</c:v>
                </c:pt>
                <c:pt idx="2">
                  <c:v>2026</c:v>
                </c:pt>
                <c:pt idx="3">
                  <c:v>2027</c:v>
                </c:pt>
                <c:pt idx="4">
                  <c:v>2028</c:v>
                </c:pt>
              </c:strCache>
            </c:strRef>
          </c:cat>
          <c:val>
            <c:numRef>
              <c:f>Pivot!$C$18:$C$23</c:f>
              <c:numCache>
                <c:formatCode>_-* #,##0_-;\-* #,##0_-;_-* "-"??_-;_-@_-</c:formatCode>
                <c:ptCount val="5"/>
                <c:pt idx="0">
                  <c:v>4108333.3333333335</c:v>
                </c:pt>
                <c:pt idx="1">
                  <c:v>5288333.333333334</c:v>
                </c:pt>
                <c:pt idx="2">
                  <c:v>5288333.333333334</c:v>
                </c:pt>
                <c:pt idx="3">
                  <c:v>9774575.3333333321</c:v>
                </c:pt>
                <c:pt idx="4">
                  <c:v>10220174.629333332</c:v>
                </c:pt>
              </c:numCache>
            </c:numRef>
          </c:val>
          <c:extLst>
            <c:ext xmlns:c16="http://schemas.microsoft.com/office/drawing/2014/chart" uri="{C3380CC4-5D6E-409C-BE32-E72D297353CC}">
              <c16:uniqueId val="{00000000-2B25-4E60-B6BC-C56F96FE7B02}"/>
            </c:ext>
          </c:extLst>
        </c:ser>
        <c:ser>
          <c:idx val="1"/>
          <c:order val="1"/>
          <c:tx>
            <c:strRef>
              <c:f>Pivot!$D$16:$D$17</c:f>
              <c:strCache>
                <c:ptCount val="1"/>
                <c:pt idx="0">
                  <c:v>Other operating Expenses</c:v>
                </c:pt>
              </c:strCache>
            </c:strRef>
          </c:tx>
          <c:spPr>
            <a:solidFill>
              <a:schemeClr val="accent2"/>
            </a:solidFill>
            <a:ln>
              <a:noFill/>
            </a:ln>
            <a:effectLst/>
          </c:spPr>
          <c:invertIfNegative val="0"/>
          <c:cat>
            <c:strRef>
              <c:f>Pivot!$B$18:$B$23</c:f>
              <c:strCache>
                <c:ptCount val="5"/>
                <c:pt idx="0">
                  <c:v>2024</c:v>
                </c:pt>
                <c:pt idx="1">
                  <c:v>2025</c:v>
                </c:pt>
                <c:pt idx="2">
                  <c:v>2026</c:v>
                </c:pt>
                <c:pt idx="3">
                  <c:v>2027</c:v>
                </c:pt>
                <c:pt idx="4">
                  <c:v>2028</c:v>
                </c:pt>
              </c:strCache>
            </c:strRef>
          </c:cat>
          <c:val>
            <c:numRef>
              <c:f>Pivot!$D$18:$D$23</c:f>
              <c:numCache>
                <c:formatCode>_-* #,##0_-;\-* #,##0_-;_-* "-"??_-;_-@_-</c:formatCode>
                <c:ptCount val="5"/>
                <c:pt idx="0">
                  <c:v>42540000</c:v>
                </c:pt>
                <c:pt idx="1">
                  <c:v>37400800</c:v>
                </c:pt>
                <c:pt idx="2">
                  <c:v>48548128</c:v>
                </c:pt>
                <c:pt idx="3">
                  <c:v>68446865.920000002</c:v>
                </c:pt>
                <c:pt idx="4">
                  <c:v>73912489.83040002</c:v>
                </c:pt>
              </c:numCache>
            </c:numRef>
          </c:val>
          <c:extLst>
            <c:ext xmlns:c16="http://schemas.microsoft.com/office/drawing/2014/chart" uri="{C3380CC4-5D6E-409C-BE32-E72D297353CC}">
              <c16:uniqueId val="{00000001-2B25-4E60-B6BC-C56F96FE7B02}"/>
            </c:ext>
          </c:extLst>
        </c:ser>
        <c:ser>
          <c:idx val="2"/>
          <c:order val="2"/>
          <c:tx>
            <c:strRef>
              <c:f>Pivot!$E$16:$E$17</c:f>
              <c:strCache>
                <c:ptCount val="1"/>
                <c:pt idx="0">
                  <c:v>Personnel</c:v>
                </c:pt>
              </c:strCache>
            </c:strRef>
          </c:tx>
          <c:spPr>
            <a:solidFill>
              <a:schemeClr val="accent3"/>
            </a:solidFill>
            <a:ln>
              <a:noFill/>
            </a:ln>
            <a:effectLst/>
          </c:spPr>
          <c:invertIfNegative val="0"/>
          <c:cat>
            <c:strRef>
              <c:f>Pivot!$B$18:$B$23</c:f>
              <c:strCache>
                <c:ptCount val="5"/>
                <c:pt idx="0">
                  <c:v>2024</c:v>
                </c:pt>
                <c:pt idx="1">
                  <c:v>2025</c:v>
                </c:pt>
                <c:pt idx="2">
                  <c:v>2026</c:v>
                </c:pt>
                <c:pt idx="3">
                  <c:v>2027</c:v>
                </c:pt>
                <c:pt idx="4">
                  <c:v>2028</c:v>
                </c:pt>
              </c:strCache>
            </c:strRef>
          </c:cat>
          <c:val>
            <c:numRef>
              <c:f>Pivot!$E$18:$E$23</c:f>
              <c:numCache>
                <c:formatCode>_-* #,##0_-;\-* #,##0_-;_-* "-"??_-;_-@_-</c:formatCode>
                <c:ptCount val="5"/>
                <c:pt idx="0">
                  <c:v>42366000</c:v>
                </c:pt>
                <c:pt idx="1">
                  <c:v>45126000</c:v>
                </c:pt>
                <c:pt idx="2">
                  <c:v>53682000</c:v>
                </c:pt>
                <c:pt idx="3">
                  <c:v>72450000</c:v>
                </c:pt>
                <c:pt idx="4">
                  <c:v>75210000</c:v>
                </c:pt>
              </c:numCache>
            </c:numRef>
          </c:val>
          <c:extLst>
            <c:ext xmlns:c16="http://schemas.microsoft.com/office/drawing/2014/chart" uri="{C3380CC4-5D6E-409C-BE32-E72D297353CC}">
              <c16:uniqueId val="{00000002-2B25-4E60-B6BC-C56F96FE7B02}"/>
            </c:ext>
          </c:extLst>
        </c:ser>
        <c:dLbls>
          <c:showLegendKey val="0"/>
          <c:showVal val="0"/>
          <c:showCatName val="0"/>
          <c:showSerName val="0"/>
          <c:showPercent val="0"/>
          <c:showBubbleSize val="0"/>
        </c:dLbls>
        <c:gapWidth val="150"/>
        <c:overlap val="100"/>
        <c:axId val="302837824"/>
        <c:axId val="302838304"/>
      </c:barChart>
      <c:catAx>
        <c:axId val="30283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302838304"/>
        <c:crosses val="autoZero"/>
        <c:auto val="1"/>
        <c:lblAlgn val="ctr"/>
        <c:lblOffset val="100"/>
        <c:noMultiLvlLbl val="0"/>
      </c:catAx>
      <c:valAx>
        <c:axId val="302838304"/>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302837824"/>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layout>
        <c:manualLayout>
          <c:xMode val="edge"/>
          <c:yMode val="edge"/>
          <c:x val="0"/>
          <c:y val="0.8252086181535"/>
          <c:w val="1"/>
          <c:h val="0.17479138184649995"/>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 foot financial Model_Hafsat Itanola.xlsx]Pivot!PivotTable3</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entury Gothic" panose="020B05020202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manualLayout>
          <c:layoutTarget val="inner"/>
          <c:xMode val="edge"/>
          <c:yMode val="edge"/>
          <c:x val="1.8831981537963845E-2"/>
          <c:y val="9.8139317512119392E-2"/>
          <c:w val="0.59924385406215241"/>
          <c:h val="0.84683571949105363"/>
        </c:manualLayout>
      </c:layout>
      <c:pieChart>
        <c:varyColors val="1"/>
        <c:ser>
          <c:idx val="0"/>
          <c:order val="0"/>
          <c:tx>
            <c:strRef>
              <c:f>Pivot!$C$25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D20-43A2-843E-4EA23A3546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D20-43A2-843E-4EA23A3546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D20-43A2-843E-4EA23A35462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D20-43A2-843E-4EA23A3546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entury Gothic" panose="020B0502020202020204" pitchFamily="34" charset="0"/>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Pivot!$B$26:$B$29</c:f>
              <c:strCache>
                <c:ptCount val="3"/>
                <c:pt idx="0">
                  <c:v>Depreciation</c:v>
                </c:pt>
                <c:pt idx="1">
                  <c:v>Other operating Expenses</c:v>
                </c:pt>
                <c:pt idx="2">
                  <c:v>Personnel</c:v>
                </c:pt>
              </c:strCache>
            </c:strRef>
          </c:cat>
          <c:val>
            <c:numRef>
              <c:f>Pivot!$C$26:$C$29</c:f>
              <c:numCache>
                <c:formatCode>_-* #,##0_-;\-* #,##0_-;_-* "-"??_-;_-@_-</c:formatCode>
                <c:ptCount val="3"/>
                <c:pt idx="0">
                  <c:v>34679749.962666668</c:v>
                </c:pt>
                <c:pt idx="1">
                  <c:v>270848283.75040001</c:v>
                </c:pt>
                <c:pt idx="2">
                  <c:v>288834000</c:v>
                </c:pt>
              </c:numCache>
            </c:numRef>
          </c:val>
          <c:extLst>
            <c:ext xmlns:c16="http://schemas.microsoft.com/office/drawing/2014/chart" uri="{C3380CC4-5D6E-409C-BE32-E72D297353CC}">
              <c16:uniqueId val="{00000008-CD20-43A2-843E-4EA23A35462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2673832289825782"/>
          <c:y val="0.13281875913763372"/>
          <c:w val="0.37326167710174218"/>
          <c:h val="0.792494240178882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[Safe foot financial Model_Hafsat Itanola.xlsx]Pivot!PivotTable5</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3"/>
            </a:solidFill>
            <a:round/>
          </a:ln>
          <a:effectLst/>
        </c:spPr>
        <c:marker>
          <c:symbol val="none"/>
        </c:marker>
        <c:dLbl>
          <c:idx val="0"/>
          <c:layout>
            <c:manualLayout>
              <c:x val="-7.1756522267681075E-2"/>
              <c:y val="0.128183485529635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3"/>
            </a:solidFill>
            <a:round/>
          </a:ln>
          <a:effectLst/>
        </c:spPr>
        <c:marker>
          <c:symbol val="none"/>
        </c:marker>
        <c:dLbl>
          <c:idx val="0"/>
          <c:layout>
            <c:manualLayout>
              <c:x val="-7.6351497719187533E-2"/>
              <c:y val="0.135023776109438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726350475554046E-2"/>
          <c:y val="0.10364443777810006"/>
          <c:w val="0.71142619403446128"/>
          <c:h val="0.85368372815799531"/>
        </c:manualLayout>
      </c:layout>
      <c:lineChart>
        <c:grouping val="standard"/>
        <c:varyColors val="0"/>
        <c:ser>
          <c:idx val="0"/>
          <c:order val="0"/>
          <c:tx>
            <c:strRef>
              <c:f>Pivot!$C$42</c:f>
              <c:strCache>
                <c:ptCount val="1"/>
                <c:pt idx="0">
                  <c:v>Sum of Gross profit Margin</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Pivot!$B$43:$B$48</c:f>
              <c:strCache>
                <c:ptCount val="5"/>
                <c:pt idx="0">
                  <c:v>2024</c:v>
                </c:pt>
                <c:pt idx="1">
                  <c:v>2025</c:v>
                </c:pt>
                <c:pt idx="2">
                  <c:v>2026</c:v>
                </c:pt>
                <c:pt idx="3">
                  <c:v>2027</c:v>
                </c:pt>
                <c:pt idx="4">
                  <c:v>2028</c:v>
                </c:pt>
              </c:strCache>
            </c:strRef>
          </c:cat>
          <c:val>
            <c:numRef>
              <c:f>Pivot!$C$43:$C$48</c:f>
              <c:numCache>
                <c:formatCode>0%</c:formatCode>
                <c:ptCount val="5"/>
                <c:pt idx="0">
                  <c:v>0.55294117647058827</c:v>
                </c:pt>
                <c:pt idx="1">
                  <c:v>0.55294117647058827</c:v>
                </c:pt>
                <c:pt idx="2">
                  <c:v>0.5736842105263158</c:v>
                </c:pt>
                <c:pt idx="3">
                  <c:v>0.59743589743589742</c:v>
                </c:pt>
                <c:pt idx="4">
                  <c:v>0.58888888888888891</c:v>
                </c:pt>
              </c:numCache>
            </c:numRef>
          </c:val>
          <c:smooth val="0"/>
          <c:extLst>
            <c:ext xmlns:c16="http://schemas.microsoft.com/office/drawing/2014/chart" uri="{C3380CC4-5D6E-409C-BE32-E72D297353CC}">
              <c16:uniqueId val="{00000000-D6EC-4D06-95B2-D873B20A0950}"/>
            </c:ext>
          </c:extLst>
        </c:ser>
        <c:ser>
          <c:idx val="1"/>
          <c:order val="1"/>
          <c:tx>
            <c:strRef>
              <c:f>Pivot!$D$42</c:f>
              <c:strCache>
                <c:ptCount val="1"/>
                <c:pt idx="0">
                  <c:v>Sum of Net profit margin</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Pivot!$B$43:$B$48</c:f>
              <c:strCache>
                <c:ptCount val="5"/>
                <c:pt idx="0">
                  <c:v>2024</c:v>
                </c:pt>
                <c:pt idx="1">
                  <c:v>2025</c:v>
                </c:pt>
                <c:pt idx="2">
                  <c:v>2026</c:v>
                </c:pt>
                <c:pt idx="3">
                  <c:v>2027</c:v>
                </c:pt>
                <c:pt idx="4">
                  <c:v>2028</c:v>
                </c:pt>
              </c:strCache>
            </c:strRef>
          </c:cat>
          <c:val>
            <c:numRef>
              <c:f>Pivot!$D$43:$D$48</c:f>
              <c:numCache>
                <c:formatCode>0%</c:formatCode>
                <c:ptCount val="5"/>
                <c:pt idx="0">
                  <c:v>-1.0506745302287646E-2</c:v>
                </c:pt>
                <c:pt idx="1">
                  <c:v>-2.257858200571959E-3</c:v>
                </c:pt>
                <c:pt idx="2">
                  <c:v>6.1521678765716341E-2</c:v>
                </c:pt>
                <c:pt idx="3">
                  <c:v>0.11435732178841405</c:v>
                </c:pt>
                <c:pt idx="4">
                  <c:v>0.11379626499307224</c:v>
                </c:pt>
              </c:numCache>
            </c:numRef>
          </c:val>
          <c:smooth val="0"/>
          <c:extLst>
            <c:ext xmlns:c16="http://schemas.microsoft.com/office/drawing/2014/chart" uri="{C3380CC4-5D6E-409C-BE32-E72D297353CC}">
              <c16:uniqueId val="{00000001-D6EC-4D06-95B2-D873B20A0950}"/>
            </c:ext>
          </c:extLst>
        </c:ser>
        <c:ser>
          <c:idx val="2"/>
          <c:order val="2"/>
          <c:tx>
            <c:strRef>
              <c:f>Pivot!$E$42</c:f>
              <c:strCache>
                <c:ptCount val="1"/>
                <c:pt idx="0">
                  <c:v>Sum of ROE</c:v>
                </c:pt>
              </c:strCache>
            </c:strRef>
          </c:tx>
          <c:spPr>
            <a:ln w="28575" cap="rnd">
              <a:solidFill>
                <a:schemeClr val="accent3"/>
              </a:solidFill>
              <a:round/>
            </a:ln>
            <a:effectLst/>
          </c:spPr>
          <c:marker>
            <c:symbol val="none"/>
          </c:marker>
          <c:dPt>
            <c:idx val="0"/>
            <c:marker>
              <c:symbol val="none"/>
            </c:marker>
            <c:bubble3D val="0"/>
            <c:spPr>
              <a:ln w="28575" cap="rnd">
                <a:solidFill>
                  <a:schemeClr val="accent3"/>
                </a:solidFill>
                <a:round/>
              </a:ln>
              <a:effectLst/>
            </c:spPr>
            <c:extLst>
              <c:ext xmlns:c16="http://schemas.microsoft.com/office/drawing/2014/chart" uri="{C3380CC4-5D6E-409C-BE32-E72D297353CC}">
                <c16:uniqueId val="{00000004-D6EC-4D06-95B2-D873B20A0950}"/>
              </c:ext>
            </c:extLst>
          </c:dPt>
          <c:dPt>
            <c:idx val="1"/>
            <c:marker>
              <c:symbol val="none"/>
            </c:marker>
            <c:bubble3D val="0"/>
            <c:spPr>
              <a:ln w="28575" cap="rnd">
                <a:solidFill>
                  <a:schemeClr val="accent3"/>
                </a:solidFill>
                <a:round/>
              </a:ln>
              <a:effectLst/>
            </c:spPr>
            <c:extLst>
              <c:ext xmlns:c16="http://schemas.microsoft.com/office/drawing/2014/chart" uri="{C3380CC4-5D6E-409C-BE32-E72D297353CC}">
                <c16:uniqueId val="{00000003-D6EC-4D06-95B2-D873B20A0950}"/>
              </c:ext>
            </c:extLst>
          </c:dPt>
          <c:dLbls>
            <c:dLbl>
              <c:idx val="0"/>
              <c:layout>
                <c:manualLayout>
                  <c:x val="-7.6351497719187533E-2"/>
                  <c:y val="0.1350237761094383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6EC-4D06-95B2-D873B20A0950}"/>
                </c:ext>
              </c:extLst>
            </c:dLbl>
            <c:dLbl>
              <c:idx val="1"/>
              <c:layout>
                <c:manualLayout>
                  <c:x val="-7.1756522267681075E-2"/>
                  <c:y val="0.1281834855296356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6EC-4D06-95B2-D873B20A095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Pivot!$B$43:$B$48</c:f>
              <c:strCache>
                <c:ptCount val="5"/>
                <c:pt idx="0">
                  <c:v>2024</c:v>
                </c:pt>
                <c:pt idx="1">
                  <c:v>2025</c:v>
                </c:pt>
                <c:pt idx="2">
                  <c:v>2026</c:v>
                </c:pt>
                <c:pt idx="3">
                  <c:v>2027</c:v>
                </c:pt>
                <c:pt idx="4">
                  <c:v>2028</c:v>
                </c:pt>
              </c:strCache>
            </c:strRef>
          </c:cat>
          <c:val>
            <c:numRef>
              <c:f>Pivot!$E$43:$E$48</c:f>
              <c:numCache>
                <c:formatCode>0%</c:formatCode>
                <c:ptCount val="5"/>
                <c:pt idx="0">
                  <c:v>-3.7488772358265941E-2</c:v>
                </c:pt>
                <c:pt idx="1">
                  <c:v>-8.0561895870890129E-3</c:v>
                </c:pt>
                <c:pt idx="2">
                  <c:v>0.30667324219858799</c:v>
                </c:pt>
                <c:pt idx="3">
                  <c:v>0.87757441284270954</c:v>
                </c:pt>
                <c:pt idx="4">
                  <c:v>0.9404434103327749</c:v>
                </c:pt>
              </c:numCache>
            </c:numRef>
          </c:val>
          <c:smooth val="0"/>
          <c:extLst>
            <c:ext xmlns:c16="http://schemas.microsoft.com/office/drawing/2014/chart" uri="{C3380CC4-5D6E-409C-BE32-E72D297353CC}">
              <c16:uniqueId val="{00000002-D6EC-4D06-95B2-D873B20A0950}"/>
            </c:ext>
          </c:extLst>
        </c:ser>
        <c:dLbls>
          <c:dLblPos val="t"/>
          <c:showLegendKey val="0"/>
          <c:showVal val="1"/>
          <c:showCatName val="0"/>
          <c:showSerName val="0"/>
          <c:showPercent val="0"/>
          <c:showBubbleSize val="0"/>
        </c:dLbls>
        <c:smooth val="0"/>
        <c:axId val="311953904"/>
        <c:axId val="311954384"/>
      </c:lineChart>
      <c:catAx>
        <c:axId val="311953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954384"/>
        <c:crosses val="autoZero"/>
        <c:auto val="1"/>
        <c:lblAlgn val="ctr"/>
        <c:lblOffset val="100"/>
        <c:noMultiLvlLbl val="0"/>
      </c:catAx>
      <c:valAx>
        <c:axId val="311954384"/>
        <c:scaling>
          <c:orientation val="minMax"/>
        </c:scaling>
        <c:delete val="1"/>
        <c:axPos val="l"/>
        <c:numFmt formatCode="0%" sourceLinked="1"/>
        <c:majorTickMark val="none"/>
        <c:minorTickMark val="none"/>
        <c:tickLblPos val="nextTo"/>
        <c:crossAx val="311953904"/>
        <c:crosses val="autoZero"/>
        <c:crossBetween val="between"/>
      </c:valAx>
      <c:spPr>
        <a:noFill/>
        <a:ln>
          <a:noFill/>
        </a:ln>
        <a:effectLst/>
      </c:spPr>
    </c:plotArea>
    <c:legend>
      <c:legendPos val="r"/>
      <c:layout>
        <c:manualLayout>
          <c:xMode val="edge"/>
          <c:yMode val="edge"/>
          <c:x val="0.72850875352217648"/>
          <c:y val="0.18962447219923009"/>
          <c:w val="0.24392166766283779"/>
          <c:h val="0.81037552780076993"/>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31" fmlaLink="Assumptions!$G$5" fmlaRange="Assumptions!$E$21:$E$23" noThreeD="1" sel="2" val="0"/>
</file>

<file path=xl/ctrlProps/ctrlProp2.xml><?xml version="1.0" encoding="utf-8"?>
<formControlPr xmlns="http://schemas.microsoft.com/office/spreadsheetml/2009/9/main" objectType="Drop" dropStyle="combo" dx="31" fmlaLink="Assumptions!$G$5" fmlaRange="Assumptions!$E$21:$E$23" noThreeD="1" sel="2" val="0"/>
</file>

<file path=xl/ctrlProps/ctrlProp3.xml><?xml version="1.0" encoding="utf-8"?>
<formControlPr xmlns="http://schemas.microsoft.com/office/spreadsheetml/2009/9/main" objectType="Drop" dropStyle="combo" dx="31" fmlaLink="Assumptions!$G$5" fmlaRange="Assumptions!$E$21:$E$23" noThreeD="1" sel="2" val="0"/>
</file>

<file path=xl/ctrlProps/ctrlProp4.xml><?xml version="1.0" encoding="utf-8"?>
<formControlPr xmlns="http://schemas.microsoft.com/office/spreadsheetml/2009/9/main" objectType="Drop" dropStyle="combo" dx="31" fmlaLink="Assumptions!$G$5" fmlaRange="Assumptions!$E$21:$E$23" noThreeD="1" sel="2" val="0"/>
</file>

<file path=xl/ctrlProps/ctrlProp5.xml><?xml version="1.0" encoding="utf-8"?>
<formControlPr xmlns="http://schemas.microsoft.com/office/spreadsheetml/2009/9/main" objectType="Drop" dropStyle="combo" dx="31" fmlaLink="Assumptions!$G$5" fmlaRange="Assumptions!$E$21:$E$23" noThreeD="1" sel="2" val="0"/>
</file>

<file path=xl/ctrlProps/ctrlProp6.xml><?xml version="1.0" encoding="utf-8"?>
<formControlPr xmlns="http://schemas.microsoft.com/office/spreadsheetml/2009/9/main" objectType="Drop" dropStyle="combo" dx="31" fmlaLink="Assumptions!$G$5" fmlaRange="Assumptions!$E$21:$E$23" noThreeD="1" sel="2" val="0"/>
</file>

<file path=xl/ctrlProps/ctrlProp7.xml><?xml version="1.0" encoding="utf-8"?>
<formControlPr xmlns="http://schemas.microsoft.com/office/spreadsheetml/2009/9/main" objectType="Drop" dropStyle="combo" dx="31" fmlaLink="Assumptions!$G$5" fmlaRange="Assumptions!$E$21:$E$23" noThreeD="1" sel="2" val="0"/>
</file>

<file path=xl/ctrlProps/ctrlProp8.xml><?xml version="1.0" encoding="utf-8"?>
<formControlPr xmlns="http://schemas.microsoft.com/office/spreadsheetml/2009/9/main" objectType="Drop" dropStyle="combo" dx="31" fmlaLink="Assumptions!$G$5" fmlaRange="Assumptions!$E$21:$E$23" noThreeD="1" sel="2" val="0"/>
</file>

<file path=xl/ctrlProps/ctrlProp9.xml><?xml version="1.0" encoding="utf-8"?>
<formControlPr xmlns="http://schemas.microsoft.com/office/spreadsheetml/2009/9/main" objectType="Drop" dropStyle="combo" dx="31" fmlaLink="Assumptions!$G$5" fmlaRange="Assumptions!$E$21:$E$23" noThreeD="1" sel="2" val="0"/>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4.png"/><Relationship Id="rId7" Type="http://schemas.openxmlformats.org/officeDocument/2006/relationships/chart" Target="../charts/chart3.xml"/><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chart" Target="../charts/chart2.xml"/><Relationship Id="rId5" Type="http://schemas.openxmlformats.org/officeDocument/2006/relationships/chart" Target="../charts/chart1.xml"/><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600075</xdr:colOff>
      <xdr:row>1</xdr:row>
      <xdr:rowOff>161925</xdr:rowOff>
    </xdr:from>
    <xdr:to>
      <xdr:col>14</xdr:col>
      <xdr:colOff>552450</xdr:colOff>
      <xdr:row>19</xdr:row>
      <xdr:rowOff>171450</xdr:rowOff>
    </xdr:to>
    <xdr:sp macro="" textlink="">
      <xdr:nvSpPr>
        <xdr:cNvPr id="3" name="Rectangle 2">
          <a:extLst>
            <a:ext uri="{FF2B5EF4-FFF2-40B4-BE49-F238E27FC236}">
              <a16:creationId xmlns:a16="http://schemas.microsoft.com/office/drawing/2014/main" id="{00000000-0008-0000-0000-000003000000}"/>
            </a:ext>
          </a:extLst>
        </xdr:cNvPr>
        <xdr:cNvSpPr/>
      </xdr:nvSpPr>
      <xdr:spPr>
        <a:xfrm>
          <a:off x="1819275" y="352425"/>
          <a:ext cx="7267575" cy="3438525"/>
        </a:xfrm>
        <a:prstGeom prst="rect">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7</xdr:col>
      <xdr:colOff>409576</xdr:colOff>
      <xdr:row>2</xdr:row>
      <xdr:rowOff>1</xdr:rowOff>
    </xdr:from>
    <xdr:to>
      <xdr:col>14</xdr:col>
      <xdr:colOff>561976</xdr:colOff>
      <xdr:row>20</xdr:row>
      <xdr:rowOff>25401</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alphaModFix/>
        </a:blip>
        <a:stretch>
          <a:fillRect/>
        </a:stretch>
      </xdr:blipFill>
      <xdr:spPr>
        <a:xfrm>
          <a:off x="4899026" y="317501"/>
          <a:ext cx="4641850" cy="2882900"/>
        </a:xfrm>
        <a:prstGeom prst="rect">
          <a:avLst/>
        </a:prstGeom>
      </xdr:spPr>
    </xdr:pic>
    <xdr:clientData/>
  </xdr:twoCellAnchor>
  <xdr:twoCellAnchor>
    <xdr:from>
      <xdr:col>3</xdr:col>
      <xdr:colOff>571500</xdr:colOff>
      <xdr:row>2</xdr:row>
      <xdr:rowOff>171450</xdr:rowOff>
    </xdr:from>
    <xdr:to>
      <xdr:col>6</xdr:col>
      <xdr:colOff>590550</xdr:colOff>
      <xdr:row>5</xdr:row>
      <xdr:rowOff>0</xdr:rowOff>
    </xdr:to>
    <xdr:sp macro="" textlink="">
      <xdr:nvSpPr>
        <xdr:cNvPr id="8" name="Rectangle 7">
          <a:extLst>
            <a:ext uri="{FF2B5EF4-FFF2-40B4-BE49-F238E27FC236}">
              <a16:creationId xmlns:a16="http://schemas.microsoft.com/office/drawing/2014/main" id="{00000000-0008-0000-0000-000008000000}"/>
            </a:ext>
          </a:extLst>
        </xdr:cNvPr>
        <xdr:cNvSpPr/>
      </xdr:nvSpPr>
      <xdr:spPr>
        <a:xfrm>
          <a:off x="2400300" y="552450"/>
          <a:ext cx="1847850"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3</xdr:col>
      <xdr:colOff>476250</xdr:colOff>
      <xdr:row>3</xdr:row>
      <xdr:rowOff>66675</xdr:rowOff>
    </xdr:from>
    <xdr:to>
      <xdr:col>6</xdr:col>
      <xdr:colOff>523875</xdr:colOff>
      <xdr:row>5</xdr:row>
      <xdr:rowOff>28575</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2305050" y="638175"/>
          <a:ext cx="18764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bg1"/>
              </a:solidFill>
              <a:latin typeface="Century Gothic" panose="020B0502020202020204" pitchFamily="34" charset="0"/>
            </a:rPr>
            <a:t>SAFE FOOT Co.</a:t>
          </a:r>
          <a:endParaRPr lang="en-NG" sz="1800">
            <a:solidFill>
              <a:schemeClr val="bg1"/>
            </a:solidFill>
            <a:latin typeface="Century Gothic" panose="020B0502020202020204" pitchFamily="34" charset="0"/>
          </a:endParaRPr>
        </a:p>
      </xdr:txBody>
    </xdr:sp>
    <xdr:clientData/>
  </xdr:twoCellAnchor>
  <xdr:twoCellAnchor>
    <xdr:from>
      <xdr:col>4</xdr:col>
      <xdr:colOff>9047</xdr:colOff>
      <xdr:row>5</xdr:row>
      <xdr:rowOff>16529</xdr:rowOff>
    </xdr:from>
    <xdr:to>
      <xdr:col>7</xdr:col>
      <xdr:colOff>56672</xdr:colOff>
      <xdr:row>6</xdr:row>
      <xdr:rowOff>161232</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2447447" y="969029"/>
          <a:ext cx="1876425" cy="335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solidFill>
                <a:schemeClr val="bg1"/>
              </a:solidFill>
              <a:latin typeface="Century Gothic" panose="020B0502020202020204" pitchFamily="34" charset="0"/>
            </a:rPr>
            <a:t>...where</a:t>
          </a:r>
          <a:r>
            <a:rPr lang="en-US" sz="900" baseline="0">
              <a:solidFill>
                <a:schemeClr val="bg1"/>
              </a:solidFill>
              <a:latin typeface="Century Gothic" panose="020B0502020202020204" pitchFamily="34" charset="0"/>
            </a:rPr>
            <a:t> nature meets comfort</a:t>
          </a:r>
          <a:endParaRPr lang="en-NG" sz="900">
            <a:solidFill>
              <a:schemeClr val="bg1"/>
            </a:solidFill>
            <a:latin typeface="Century Gothic" panose="020B0502020202020204" pitchFamily="34" charset="0"/>
          </a:endParaRPr>
        </a:p>
      </xdr:txBody>
    </xdr:sp>
    <xdr:clientData/>
  </xdr:twoCellAnchor>
  <xdr:twoCellAnchor editAs="oneCell">
    <xdr:from>
      <xdr:col>2</xdr:col>
      <xdr:colOff>485775</xdr:colOff>
      <xdr:row>2</xdr:row>
      <xdr:rowOff>85725</xdr:rowOff>
    </xdr:from>
    <xdr:to>
      <xdr:col>4</xdr:col>
      <xdr:colOff>38100</xdr:colOff>
      <xdr:row>7</xdr:row>
      <xdr:rowOff>0</xdr:rowOff>
    </xdr:to>
    <xdr:pic>
      <xdr:nvPicPr>
        <xdr:cNvPr id="13" name="Graphic 12" descr="Footprints outline">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04975" y="466725"/>
          <a:ext cx="771525" cy="771525"/>
        </a:xfrm>
        <a:prstGeom prst="rect">
          <a:avLst/>
        </a:prstGeom>
      </xdr:spPr>
    </xdr:pic>
    <xdr:clientData/>
  </xdr:twoCellAnchor>
  <xdr:twoCellAnchor>
    <xdr:from>
      <xdr:col>3</xdr:col>
      <xdr:colOff>285750</xdr:colOff>
      <xdr:row>8</xdr:row>
      <xdr:rowOff>155574</xdr:rowOff>
    </xdr:from>
    <xdr:to>
      <xdr:col>6</xdr:col>
      <xdr:colOff>333375</xdr:colOff>
      <xdr:row>13</xdr:row>
      <xdr:rowOff>139699</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2209800" y="1425574"/>
          <a:ext cx="1971675" cy="777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solidFill>
              <a:latin typeface="Century Gothic" panose="020B0502020202020204" pitchFamily="34" charset="0"/>
            </a:rPr>
            <a:t>Five</a:t>
          </a:r>
          <a:r>
            <a:rPr lang="en-US" sz="1600" baseline="0">
              <a:solidFill>
                <a:schemeClr val="bg1"/>
              </a:solidFill>
              <a:latin typeface="Century Gothic" panose="020B0502020202020204" pitchFamily="34" charset="0"/>
            </a:rPr>
            <a:t> Years Financial Model</a:t>
          </a:r>
          <a:endParaRPr lang="en-NG" sz="1600">
            <a:solidFill>
              <a:schemeClr val="bg1"/>
            </a:solidFill>
            <a:latin typeface="Century Gothic" panose="020B0502020202020204" pitchFamily="34" charset="0"/>
          </a:endParaRPr>
        </a:p>
      </xdr:txBody>
    </xdr:sp>
    <xdr:clientData/>
  </xdr:twoCellAnchor>
  <xdr:twoCellAnchor>
    <xdr:from>
      <xdr:col>2</xdr:col>
      <xdr:colOff>590073</xdr:colOff>
      <xdr:row>17</xdr:row>
      <xdr:rowOff>111779</xdr:rowOff>
    </xdr:from>
    <xdr:to>
      <xdr:col>4</xdr:col>
      <xdr:colOff>76201</xdr:colOff>
      <xdr:row>19</xdr:row>
      <xdr:rowOff>73679</xdr:rowOff>
    </xdr:to>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1809273" y="3350279"/>
          <a:ext cx="705328"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bg1"/>
              </a:solidFill>
              <a:latin typeface="Century Gothic" panose="020B0502020202020204" pitchFamily="34" charset="0"/>
            </a:rPr>
            <a:t>2023</a:t>
          </a:r>
          <a:endParaRPr lang="en-NG" sz="1000">
            <a:solidFill>
              <a:schemeClr val="bg1"/>
            </a:solidFill>
            <a:latin typeface="Century Gothic" panose="020B0502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177800</xdr:colOff>
      <xdr:row>1</xdr:row>
      <xdr:rowOff>107949</xdr:rowOff>
    </xdr:from>
    <xdr:to>
      <xdr:col>12</xdr:col>
      <xdr:colOff>203200</xdr:colOff>
      <xdr:row>30</xdr:row>
      <xdr:rowOff>122114</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409819" y="266699"/>
          <a:ext cx="9110785" cy="4617915"/>
        </a:xfrm>
        <a:prstGeom prst="rect">
          <a:avLst/>
        </a:prstGeom>
        <a:ln w="76200">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195385</xdr:colOff>
      <xdr:row>1</xdr:row>
      <xdr:rowOff>146050</xdr:rowOff>
    </xdr:from>
    <xdr:to>
      <xdr:col>12</xdr:col>
      <xdr:colOff>195384</xdr:colOff>
      <xdr:row>5</xdr:row>
      <xdr:rowOff>48846</xdr:rowOff>
    </xdr:to>
    <xdr:sp macro="" textlink="">
      <xdr:nvSpPr>
        <xdr:cNvPr id="3" name="Rectangle 2">
          <a:extLst>
            <a:ext uri="{FF2B5EF4-FFF2-40B4-BE49-F238E27FC236}">
              <a16:creationId xmlns:a16="http://schemas.microsoft.com/office/drawing/2014/main" id="{00000000-0008-0000-0200-000003000000}"/>
            </a:ext>
          </a:extLst>
        </xdr:cNvPr>
        <xdr:cNvSpPr/>
      </xdr:nvSpPr>
      <xdr:spPr>
        <a:xfrm>
          <a:off x="427404" y="304800"/>
          <a:ext cx="9085384" cy="537796"/>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131152</xdr:colOff>
      <xdr:row>2</xdr:row>
      <xdr:rowOff>53731</xdr:rowOff>
    </xdr:from>
    <xdr:to>
      <xdr:col>4</xdr:col>
      <xdr:colOff>2102827</xdr:colOff>
      <xdr:row>4</xdr:row>
      <xdr:rowOff>15631</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1059229" y="371231"/>
          <a:ext cx="1971675"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bg1"/>
              </a:solidFill>
              <a:latin typeface="Century Gothic" panose="020B0502020202020204" pitchFamily="34" charset="0"/>
            </a:rPr>
            <a:t>SAFE FOOT Co.</a:t>
          </a:r>
          <a:endParaRPr lang="en-NG" sz="1800">
            <a:solidFill>
              <a:schemeClr val="bg1"/>
            </a:solidFill>
            <a:latin typeface="Century Gothic" panose="020B0502020202020204" pitchFamily="34" charset="0"/>
          </a:endParaRPr>
        </a:p>
      </xdr:txBody>
    </xdr:sp>
    <xdr:clientData/>
  </xdr:twoCellAnchor>
  <xdr:twoCellAnchor editAs="oneCell">
    <xdr:from>
      <xdr:col>1</xdr:col>
      <xdr:colOff>195386</xdr:colOff>
      <xdr:row>1</xdr:row>
      <xdr:rowOff>146051</xdr:rowOff>
    </xdr:from>
    <xdr:to>
      <xdr:col>4</xdr:col>
      <xdr:colOff>134328</xdr:colOff>
      <xdr:row>5</xdr:row>
      <xdr:rowOff>49473</xdr:rowOff>
    </xdr:to>
    <xdr:pic>
      <xdr:nvPicPr>
        <xdr:cNvPr id="5" name="Graphic 4" descr="Footprints outline">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27405" y="304801"/>
          <a:ext cx="635000" cy="538422"/>
        </a:xfrm>
        <a:prstGeom prst="rect">
          <a:avLst/>
        </a:prstGeom>
      </xdr:spPr>
    </xdr:pic>
    <xdr:clientData/>
  </xdr:twoCellAnchor>
  <xdr:twoCellAnchor editAs="oneCell">
    <xdr:from>
      <xdr:col>4</xdr:col>
      <xdr:colOff>317500</xdr:colOff>
      <xdr:row>3</xdr:row>
      <xdr:rowOff>133839</xdr:rowOff>
    </xdr:from>
    <xdr:to>
      <xdr:col>4</xdr:col>
      <xdr:colOff>2146459</xdr:colOff>
      <xdr:row>5</xdr:row>
      <xdr:rowOff>66297</xdr:rowOff>
    </xdr:to>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3"/>
        <a:stretch>
          <a:fillRect/>
        </a:stretch>
      </xdr:blipFill>
      <xdr:spPr>
        <a:xfrm>
          <a:off x="1245577" y="610089"/>
          <a:ext cx="1828959" cy="249958"/>
        </a:xfrm>
        <a:prstGeom prst="rect">
          <a:avLst/>
        </a:prstGeom>
      </xdr:spPr>
    </xdr:pic>
    <xdr:clientData/>
  </xdr:twoCellAnchor>
  <xdr:twoCellAnchor editAs="oneCell">
    <xdr:from>
      <xdr:col>9</xdr:col>
      <xdr:colOff>158751</xdr:colOff>
      <xdr:row>2</xdr:row>
      <xdr:rowOff>23934</xdr:rowOff>
    </xdr:from>
    <xdr:to>
      <xdr:col>11</xdr:col>
      <xdr:colOff>819983</xdr:colOff>
      <xdr:row>4</xdr:row>
      <xdr:rowOff>133191</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4"/>
        <a:stretch>
          <a:fillRect/>
        </a:stretch>
      </xdr:blipFill>
      <xdr:spPr>
        <a:xfrm>
          <a:off x="6215674" y="341434"/>
          <a:ext cx="2834886" cy="426757"/>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5</xdr:col>
          <xdr:colOff>603250</xdr:colOff>
          <xdr:row>2</xdr:row>
          <xdr:rowOff>69850</xdr:rowOff>
        </xdr:from>
        <xdr:to>
          <xdr:col>7</xdr:col>
          <xdr:colOff>609600</xdr:colOff>
          <xdr:row>4</xdr:row>
          <xdr:rowOff>31750</xdr:rowOff>
        </xdr:to>
        <xdr:sp macro="" textlink="">
          <xdr:nvSpPr>
            <xdr:cNvPr id="6147" name="Drop Down 3" hidden="1">
              <a:extLst>
                <a:ext uri="{63B3BB69-23CF-44E3-9099-C40C66FF867C}">
                  <a14:compatExt spid="_x0000_s6147"/>
                </a:ext>
                <a:ext uri="{FF2B5EF4-FFF2-40B4-BE49-F238E27FC236}">
                  <a16:creationId xmlns:a16="http://schemas.microsoft.com/office/drawing/2014/main" id="{00000000-0008-0000-0200-000003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2</xdr:col>
      <xdr:colOff>85482</xdr:colOff>
      <xdr:row>5</xdr:row>
      <xdr:rowOff>97692</xdr:rowOff>
    </xdr:from>
    <xdr:to>
      <xdr:col>4</xdr:col>
      <xdr:colOff>1587501</xdr:colOff>
      <xdr:row>29</xdr:row>
      <xdr:rowOff>134327</xdr:rowOff>
    </xdr:to>
    <xdr:sp macro="" textlink="">
      <xdr:nvSpPr>
        <xdr:cNvPr id="6" name="Rectangle 5">
          <a:extLst>
            <a:ext uri="{FF2B5EF4-FFF2-40B4-BE49-F238E27FC236}">
              <a16:creationId xmlns:a16="http://schemas.microsoft.com/office/drawing/2014/main" id="{00000000-0008-0000-0200-000006000000}"/>
            </a:ext>
          </a:extLst>
        </xdr:cNvPr>
        <xdr:cNvSpPr/>
      </xdr:nvSpPr>
      <xdr:spPr>
        <a:xfrm>
          <a:off x="549520" y="891442"/>
          <a:ext cx="1966058" cy="3846635"/>
        </a:xfrm>
        <a:prstGeom prst="rect">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1660769</xdr:colOff>
      <xdr:row>5</xdr:row>
      <xdr:rowOff>79130</xdr:rowOff>
    </xdr:from>
    <xdr:to>
      <xdr:col>9</xdr:col>
      <xdr:colOff>513707</xdr:colOff>
      <xdr:row>17</xdr:row>
      <xdr:rowOff>85481</xdr:rowOff>
    </xdr:to>
    <xdr:sp macro="" textlink="">
      <xdr:nvSpPr>
        <xdr:cNvPr id="7" name="Rectangle 6">
          <a:extLst>
            <a:ext uri="{FF2B5EF4-FFF2-40B4-BE49-F238E27FC236}">
              <a16:creationId xmlns:a16="http://schemas.microsoft.com/office/drawing/2014/main" id="{00000000-0008-0000-0200-000007000000}"/>
            </a:ext>
          </a:extLst>
        </xdr:cNvPr>
        <xdr:cNvSpPr/>
      </xdr:nvSpPr>
      <xdr:spPr>
        <a:xfrm>
          <a:off x="2574027" y="863961"/>
          <a:ext cx="3968613" cy="1889947"/>
        </a:xfrm>
        <a:prstGeom prst="rect">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1672491</xdr:colOff>
      <xdr:row>17</xdr:row>
      <xdr:rowOff>134327</xdr:rowOff>
    </xdr:from>
    <xdr:to>
      <xdr:col>7</xdr:col>
      <xdr:colOff>550332</xdr:colOff>
      <xdr:row>30</xdr:row>
      <xdr:rowOff>18074</xdr:rowOff>
    </xdr:to>
    <xdr:sp macro="" textlink="">
      <xdr:nvSpPr>
        <xdr:cNvPr id="10" name="Rectangle 9">
          <a:extLst>
            <a:ext uri="{FF2B5EF4-FFF2-40B4-BE49-F238E27FC236}">
              <a16:creationId xmlns:a16="http://schemas.microsoft.com/office/drawing/2014/main" id="{00000000-0008-0000-0200-00000A000000}"/>
            </a:ext>
          </a:extLst>
        </xdr:cNvPr>
        <xdr:cNvSpPr/>
      </xdr:nvSpPr>
      <xdr:spPr>
        <a:xfrm>
          <a:off x="2603824" y="2833077"/>
          <a:ext cx="2793675" cy="1947497"/>
        </a:xfrm>
        <a:prstGeom prst="rect">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556516</xdr:colOff>
      <xdr:row>5</xdr:row>
      <xdr:rowOff>91342</xdr:rowOff>
    </xdr:from>
    <xdr:to>
      <xdr:col>12</xdr:col>
      <xdr:colOff>73269</xdr:colOff>
      <xdr:row>17</xdr:row>
      <xdr:rowOff>84667</xdr:rowOff>
    </xdr:to>
    <xdr:sp macro="" textlink="">
      <xdr:nvSpPr>
        <xdr:cNvPr id="11" name="Rectangle 10">
          <a:extLst>
            <a:ext uri="{FF2B5EF4-FFF2-40B4-BE49-F238E27FC236}">
              <a16:creationId xmlns:a16="http://schemas.microsoft.com/office/drawing/2014/main" id="{00000000-0008-0000-0200-00000B000000}"/>
            </a:ext>
          </a:extLst>
        </xdr:cNvPr>
        <xdr:cNvSpPr/>
      </xdr:nvSpPr>
      <xdr:spPr>
        <a:xfrm>
          <a:off x="6585449" y="876173"/>
          <a:ext cx="2770236" cy="1876921"/>
        </a:xfrm>
        <a:prstGeom prst="rect">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783166</xdr:colOff>
      <xdr:row>17</xdr:row>
      <xdr:rowOff>148167</xdr:rowOff>
    </xdr:from>
    <xdr:to>
      <xdr:col>12</xdr:col>
      <xdr:colOff>95249</xdr:colOff>
      <xdr:row>30</xdr:row>
      <xdr:rowOff>36147</xdr:rowOff>
    </xdr:to>
    <xdr:sp macro="" textlink="">
      <xdr:nvSpPr>
        <xdr:cNvPr id="12" name="Rectangle 11">
          <a:extLst>
            <a:ext uri="{FF2B5EF4-FFF2-40B4-BE49-F238E27FC236}">
              <a16:creationId xmlns:a16="http://schemas.microsoft.com/office/drawing/2014/main" id="{00000000-0008-0000-0200-00000C000000}"/>
            </a:ext>
          </a:extLst>
        </xdr:cNvPr>
        <xdr:cNvSpPr/>
      </xdr:nvSpPr>
      <xdr:spPr>
        <a:xfrm>
          <a:off x="7948083" y="2846917"/>
          <a:ext cx="1492249" cy="1951730"/>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603250</xdr:colOff>
      <xdr:row>17</xdr:row>
      <xdr:rowOff>134512</xdr:rowOff>
    </xdr:from>
    <xdr:to>
      <xdr:col>10</xdr:col>
      <xdr:colOff>740833</xdr:colOff>
      <xdr:row>30</xdr:row>
      <xdr:rowOff>18259</xdr:rowOff>
    </xdr:to>
    <xdr:sp macro="" textlink="">
      <xdr:nvSpPr>
        <xdr:cNvPr id="13" name="Rectangle 12">
          <a:extLst>
            <a:ext uri="{FF2B5EF4-FFF2-40B4-BE49-F238E27FC236}">
              <a16:creationId xmlns:a16="http://schemas.microsoft.com/office/drawing/2014/main" id="{00000000-0008-0000-0200-00000D000000}"/>
            </a:ext>
          </a:extLst>
        </xdr:cNvPr>
        <xdr:cNvSpPr/>
      </xdr:nvSpPr>
      <xdr:spPr>
        <a:xfrm>
          <a:off x="5450417" y="2833262"/>
          <a:ext cx="2455333" cy="1947497"/>
        </a:xfrm>
        <a:prstGeom prst="rect">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1682753</xdr:colOff>
      <xdr:row>5</xdr:row>
      <xdr:rowOff>74083</xdr:rowOff>
    </xdr:from>
    <xdr:to>
      <xdr:col>9</xdr:col>
      <xdr:colOff>542248</xdr:colOff>
      <xdr:row>17</xdr:row>
      <xdr:rowOff>21167</xdr:rowOff>
    </xdr:to>
    <xdr:graphicFrame macro="">
      <xdr:nvGraphicFramePr>
        <xdr:cNvPr id="14" name="Chart 13">
          <a:extLst>
            <a:ext uri="{FF2B5EF4-FFF2-40B4-BE49-F238E27FC236}">
              <a16:creationId xmlns:a16="http://schemas.microsoft.com/office/drawing/2014/main" id="{00000000-0008-0000-02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1693332</xdr:colOff>
      <xdr:row>17</xdr:row>
      <xdr:rowOff>148167</xdr:rowOff>
    </xdr:from>
    <xdr:to>
      <xdr:col>7</xdr:col>
      <xdr:colOff>571500</xdr:colOff>
      <xdr:row>29</xdr:row>
      <xdr:rowOff>127000</xdr:rowOff>
    </xdr:to>
    <xdr:graphicFrame macro="">
      <xdr:nvGraphicFramePr>
        <xdr:cNvPr id="15" name="Chart 14">
          <a:extLst>
            <a:ext uri="{FF2B5EF4-FFF2-40B4-BE49-F238E27FC236}">
              <a16:creationId xmlns:a16="http://schemas.microsoft.com/office/drawing/2014/main" id="{00000000-0008-0000-02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550334</xdr:colOff>
      <xdr:row>17</xdr:row>
      <xdr:rowOff>105833</xdr:rowOff>
    </xdr:from>
    <xdr:to>
      <xdr:col>10</xdr:col>
      <xdr:colOff>730250</xdr:colOff>
      <xdr:row>29</xdr:row>
      <xdr:rowOff>105833</xdr:rowOff>
    </xdr:to>
    <xdr:graphicFrame macro="">
      <xdr:nvGraphicFramePr>
        <xdr:cNvPr id="16" name="Chart 15">
          <a:extLst>
            <a:ext uri="{FF2B5EF4-FFF2-40B4-BE49-F238E27FC236}">
              <a16:creationId xmlns:a16="http://schemas.microsoft.com/office/drawing/2014/main" id="{00000000-0008-0000-02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563652</xdr:colOff>
      <xdr:row>5</xdr:row>
      <xdr:rowOff>91342</xdr:rowOff>
    </xdr:from>
    <xdr:to>
      <xdr:col>12</xdr:col>
      <xdr:colOff>74085</xdr:colOff>
      <xdr:row>17</xdr:row>
      <xdr:rowOff>71348</xdr:rowOff>
    </xdr:to>
    <xdr:graphicFrame macro="">
      <xdr:nvGraphicFramePr>
        <xdr:cNvPr id="17" name="Chart 16">
          <a:extLst>
            <a:ext uri="{FF2B5EF4-FFF2-40B4-BE49-F238E27FC236}">
              <a16:creationId xmlns:a16="http://schemas.microsoft.com/office/drawing/2014/main" id="{00000000-0008-0000-02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157692</xdr:colOff>
      <xdr:row>6</xdr:row>
      <xdr:rowOff>16934</xdr:rowOff>
    </xdr:from>
    <xdr:to>
      <xdr:col>4</xdr:col>
      <xdr:colOff>1480609</xdr:colOff>
      <xdr:row>12</xdr:row>
      <xdr:rowOff>137583</xdr:rowOff>
    </xdr:to>
    <xdr:sp macro="" textlink="">
      <xdr:nvSpPr>
        <xdr:cNvPr id="18" name="Rectangle 17">
          <a:extLst>
            <a:ext uri="{FF2B5EF4-FFF2-40B4-BE49-F238E27FC236}">
              <a16:creationId xmlns:a16="http://schemas.microsoft.com/office/drawing/2014/main" id="{00000000-0008-0000-0200-000012000000}"/>
            </a:ext>
          </a:extLst>
        </xdr:cNvPr>
        <xdr:cNvSpPr/>
      </xdr:nvSpPr>
      <xdr:spPr>
        <a:xfrm>
          <a:off x="623359" y="969434"/>
          <a:ext cx="1788583" cy="1073149"/>
        </a:xfrm>
        <a:prstGeom prst="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157692</xdr:colOff>
      <xdr:row>14</xdr:row>
      <xdr:rowOff>84667</xdr:rowOff>
    </xdr:from>
    <xdr:to>
      <xdr:col>4</xdr:col>
      <xdr:colOff>1480609</xdr:colOff>
      <xdr:row>21</xdr:row>
      <xdr:rowOff>46566</xdr:rowOff>
    </xdr:to>
    <xdr:sp macro="" textlink="">
      <xdr:nvSpPr>
        <xdr:cNvPr id="19" name="Rectangle 18">
          <a:extLst>
            <a:ext uri="{FF2B5EF4-FFF2-40B4-BE49-F238E27FC236}">
              <a16:creationId xmlns:a16="http://schemas.microsoft.com/office/drawing/2014/main" id="{00000000-0008-0000-0200-000013000000}"/>
            </a:ext>
          </a:extLst>
        </xdr:cNvPr>
        <xdr:cNvSpPr/>
      </xdr:nvSpPr>
      <xdr:spPr>
        <a:xfrm>
          <a:off x="623359" y="2307167"/>
          <a:ext cx="1788583" cy="1073149"/>
        </a:xfrm>
        <a:prstGeom prst="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157692</xdr:colOff>
      <xdr:row>22</xdr:row>
      <xdr:rowOff>88900</xdr:rowOff>
    </xdr:from>
    <xdr:to>
      <xdr:col>4</xdr:col>
      <xdr:colOff>1480609</xdr:colOff>
      <xdr:row>29</xdr:row>
      <xdr:rowOff>50799</xdr:rowOff>
    </xdr:to>
    <xdr:sp macro="" textlink="">
      <xdr:nvSpPr>
        <xdr:cNvPr id="20" name="Rectangle 19">
          <a:extLst>
            <a:ext uri="{FF2B5EF4-FFF2-40B4-BE49-F238E27FC236}">
              <a16:creationId xmlns:a16="http://schemas.microsoft.com/office/drawing/2014/main" id="{00000000-0008-0000-0200-000014000000}"/>
            </a:ext>
          </a:extLst>
        </xdr:cNvPr>
        <xdr:cNvSpPr/>
      </xdr:nvSpPr>
      <xdr:spPr>
        <a:xfrm>
          <a:off x="623359" y="3581400"/>
          <a:ext cx="1788583" cy="1073149"/>
        </a:xfrm>
        <a:prstGeom prst="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87843</xdr:colOff>
      <xdr:row>6</xdr:row>
      <xdr:rowOff>147277</xdr:rowOff>
    </xdr:from>
    <xdr:to>
      <xdr:col>4</xdr:col>
      <xdr:colOff>1395392</xdr:colOff>
      <xdr:row>8</xdr:row>
      <xdr:rowOff>107313</xdr:rowOff>
    </xdr:to>
    <xdr:sp macro="" textlink="">
      <xdr:nvSpPr>
        <xdr:cNvPr id="21" name="Rectangle 20">
          <a:extLst>
            <a:ext uri="{FF2B5EF4-FFF2-40B4-BE49-F238E27FC236}">
              <a16:creationId xmlns:a16="http://schemas.microsoft.com/office/drawing/2014/main" id="{00000000-0008-0000-0200-000015000000}"/>
            </a:ext>
          </a:extLst>
        </xdr:cNvPr>
        <xdr:cNvSpPr/>
      </xdr:nvSpPr>
      <xdr:spPr>
        <a:xfrm>
          <a:off x="786343" y="1099777"/>
          <a:ext cx="1540382" cy="277536"/>
        </a:xfrm>
        <a:prstGeom prst="rect">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a:latin typeface="Century Gothic" panose="020B0502020202020204" pitchFamily="34" charset="0"/>
            </a:rPr>
            <a:t>AVERAGE REVENUE</a:t>
          </a:r>
        </a:p>
      </xdr:txBody>
    </xdr:sp>
    <xdr:clientData/>
  </xdr:twoCellAnchor>
  <xdr:twoCellAnchor>
    <xdr:from>
      <xdr:col>3</xdr:col>
      <xdr:colOff>83609</xdr:colOff>
      <xdr:row>15</xdr:row>
      <xdr:rowOff>41444</xdr:rowOff>
    </xdr:from>
    <xdr:to>
      <xdr:col>4</xdr:col>
      <xdr:colOff>1385097</xdr:colOff>
      <xdr:row>17</xdr:row>
      <xdr:rowOff>1479</xdr:rowOff>
    </xdr:to>
    <xdr:sp macro="" textlink="">
      <xdr:nvSpPr>
        <xdr:cNvPr id="22" name="Rectangle 21">
          <a:extLst>
            <a:ext uri="{FF2B5EF4-FFF2-40B4-BE49-F238E27FC236}">
              <a16:creationId xmlns:a16="http://schemas.microsoft.com/office/drawing/2014/main" id="{00000000-0008-0000-0200-000016000000}"/>
            </a:ext>
          </a:extLst>
        </xdr:cNvPr>
        <xdr:cNvSpPr/>
      </xdr:nvSpPr>
      <xdr:spPr>
        <a:xfrm>
          <a:off x="782109" y="2422694"/>
          <a:ext cx="1534321" cy="277535"/>
        </a:xfrm>
        <a:prstGeom prst="rect">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a:latin typeface="Century Gothic" panose="020B0502020202020204" pitchFamily="34" charset="0"/>
            </a:rPr>
            <a:t>AVERAGE GROSS</a:t>
          </a:r>
          <a:r>
            <a:rPr lang="en-US" sz="900" baseline="0">
              <a:latin typeface="Century Gothic" panose="020B0502020202020204" pitchFamily="34" charset="0"/>
            </a:rPr>
            <a:t> PROFIT</a:t>
          </a:r>
          <a:endParaRPr lang="en-US" sz="900">
            <a:latin typeface="Century Gothic" panose="020B0502020202020204" pitchFamily="34" charset="0"/>
          </a:endParaRPr>
        </a:p>
      </xdr:txBody>
    </xdr:sp>
    <xdr:clientData/>
  </xdr:twoCellAnchor>
  <xdr:twoCellAnchor>
    <xdr:from>
      <xdr:col>3</xdr:col>
      <xdr:colOff>83609</xdr:colOff>
      <xdr:row>23</xdr:row>
      <xdr:rowOff>59266</xdr:rowOff>
    </xdr:from>
    <xdr:to>
      <xdr:col>4</xdr:col>
      <xdr:colOff>1403351</xdr:colOff>
      <xdr:row>25</xdr:row>
      <xdr:rowOff>59266</xdr:rowOff>
    </xdr:to>
    <xdr:sp macro="" textlink="">
      <xdr:nvSpPr>
        <xdr:cNvPr id="23" name="Rectangle 22">
          <a:extLst>
            <a:ext uri="{FF2B5EF4-FFF2-40B4-BE49-F238E27FC236}">
              <a16:creationId xmlns:a16="http://schemas.microsoft.com/office/drawing/2014/main" id="{00000000-0008-0000-0200-000017000000}"/>
            </a:ext>
          </a:extLst>
        </xdr:cNvPr>
        <xdr:cNvSpPr/>
      </xdr:nvSpPr>
      <xdr:spPr>
        <a:xfrm>
          <a:off x="782109" y="3710516"/>
          <a:ext cx="1552575" cy="317500"/>
        </a:xfrm>
        <a:prstGeom prst="rect">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a:latin typeface="Century Gothic" panose="020B0502020202020204" pitchFamily="34" charset="0"/>
            </a:rPr>
            <a:t>AVERAGE PROFIT</a:t>
          </a:r>
          <a:r>
            <a:rPr lang="en-US" sz="900" baseline="0">
              <a:latin typeface="Century Gothic" panose="020B0502020202020204" pitchFamily="34" charset="0"/>
            </a:rPr>
            <a:t> AFTER TAX</a:t>
          </a:r>
          <a:endParaRPr lang="en-US" sz="900">
            <a:latin typeface="Century Gothic" panose="020B0502020202020204" pitchFamily="34" charset="0"/>
          </a:endParaRPr>
        </a:p>
      </xdr:txBody>
    </xdr:sp>
    <xdr:clientData/>
  </xdr:twoCellAnchor>
  <xdr:twoCellAnchor>
    <xdr:from>
      <xdr:col>3</xdr:col>
      <xdr:colOff>98425</xdr:colOff>
      <xdr:row>9</xdr:row>
      <xdr:rowOff>151511</xdr:rowOff>
    </xdr:from>
    <xdr:to>
      <xdr:col>4</xdr:col>
      <xdr:colOff>1399913</xdr:colOff>
      <xdr:row>11</xdr:row>
      <xdr:rowOff>111547</xdr:rowOff>
    </xdr:to>
    <xdr:sp macro="" textlink="Pivot!G39">
      <xdr:nvSpPr>
        <xdr:cNvPr id="24" name="Rectangle 23">
          <a:extLst>
            <a:ext uri="{FF2B5EF4-FFF2-40B4-BE49-F238E27FC236}">
              <a16:creationId xmlns:a16="http://schemas.microsoft.com/office/drawing/2014/main" id="{00000000-0008-0000-0200-000018000000}"/>
            </a:ext>
          </a:extLst>
        </xdr:cNvPr>
        <xdr:cNvSpPr/>
      </xdr:nvSpPr>
      <xdr:spPr>
        <a:xfrm>
          <a:off x="796925" y="1580261"/>
          <a:ext cx="1534321" cy="277536"/>
        </a:xfrm>
        <a:prstGeom prst="rect">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1C87388A-AAB5-4A95-A9C1-D36D17B3807D}" type="TxLink">
            <a:rPr lang="en-US" sz="1400" b="1" i="0" u="none" strike="noStrike">
              <a:solidFill>
                <a:srgbClr val="000000"/>
              </a:solidFill>
              <a:latin typeface="Century Gothic"/>
            </a:rPr>
            <a:pPr algn="ctr"/>
            <a:t>₦ 256,680,000</a:t>
          </a:fld>
          <a:endParaRPr lang="en-US" sz="1200" b="1">
            <a:latin typeface="Century Gothic" panose="020B0502020202020204" pitchFamily="34" charset="0"/>
          </a:endParaRPr>
        </a:p>
      </xdr:txBody>
    </xdr:sp>
    <xdr:clientData/>
  </xdr:twoCellAnchor>
  <xdr:twoCellAnchor>
    <xdr:from>
      <xdr:col>3</xdr:col>
      <xdr:colOff>87842</xdr:colOff>
      <xdr:row>18</xdr:row>
      <xdr:rowOff>45678</xdr:rowOff>
    </xdr:from>
    <xdr:to>
      <xdr:col>4</xdr:col>
      <xdr:colOff>1389330</xdr:colOff>
      <xdr:row>20</xdr:row>
      <xdr:rowOff>5713</xdr:rowOff>
    </xdr:to>
    <xdr:sp macro="" textlink="Pivot!H39">
      <xdr:nvSpPr>
        <xdr:cNvPr id="25" name="Rectangle 24">
          <a:extLst>
            <a:ext uri="{FF2B5EF4-FFF2-40B4-BE49-F238E27FC236}">
              <a16:creationId xmlns:a16="http://schemas.microsoft.com/office/drawing/2014/main" id="{00000000-0008-0000-0200-000019000000}"/>
            </a:ext>
          </a:extLst>
        </xdr:cNvPr>
        <xdr:cNvSpPr/>
      </xdr:nvSpPr>
      <xdr:spPr>
        <a:xfrm>
          <a:off x="786342" y="2903178"/>
          <a:ext cx="1534321" cy="277535"/>
        </a:xfrm>
        <a:prstGeom prst="rect">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6B7999BA-2EC3-4EE0-847C-CD6F5531C5CB}" type="TxLink">
            <a:rPr lang="en-US" sz="1400" b="1" i="0" u="none" strike="noStrike">
              <a:solidFill>
                <a:srgbClr val="000000"/>
              </a:solidFill>
              <a:latin typeface="Century Gothic"/>
            </a:rPr>
            <a:pPr algn="ctr"/>
            <a:t>₦ 148,716,000</a:t>
          </a:fld>
          <a:endParaRPr lang="en-US" sz="1200" b="1">
            <a:latin typeface="Century Gothic" panose="020B0502020202020204" pitchFamily="34" charset="0"/>
          </a:endParaRPr>
        </a:p>
      </xdr:txBody>
    </xdr:sp>
    <xdr:clientData/>
  </xdr:twoCellAnchor>
  <xdr:twoCellAnchor>
    <xdr:from>
      <xdr:col>3</xdr:col>
      <xdr:colOff>87842</xdr:colOff>
      <xdr:row>26</xdr:row>
      <xdr:rowOff>63500</xdr:rowOff>
    </xdr:from>
    <xdr:to>
      <xdr:col>4</xdr:col>
      <xdr:colOff>1407584</xdr:colOff>
      <xdr:row>28</xdr:row>
      <xdr:rowOff>63500</xdr:rowOff>
    </xdr:to>
    <xdr:sp macro="" textlink="Pivot!I39">
      <xdr:nvSpPr>
        <xdr:cNvPr id="26" name="Rectangle 25">
          <a:extLst>
            <a:ext uri="{FF2B5EF4-FFF2-40B4-BE49-F238E27FC236}">
              <a16:creationId xmlns:a16="http://schemas.microsoft.com/office/drawing/2014/main" id="{00000000-0008-0000-0200-00001A000000}"/>
            </a:ext>
          </a:extLst>
        </xdr:cNvPr>
        <xdr:cNvSpPr/>
      </xdr:nvSpPr>
      <xdr:spPr>
        <a:xfrm>
          <a:off x="786342" y="4191000"/>
          <a:ext cx="1552575" cy="317500"/>
        </a:xfrm>
        <a:prstGeom prst="rect">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C0D6946E-8B47-41B4-A9B8-2ACD1368BD39}" type="TxLink">
            <a:rPr lang="en-US" sz="1400" b="1" i="0" u="none" strike="noStrike">
              <a:solidFill>
                <a:srgbClr val="000000"/>
              </a:solidFill>
              <a:latin typeface="Century Gothic"/>
            </a:rPr>
            <a:pPr algn="ctr"/>
            <a:t>₦ 19,019,634</a:t>
          </a:fld>
          <a:endParaRPr lang="en-US" sz="1200" b="1">
            <a:latin typeface="Century Gothic" panose="020B0502020202020204" pitchFamily="34" charset="0"/>
          </a:endParaRPr>
        </a:p>
      </xdr:txBody>
    </xdr:sp>
    <xdr:clientData/>
  </xdr:twoCellAnchor>
  <xdr:twoCellAnchor editAs="oneCell">
    <xdr:from>
      <xdr:col>10</xdr:col>
      <xdr:colOff>867832</xdr:colOff>
      <xdr:row>18</xdr:row>
      <xdr:rowOff>103717</xdr:rowOff>
    </xdr:from>
    <xdr:to>
      <xdr:col>12</xdr:col>
      <xdr:colOff>21165</xdr:colOff>
      <xdr:row>29</xdr:row>
      <xdr:rowOff>127000</xdr:rowOff>
    </xdr:to>
    <mc:AlternateContent xmlns:mc="http://schemas.openxmlformats.org/markup-compatibility/2006" xmlns:a14="http://schemas.microsoft.com/office/drawing/2010/main">
      <mc:Choice Requires="a14">
        <xdr:graphicFrame macro="">
          <xdr:nvGraphicFramePr>
            <xdr:cNvPr id="27" name="Year">
              <a:extLst>
                <a:ext uri="{FF2B5EF4-FFF2-40B4-BE49-F238E27FC236}">
                  <a16:creationId xmlns:a16="http://schemas.microsoft.com/office/drawing/2014/main" id="{00000000-0008-0000-0200-00001B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981259" y="2929110"/>
              <a:ext cx="1322322" cy="17499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0.15194</cdr:x>
      <cdr:y>0</cdr:y>
    </cdr:from>
    <cdr:to>
      <cdr:x>0.65375</cdr:x>
      <cdr:y>0.11163</cdr:y>
    </cdr:to>
    <cdr:sp macro="" textlink="">
      <cdr:nvSpPr>
        <cdr:cNvPr id="2" name="Rectangle 1">
          <a:extLst xmlns:a="http://schemas.openxmlformats.org/drawingml/2006/main">
            <a:ext uri="{FF2B5EF4-FFF2-40B4-BE49-F238E27FC236}">
              <a16:creationId xmlns:a16="http://schemas.microsoft.com/office/drawing/2014/main" id="{6C5277C0-AE5A-4AA5-8F26-667C6824BF86}"/>
            </a:ext>
          </a:extLst>
        </cdr:cNvPr>
        <cdr:cNvSpPr/>
      </cdr:nvSpPr>
      <cdr:spPr>
        <a:xfrm xmlns:a="http://schemas.openxmlformats.org/drawingml/2006/main">
          <a:off x="622299" y="0"/>
          <a:ext cx="2055282" cy="206745"/>
        </a:xfrm>
        <a:prstGeom xmlns:a="http://schemas.openxmlformats.org/drawingml/2006/main" prst="rect">
          <a:avLst/>
        </a:prstGeom>
        <a:solidFill xmlns:a="http://schemas.openxmlformats.org/drawingml/2006/main">
          <a:schemeClr val="accent6">
            <a:lumMod val="75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sz="900">
              <a:latin typeface="Century Gothic" panose="020B0502020202020204" pitchFamily="34" charset="0"/>
            </a:rPr>
            <a:t>OVERALL</a:t>
          </a:r>
          <a:r>
            <a:rPr lang="en-US" sz="900" baseline="0">
              <a:latin typeface="Century Gothic" panose="020B0502020202020204" pitchFamily="34" charset="0"/>
            </a:rPr>
            <a:t> PERFROMANCE</a:t>
          </a:r>
          <a:endParaRPr lang="en-US" sz="900">
            <a:latin typeface="Century Gothic" panose="020B0502020202020204" pitchFamily="34"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0.17348</cdr:x>
      <cdr:y>0</cdr:y>
    </cdr:from>
    <cdr:to>
      <cdr:x>0.82576</cdr:x>
      <cdr:y>0.1236</cdr:y>
    </cdr:to>
    <cdr:sp macro="" textlink="">
      <cdr:nvSpPr>
        <cdr:cNvPr id="2" name="Rectangle 1">
          <a:extLst xmlns:a="http://schemas.openxmlformats.org/drawingml/2006/main">
            <a:ext uri="{FF2B5EF4-FFF2-40B4-BE49-F238E27FC236}">
              <a16:creationId xmlns:a16="http://schemas.microsoft.com/office/drawing/2014/main" id="{6C5277C0-AE5A-4AA5-8F26-667C6824BF86}"/>
            </a:ext>
          </a:extLst>
        </cdr:cNvPr>
        <cdr:cNvSpPr/>
      </cdr:nvSpPr>
      <cdr:spPr>
        <a:xfrm xmlns:a="http://schemas.openxmlformats.org/drawingml/2006/main">
          <a:off x="484716" y="0"/>
          <a:ext cx="1822452" cy="232833"/>
        </a:xfrm>
        <a:prstGeom xmlns:a="http://schemas.openxmlformats.org/drawingml/2006/main" prst="rect">
          <a:avLst/>
        </a:prstGeom>
        <a:solidFill xmlns:a="http://schemas.openxmlformats.org/drawingml/2006/main">
          <a:schemeClr val="accent6">
            <a:lumMod val="75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sz="900">
              <a:latin typeface="Century Gothic" panose="020B0502020202020204" pitchFamily="34" charset="0"/>
            </a:rPr>
            <a:t>OPEX</a:t>
          </a:r>
          <a:r>
            <a:rPr lang="en-US" sz="900" baseline="0">
              <a:latin typeface="Century Gothic" panose="020B0502020202020204" pitchFamily="34" charset="0"/>
            </a:rPr>
            <a:t> Breakdown I</a:t>
          </a:r>
          <a:endParaRPr lang="en-US" sz="900">
            <a:latin typeface="Century Gothic" panose="020B0502020202020204" pitchFamily="34"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0.0839</cdr:x>
      <cdr:y>0</cdr:y>
    </cdr:from>
    <cdr:to>
      <cdr:x>0.90254</cdr:x>
      <cdr:y>0.11667</cdr:y>
    </cdr:to>
    <cdr:sp macro="" textlink="">
      <cdr:nvSpPr>
        <cdr:cNvPr id="2" name="Rectangle 1">
          <a:extLst xmlns:a="http://schemas.openxmlformats.org/drawingml/2006/main">
            <a:ext uri="{FF2B5EF4-FFF2-40B4-BE49-F238E27FC236}">
              <a16:creationId xmlns:a16="http://schemas.microsoft.com/office/drawing/2014/main" id="{5C06A6FA-5CBE-2B94-113C-6C20788BDDB4}"/>
            </a:ext>
          </a:extLst>
        </cdr:cNvPr>
        <cdr:cNvSpPr/>
      </cdr:nvSpPr>
      <cdr:spPr>
        <a:xfrm xmlns:a="http://schemas.openxmlformats.org/drawingml/2006/main">
          <a:off x="209550" y="0"/>
          <a:ext cx="2044700" cy="222249"/>
        </a:xfrm>
        <a:prstGeom xmlns:a="http://schemas.openxmlformats.org/drawingml/2006/main" prst="rect">
          <a:avLst/>
        </a:prstGeom>
        <a:solidFill xmlns:a="http://schemas.openxmlformats.org/drawingml/2006/main">
          <a:schemeClr val="accent6">
            <a:lumMod val="75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sz="900">
              <a:latin typeface="Century Gothic" panose="020B0502020202020204" pitchFamily="34" charset="0"/>
            </a:rPr>
            <a:t>OPEX</a:t>
          </a:r>
          <a:r>
            <a:rPr lang="en-US" sz="900" baseline="0">
              <a:latin typeface="Century Gothic" panose="020B0502020202020204" pitchFamily="34" charset="0"/>
            </a:rPr>
            <a:t> Breakdown II</a:t>
          </a:r>
          <a:endParaRPr lang="en-US" sz="900">
            <a:latin typeface="Century Gothic" panose="020B0502020202020204" pitchFamily="34" charset="0"/>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0.1351</cdr:x>
      <cdr:y>0.02769</cdr:y>
    </cdr:from>
    <cdr:to>
      <cdr:x>0.87585</cdr:x>
      <cdr:y>0.13479</cdr:y>
    </cdr:to>
    <cdr:sp macro="" textlink="">
      <cdr:nvSpPr>
        <cdr:cNvPr id="2" name="Rectangle 1">
          <a:extLst xmlns:a="http://schemas.openxmlformats.org/drawingml/2006/main">
            <a:ext uri="{FF2B5EF4-FFF2-40B4-BE49-F238E27FC236}">
              <a16:creationId xmlns:a16="http://schemas.microsoft.com/office/drawing/2014/main" id="{86CD8446-AB15-0E1F-9859-8F22A7271F9C}"/>
            </a:ext>
          </a:extLst>
        </cdr:cNvPr>
        <cdr:cNvSpPr/>
      </cdr:nvSpPr>
      <cdr:spPr>
        <a:xfrm xmlns:a="http://schemas.openxmlformats.org/drawingml/2006/main">
          <a:off x="345504" y="50800"/>
          <a:ext cx="1894417" cy="196525"/>
        </a:xfrm>
        <a:prstGeom xmlns:a="http://schemas.openxmlformats.org/drawingml/2006/main" prst="rect">
          <a:avLst/>
        </a:prstGeom>
        <a:solidFill xmlns:a="http://schemas.openxmlformats.org/drawingml/2006/main">
          <a:schemeClr val="accent6">
            <a:lumMod val="75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sz="900" baseline="0">
              <a:latin typeface="Century Gothic" panose="020B0502020202020204" pitchFamily="34" charset="0"/>
            </a:rPr>
            <a:t>PROFITABILITY RATIO</a:t>
          </a:r>
          <a:endParaRPr lang="en-US" sz="900">
            <a:latin typeface="Century Gothic" panose="020B0502020202020204" pitchFamily="34" charset="0"/>
          </a:endParaRPr>
        </a:p>
      </cdr:txBody>
    </cdr:sp>
  </cdr:relSizeAnchor>
</c:userShapes>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2038350</xdr:colOff>
          <xdr:row>3</xdr:row>
          <xdr:rowOff>69850</xdr:rowOff>
        </xdr:from>
        <xdr:to>
          <xdr:col>9</xdr:col>
          <xdr:colOff>95250</xdr:colOff>
          <xdr:row>4</xdr:row>
          <xdr:rowOff>120650</xdr:rowOff>
        </xdr:to>
        <xdr:sp macro="" textlink="">
          <xdr:nvSpPr>
            <xdr:cNvPr id="5122" name="Drop Down 2" hidden="1">
              <a:extLst>
                <a:ext uri="{63B3BB69-23CF-44E3-9099-C40C66FF867C}">
                  <a14:compatExt spid="_x0000_s5122"/>
                </a:ext>
                <a:ext uri="{FF2B5EF4-FFF2-40B4-BE49-F238E27FC236}">
                  <a16:creationId xmlns:a16="http://schemas.microsoft.com/office/drawing/2014/main" id="{00000000-0008-0000-0300-000002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2038350</xdr:colOff>
          <xdr:row>3</xdr:row>
          <xdr:rowOff>69850</xdr:rowOff>
        </xdr:from>
        <xdr:to>
          <xdr:col>9</xdr:col>
          <xdr:colOff>88900</xdr:colOff>
          <xdr:row>4</xdr:row>
          <xdr:rowOff>120650</xdr:rowOff>
        </xdr:to>
        <xdr:sp macro="" textlink="">
          <xdr:nvSpPr>
            <xdr:cNvPr id="11265" name="Drop Down 1" hidden="1">
              <a:extLst>
                <a:ext uri="{63B3BB69-23CF-44E3-9099-C40C66FF867C}">
                  <a14:compatExt spid="_x0000_s11265"/>
                </a:ext>
                <a:ext uri="{FF2B5EF4-FFF2-40B4-BE49-F238E27FC236}">
                  <a16:creationId xmlns:a16="http://schemas.microsoft.com/office/drawing/2014/main" id="{00000000-0008-0000-0400-0000012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69850</xdr:colOff>
          <xdr:row>3</xdr:row>
          <xdr:rowOff>107950</xdr:rowOff>
        </xdr:from>
        <xdr:to>
          <xdr:col>7</xdr:col>
          <xdr:colOff>215900</xdr:colOff>
          <xdr:row>4</xdr:row>
          <xdr:rowOff>158750</xdr:rowOff>
        </xdr:to>
        <xdr:sp macro="" textlink="">
          <xdr:nvSpPr>
            <xdr:cNvPr id="3074" name="Drop Down 2" hidden="1">
              <a:extLst>
                <a:ext uri="{63B3BB69-23CF-44E3-9099-C40C66FF867C}">
                  <a14:compatExt spid="_x0000_s3074"/>
                </a:ext>
                <a:ext uri="{FF2B5EF4-FFF2-40B4-BE49-F238E27FC236}">
                  <a16:creationId xmlns:a16="http://schemas.microsoft.com/office/drawing/2014/main" id="{00000000-0008-0000-0500-000002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1041400</xdr:colOff>
          <xdr:row>3</xdr:row>
          <xdr:rowOff>82550</xdr:rowOff>
        </xdr:from>
        <xdr:to>
          <xdr:col>4</xdr:col>
          <xdr:colOff>2127250</xdr:colOff>
          <xdr:row>4</xdr:row>
          <xdr:rowOff>120650</xdr:rowOff>
        </xdr:to>
        <xdr:sp macro="" textlink="">
          <xdr:nvSpPr>
            <xdr:cNvPr id="2049" name="Drop Down 1" hidden="1">
              <a:extLst>
                <a:ext uri="{63B3BB69-23CF-44E3-9099-C40C66FF867C}">
                  <a14:compatExt spid="_x0000_s2049"/>
                </a:ext>
                <a:ext uri="{FF2B5EF4-FFF2-40B4-BE49-F238E27FC236}">
                  <a16:creationId xmlns:a16="http://schemas.microsoft.com/office/drawing/2014/main" id="{00000000-0008-0000-06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0</xdr:colOff>
          <xdr:row>3</xdr:row>
          <xdr:rowOff>63500</xdr:rowOff>
        </xdr:from>
        <xdr:to>
          <xdr:col>9</xdr:col>
          <xdr:colOff>6350</xdr:colOff>
          <xdr:row>4</xdr:row>
          <xdr:rowOff>101600</xdr:rowOff>
        </xdr:to>
        <xdr:sp macro="" textlink="">
          <xdr:nvSpPr>
            <xdr:cNvPr id="4097" name="Drop Down 1" hidden="1">
              <a:extLst>
                <a:ext uri="{63B3BB69-23CF-44E3-9099-C40C66FF867C}">
                  <a14:compatExt spid="_x0000_s4097"/>
                </a:ext>
                <a:ext uri="{FF2B5EF4-FFF2-40B4-BE49-F238E27FC236}">
                  <a16:creationId xmlns:a16="http://schemas.microsoft.com/office/drawing/2014/main" id="{00000000-0008-0000-07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2038350</xdr:colOff>
          <xdr:row>3</xdr:row>
          <xdr:rowOff>69850</xdr:rowOff>
        </xdr:from>
        <xdr:to>
          <xdr:col>6</xdr:col>
          <xdr:colOff>152400</xdr:colOff>
          <xdr:row>4</xdr:row>
          <xdr:rowOff>120650</xdr:rowOff>
        </xdr:to>
        <xdr:sp macro="" textlink="">
          <xdr:nvSpPr>
            <xdr:cNvPr id="12289" name="Drop Down 1" hidden="1">
              <a:extLst>
                <a:ext uri="{63B3BB69-23CF-44E3-9099-C40C66FF867C}">
                  <a14:compatExt spid="_x0000_s12289"/>
                </a:ext>
                <a:ext uri="{FF2B5EF4-FFF2-40B4-BE49-F238E27FC236}">
                  <a16:creationId xmlns:a16="http://schemas.microsoft.com/office/drawing/2014/main" id="{00000000-0008-0000-0800-0000013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2038350</xdr:colOff>
          <xdr:row>3</xdr:row>
          <xdr:rowOff>69850</xdr:rowOff>
        </xdr:from>
        <xdr:to>
          <xdr:col>6</xdr:col>
          <xdr:colOff>736600</xdr:colOff>
          <xdr:row>4</xdr:row>
          <xdr:rowOff>120650</xdr:rowOff>
        </xdr:to>
        <xdr:sp macro="" textlink="">
          <xdr:nvSpPr>
            <xdr:cNvPr id="13313" name="Drop Down 1" hidden="1">
              <a:extLst>
                <a:ext uri="{63B3BB69-23CF-44E3-9099-C40C66FF867C}">
                  <a14:compatExt spid="_x0000_s13313"/>
                </a:ext>
                <a:ext uri="{FF2B5EF4-FFF2-40B4-BE49-F238E27FC236}">
                  <a16:creationId xmlns:a16="http://schemas.microsoft.com/office/drawing/2014/main" id="{00000000-0008-0000-0900-0000013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2038350</xdr:colOff>
          <xdr:row>3</xdr:row>
          <xdr:rowOff>69850</xdr:rowOff>
        </xdr:from>
        <xdr:to>
          <xdr:col>6</xdr:col>
          <xdr:colOff>412750</xdr:colOff>
          <xdr:row>4</xdr:row>
          <xdr:rowOff>120650</xdr:rowOff>
        </xdr:to>
        <xdr:sp macro="" textlink="">
          <xdr:nvSpPr>
            <xdr:cNvPr id="14337" name="Drop Down 1" hidden="1">
              <a:extLst>
                <a:ext uri="{63B3BB69-23CF-44E3-9099-C40C66FF867C}">
                  <a14:compatExt spid="_x0000_s14337"/>
                </a:ext>
                <a:ext uri="{FF2B5EF4-FFF2-40B4-BE49-F238E27FC236}">
                  <a16:creationId xmlns:a16="http://schemas.microsoft.com/office/drawing/2014/main" id="{00000000-0008-0000-0A00-0000013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33.499572337962" createdVersion="8" refreshedVersion="8" minRefreshableVersion="3" recordCount="20" xr:uid="{324088BE-8A53-4EE3-84CD-B21A06597F74}">
  <cacheSource type="worksheet">
    <worksheetSource name="Table1"/>
  </cacheSource>
  <cacheFields count="10">
    <cacheField name="Year" numFmtId="0">
      <sharedItems containsSemiMixedTypes="0" containsString="0" containsNumber="1" containsInteger="1" minValue="2024" maxValue="2028" count="5">
        <n v="2024"/>
        <n v="2025"/>
        <n v="2026"/>
        <n v="2027"/>
        <n v="2028"/>
      </sharedItems>
    </cacheField>
    <cacheField name="Revenue" numFmtId="0">
      <sharedItems containsString="0" containsBlank="1" containsNumber="1" containsInteger="1" minValue="163200000" maxValue="378000000"/>
    </cacheField>
    <cacheField name="COS" numFmtId="0">
      <sharedItems containsString="0" containsBlank="1" containsNumber="1" containsInteger="1" minValue="72960000" maxValue="155400000"/>
    </cacheField>
    <cacheField name="Gross profit" numFmtId="0">
      <sharedItems containsString="0" containsBlank="1" containsNumber="1" containsInteger="1" minValue="90240000" maxValue="222600000"/>
    </cacheField>
    <cacheField name="Opex items" numFmtId="165">
      <sharedItems containsBlank="1" count="4">
        <m/>
        <s v="Personnel"/>
        <s v="Depreciation"/>
        <s v="Other operating Expenses"/>
      </sharedItems>
    </cacheField>
    <cacheField name="OPEX" numFmtId="165">
      <sharedItems containsString="0" containsBlank="1" containsNumber="1" minValue="4108333.3333333335" maxValue="75210000"/>
    </cacheField>
    <cacheField name="Profit after tax" numFmtId="0">
      <sharedItems containsString="0" containsBlank="1" containsNumber="1" minValue="-1714700.8333333437" maxValue="43014988.167381309"/>
    </cacheField>
    <cacheField name="Gross profit Margin" numFmtId="0">
      <sharedItems containsString="0" containsBlank="1" containsNumber="1" minValue="0.55294117647058827" maxValue="0.59743589743589742"/>
    </cacheField>
    <cacheField name="Net profit margin" numFmtId="0">
      <sharedItems containsString="0" containsBlank="1" containsNumber="1" minValue="-1.0506745302287646E-2" maxValue="0.11435732178841405"/>
    </cacheField>
    <cacheField name="ROE" numFmtId="0">
      <sharedItems containsString="0" containsBlank="1" containsNumber="1" minValue="-3.7488772358265941E-2" maxValue="0.9404434103327749"/>
    </cacheField>
  </cacheFields>
  <extLst>
    <ext xmlns:x14="http://schemas.microsoft.com/office/spreadsheetml/2009/9/main" uri="{725AE2AE-9491-48be-B2B4-4EB974FC3084}">
      <x14:pivotCacheDefinition pivotCacheId="3911110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163200000"/>
    <n v="72960000"/>
    <n v="90240000"/>
    <x v="0"/>
    <m/>
    <n v="-1714700.8333333437"/>
    <n v="0.55294117647058827"/>
    <n v="-1.0506745302287646E-2"/>
    <n v="-3.7488772358265941E-2"/>
  </r>
  <r>
    <x v="1"/>
    <n v="163200000"/>
    <n v="72960000"/>
    <n v="90240000"/>
    <x v="0"/>
    <m/>
    <n v="-368482.45833334373"/>
    <n v="0.55294117647058827"/>
    <n v="-2.257858200571959E-3"/>
    <n v="-8.0561895870890129E-3"/>
  </r>
  <r>
    <x v="2"/>
    <n v="228000000"/>
    <n v="97200000"/>
    <n v="130800000"/>
    <x v="0"/>
    <m/>
    <n v="14026942.758583326"/>
    <n v="0.5736842105263158"/>
    <n v="6.1521678765716341E-2"/>
    <n v="0.30667324219858799"/>
  </r>
  <r>
    <x v="3"/>
    <n v="351000000"/>
    <n v="141300000"/>
    <n v="209700000"/>
    <x v="0"/>
    <m/>
    <n v="40139419.947733335"/>
    <n v="0.59743589743589742"/>
    <n v="0.11435732178841405"/>
    <n v="0.87757441284270954"/>
  </r>
  <r>
    <x v="4"/>
    <n v="378000000"/>
    <n v="155400000"/>
    <n v="222600000"/>
    <x v="0"/>
    <m/>
    <n v="43014988.167381309"/>
    <n v="0.58888888888888891"/>
    <n v="0.11379626499307224"/>
    <n v="0.9404434103327749"/>
  </r>
  <r>
    <x v="0"/>
    <m/>
    <m/>
    <m/>
    <x v="1"/>
    <n v="42366000"/>
    <m/>
    <m/>
    <m/>
    <m/>
  </r>
  <r>
    <x v="0"/>
    <m/>
    <m/>
    <m/>
    <x v="2"/>
    <n v="4108333.3333333335"/>
    <m/>
    <m/>
    <m/>
    <m/>
  </r>
  <r>
    <x v="0"/>
    <m/>
    <m/>
    <m/>
    <x v="3"/>
    <n v="42540000"/>
    <m/>
    <m/>
    <m/>
    <m/>
  </r>
  <r>
    <x v="1"/>
    <m/>
    <m/>
    <m/>
    <x v="1"/>
    <n v="45126000"/>
    <m/>
    <m/>
    <m/>
    <m/>
  </r>
  <r>
    <x v="1"/>
    <m/>
    <m/>
    <m/>
    <x v="2"/>
    <n v="5288333.333333334"/>
    <m/>
    <m/>
    <m/>
    <m/>
  </r>
  <r>
    <x v="1"/>
    <m/>
    <m/>
    <m/>
    <x v="3"/>
    <n v="37400800"/>
    <m/>
    <m/>
    <m/>
    <m/>
  </r>
  <r>
    <x v="2"/>
    <m/>
    <m/>
    <m/>
    <x v="1"/>
    <n v="53682000"/>
    <m/>
    <m/>
    <m/>
    <m/>
  </r>
  <r>
    <x v="2"/>
    <m/>
    <m/>
    <m/>
    <x v="2"/>
    <n v="5288333.333333334"/>
    <m/>
    <m/>
    <m/>
    <m/>
  </r>
  <r>
    <x v="2"/>
    <m/>
    <m/>
    <m/>
    <x v="3"/>
    <n v="48548128"/>
    <m/>
    <m/>
    <m/>
    <m/>
  </r>
  <r>
    <x v="3"/>
    <m/>
    <m/>
    <m/>
    <x v="1"/>
    <n v="72450000"/>
    <m/>
    <m/>
    <m/>
    <m/>
  </r>
  <r>
    <x v="3"/>
    <m/>
    <m/>
    <m/>
    <x v="2"/>
    <n v="9774575.3333333321"/>
    <m/>
    <m/>
    <m/>
    <m/>
  </r>
  <r>
    <x v="3"/>
    <m/>
    <m/>
    <m/>
    <x v="3"/>
    <n v="68446865.920000002"/>
    <m/>
    <m/>
    <m/>
    <m/>
  </r>
  <r>
    <x v="4"/>
    <m/>
    <m/>
    <m/>
    <x v="1"/>
    <n v="75210000"/>
    <m/>
    <m/>
    <m/>
    <m/>
  </r>
  <r>
    <x v="4"/>
    <m/>
    <m/>
    <m/>
    <x v="2"/>
    <n v="10220174.629333332"/>
    <m/>
    <m/>
    <m/>
    <m/>
  </r>
  <r>
    <x v="4"/>
    <m/>
    <m/>
    <m/>
    <x v="3"/>
    <n v="73912489.83040002"/>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BC0511-EFAD-4E6F-B61B-B40ED4EE6A4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7:E13" firstHeaderRow="0" firstDataRow="1" firstDataCol="1"/>
  <pivotFields count="10">
    <pivotField axis="axisRow" showAll="0">
      <items count="6">
        <item x="0"/>
        <item x="1"/>
        <item x="2"/>
        <item x="3"/>
        <item x="4"/>
        <item t="default"/>
      </items>
    </pivotField>
    <pivotField dataField="1" showAll="0"/>
    <pivotField dataField="1" showAll="0"/>
    <pivotField dataField="1" showAll="0"/>
    <pivotField showAll="0"/>
    <pivotField showAll="0"/>
    <pivotField showAll="0"/>
    <pivotField showAll="0"/>
    <pivotField showAll="0"/>
    <pivotField showAll="0"/>
  </pivotFields>
  <rowFields count="1">
    <field x="0"/>
  </rowFields>
  <rowItems count="6">
    <i>
      <x/>
    </i>
    <i>
      <x v="1"/>
    </i>
    <i>
      <x v="2"/>
    </i>
    <i>
      <x v="3"/>
    </i>
    <i>
      <x v="4"/>
    </i>
    <i t="grand">
      <x/>
    </i>
  </rowItems>
  <colFields count="1">
    <field x="-2"/>
  </colFields>
  <colItems count="3">
    <i>
      <x/>
    </i>
    <i i="1">
      <x v="1"/>
    </i>
    <i i="2">
      <x v="2"/>
    </i>
  </colItems>
  <dataFields count="3">
    <dataField name="Sum of Revenue" fld="1" baseField="0" baseItem="0"/>
    <dataField name="Sum of Gross profit" fld="3" baseField="0" baseItem="0"/>
    <dataField name="Sum of COS" fld="2" baseField="0" baseItem="0"/>
  </dataFields>
  <formats count="2">
    <format dxfId="1">
      <pivotArea outline="0" collapsedLevelsAreSubtotals="1" fieldPosition="0"/>
    </format>
    <format dxfId="0">
      <pivotArea dataOnly="0" labelOnly="1" outline="0" fieldPosition="0">
        <references count="1">
          <reference field="4294967294" count="3">
            <x v="0"/>
            <x v="1"/>
            <x v="2"/>
          </reference>
        </references>
      </pivotArea>
    </format>
  </formats>
  <chartFormats count="3">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46B32A-DFC7-4E92-BECF-3EC33CBBE82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42:E48" firstHeaderRow="0" firstDataRow="1" firstDataCol="1"/>
  <pivotFields count="10">
    <pivotField axis="axisRow" showAll="0">
      <items count="6">
        <item x="0"/>
        <item x="1"/>
        <item x="2"/>
        <item x="3"/>
        <item x="4"/>
        <item t="default"/>
      </items>
    </pivotField>
    <pivotField showAll="0"/>
    <pivotField showAll="0"/>
    <pivotField showAll="0"/>
    <pivotField showAll="0"/>
    <pivotField showAll="0"/>
    <pivotField showAll="0"/>
    <pivotField dataField="1" showAll="0"/>
    <pivotField dataField="1" showAll="0"/>
    <pivotField dataField="1" showAll="0"/>
  </pivotFields>
  <rowFields count="1">
    <field x="0"/>
  </rowFields>
  <rowItems count="6">
    <i>
      <x/>
    </i>
    <i>
      <x v="1"/>
    </i>
    <i>
      <x v="2"/>
    </i>
    <i>
      <x v="3"/>
    </i>
    <i>
      <x v="4"/>
    </i>
    <i t="grand">
      <x/>
    </i>
  </rowItems>
  <colFields count="1">
    <field x="-2"/>
  </colFields>
  <colItems count="3">
    <i>
      <x/>
    </i>
    <i i="1">
      <x v="1"/>
    </i>
    <i i="2">
      <x v="2"/>
    </i>
  </colItems>
  <dataFields count="3">
    <dataField name="Sum of Gross profit Margin" fld="7" baseField="0" baseItem="0"/>
    <dataField name="Sum of Net profit margin" fld="8" baseField="0" baseItem="0"/>
    <dataField name="Sum of ROE" fld="9" baseField="0" baseItem="0"/>
  </dataFields>
  <formats count="1">
    <format dxfId="2">
      <pivotArea outline="0" collapsedLevelsAreSubtotals="1" fieldPosition="0"/>
    </format>
  </formats>
  <chartFormats count="5">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 chart="2" format="9">
      <pivotArea type="data" outline="0" fieldPosition="0">
        <references count="2">
          <reference field="4294967294" count="1" selected="0">
            <x v="2"/>
          </reference>
          <reference field="0" count="1" selected="0">
            <x v="1"/>
          </reference>
        </references>
      </pivotArea>
    </chartFormat>
    <chartFormat chart="2" format="10">
      <pivotArea type="data" outline="0" fieldPosition="0">
        <references count="2">
          <reference field="4294967294" count="1" selected="0">
            <x v="2"/>
          </reference>
          <reference field="0"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880B4A-7698-4087-9FB1-5708FBFF9A6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3:E39" firstHeaderRow="0" firstDataRow="1" firstDataCol="1"/>
  <pivotFields count="10">
    <pivotField axis="axisRow" showAll="0">
      <items count="6">
        <item x="0"/>
        <item x="1"/>
        <item x="2"/>
        <item x="3"/>
        <item x="4"/>
        <item t="default"/>
      </items>
    </pivotField>
    <pivotField dataField="1" showAll="0"/>
    <pivotField showAll="0"/>
    <pivotField dataField="1" showAll="0"/>
    <pivotField showAll="0"/>
    <pivotField showAll="0"/>
    <pivotField dataField="1" showAll="0"/>
    <pivotField showAll="0"/>
    <pivotField showAll="0"/>
    <pivotField showAll="0"/>
  </pivotFields>
  <rowFields count="1">
    <field x="0"/>
  </rowFields>
  <rowItems count="6">
    <i>
      <x/>
    </i>
    <i>
      <x v="1"/>
    </i>
    <i>
      <x v="2"/>
    </i>
    <i>
      <x v="3"/>
    </i>
    <i>
      <x v="4"/>
    </i>
    <i t="grand">
      <x/>
    </i>
  </rowItems>
  <colFields count="1">
    <field x="-2"/>
  </colFields>
  <colItems count="3">
    <i>
      <x/>
    </i>
    <i i="1">
      <x v="1"/>
    </i>
    <i i="2">
      <x v="2"/>
    </i>
  </colItems>
  <dataFields count="3">
    <dataField name="Average of Revenue" fld="1" subtotal="average" baseField="0" baseItem="2"/>
    <dataField name="Average of Gross profit" fld="3" subtotal="average" baseField="0" baseItem="2"/>
    <dataField name="Average of Profit after tax" fld="6" subtotal="average" baseField="0" baseItem="2"/>
  </dataFields>
  <formats count="2">
    <format dxfId="4">
      <pivotArea outline="0" collapsedLevelsAreSubtotals="1" fieldPosition="0"/>
    </format>
    <format dxfId="3">
      <pivotArea dataOnly="0" labelOnly="1" outline="0" fieldPosition="0">
        <references count="1">
          <reference field="4294967294" count="2">
            <x v="0"/>
            <x v="1"/>
          </reference>
        </references>
      </pivotArea>
    </format>
  </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150383-9B05-445C-8A39-71BEA83AEB8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5:C29" firstHeaderRow="1" firstDataRow="1" firstDataCol="1"/>
  <pivotFields count="10">
    <pivotField showAll="0">
      <items count="6">
        <item x="0"/>
        <item x="1"/>
        <item x="2"/>
        <item x="3"/>
        <item x="4"/>
        <item t="default"/>
      </items>
    </pivotField>
    <pivotField showAll="0"/>
    <pivotField showAll="0"/>
    <pivotField showAll="0"/>
    <pivotField axis="axisRow" showAll="0">
      <items count="5">
        <item x="2"/>
        <item x="3"/>
        <item x="1"/>
        <item h="1" x="0"/>
        <item t="default"/>
      </items>
    </pivotField>
    <pivotField dataField="1" showAll="0"/>
    <pivotField showAll="0"/>
    <pivotField showAll="0"/>
    <pivotField showAll="0"/>
    <pivotField showAll="0"/>
  </pivotFields>
  <rowFields count="1">
    <field x="4"/>
  </rowFields>
  <rowItems count="4">
    <i>
      <x/>
    </i>
    <i>
      <x v="1"/>
    </i>
    <i>
      <x v="2"/>
    </i>
    <i t="grand">
      <x/>
    </i>
  </rowItems>
  <colItems count="1">
    <i/>
  </colItems>
  <dataFields count="1">
    <dataField name="Sum of OPEX" fld="5" baseField="0" baseItem="0"/>
  </dataFields>
  <formats count="1">
    <format dxfId="5">
      <pivotArea outline="0" collapsedLevelsAreSubtotals="1" fieldPosition="0"/>
    </format>
  </formats>
  <chartFormats count="5">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 chart="4" format="9">
      <pivotArea type="data" outline="0" fieldPosition="0">
        <references count="2">
          <reference field="4294967294" count="1" selected="0">
            <x v="0"/>
          </reference>
          <reference field="4" count="1" selected="0">
            <x v="2"/>
          </reference>
        </references>
      </pivotArea>
    </chartFormat>
    <chartFormat chart="4" format="10">
      <pivotArea type="data" outline="0" fieldPosition="0">
        <references count="2">
          <reference field="4294967294" count="1" selected="0">
            <x v="0"/>
          </reference>
          <reference field="4" count="1" selected="0">
            <x v="3"/>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F7DEA3-B299-4898-8C5D-51C736E25D5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16:F23" firstHeaderRow="1" firstDataRow="2" firstDataCol="1"/>
  <pivotFields count="10">
    <pivotField axis="axisRow" showAll="0">
      <items count="6">
        <item x="0"/>
        <item x="1"/>
        <item x="2"/>
        <item x="3"/>
        <item x="4"/>
        <item t="default"/>
      </items>
    </pivotField>
    <pivotField showAll="0"/>
    <pivotField showAll="0"/>
    <pivotField showAll="0"/>
    <pivotField axis="axisCol" showAll="0">
      <items count="5">
        <item x="2"/>
        <item x="3"/>
        <item x="1"/>
        <item h="1" x="0"/>
        <item t="default"/>
      </items>
    </pivotField>
    <pivotField dataField="1" showAll="0"/>
    <pivotField showAll="0"/>
    <pivotField showAll="0"/>
    <pivotField showAll="0"/>
    <pivotField showAll="0"/>
  </pivotFields>
  <rowFields count="1">
    <field x="0"/>
  </rowFields>
  <rowItems count="6">
    <i>
      <x/>
    </i>
    <i>
      <x v="1"/>
    </i>
    <i>
      <x v="2"/>
    </i>
    <i>
      <x v="3"/>
    </i>
    <i>
      <x v="4"/>
    </i>
    <i t="grand">
      <x/>
    </i>
  </rowItems>
  <colFields count="1">
    <field x="4"/>
  </colFields>
  <colItems count="4">
    <i>
      <x/>
    </i>
    <i>
      <x v="1"/>
    </i>
    <i>
      <x v="2"/>
    </i>
    <i t="grand">
      <x/>
    </i>
  </colItems>
  <dataFields count="1">
    <dataField name="Sum of OPEX" fld="5" baseField="0" baseItem="0"/>
  </dataFields>
  <formats count="1">
    <format dxfId="6">
      <pivotArea outline="0" collapsedLevelsAreSubtotals="1" fieldPosition="0"/>
    </format>
  </formats>
  <chartFormats count="8">
    <chartFormat chart="2" format="4" series="1">
      <pivotArea type="data" outline="0" fieldPosition="0">
        <references count="2">
          <reference field="4294967294" count="1" selected="0">
            <x v="0"/>
          </reference>
          <reference field="4" count="1" selected="0">
            <x v="0"/>
          </reference>
        </references>
      </pivotArea>
    </chartFormat>
    <chartFormat chart="2" format="5" series="1">
      <pivotArea type="data" outline="0" fieldPosition="0">
        <references count="2">
          <reference field="4294967294" count="1" selected="0">
            <x v="0"/>
          </reference>
          <reference field="4" count="1" selected="0">
            <x v="1"/>
          </reference>
        </references>
      </pivotArea>
    </chartFormat>
    <chartFormat chart="2" format="6" series="1">
      <pivotArea type="data" outline="0" fieldPosition="0">
        <references count="2">
          <reference field="4294967294" count="1" selected="0">
            <x v="0"/>
          </reference>
          <reference field="4" count="1" selected="0">
            <x v="2"/>
          </reference>
        </references>
      </pivotArea>
    </chartFormat>
    <chartFormat chart="2" format="7" series="1">
      <pivotArea type="data" outline="0" fieldPosition="0">
        <references count="2">
          <reference field="4294967294" count="1" selected="0">
            <x v="0"/>
          </reference>
          <reference field="4" count="1" selected="0">
            <x v="3"/>
          </reference>
        </references>
      </pivotArea>
    </chartFormat>
    <chartFormat chart="3" format="8" series="1">
      <pivotArea type="data" outline="0" fieldPosition="0">
        <references count="2">
          <reference field="4294967294" count="1" selected="0">
            <x v="0"/>
          </reference>
          <reference field="4" count="1" selected="0">
            <x v="0"/>
          </reference>
        </references>
      </pivotArea>
    </chartFormat>
    <chartFormat chart="3" format="9" series="1">
      <pivotArea type="data" outline="0" fieldPosition="0">
        <references count="2">
          <reference field="4294967294" count="1" selected="0">
            <x v="0"/>
          </reference>
          <reference field="4" count="1" selected="0">
            <x v="1"/>
          </reference>
        </references>
      </pivotArea>
    </chartFormat>
    <chartFormat chart="3" format="10" series="1">
      <pivotArea type="data" outline="0" fieldPosition="0">
        <references count="2">
          <reference field="4294967294" count="1" selected="0">
            <x v="0"/>
          </reference>
          <reference field="4" count="1" selected="0">
            <x v="2"/>
          </reference>
        </references>
      </pivotArea>
    </chartFormat>
    <chartFormat chart="3" format="11" series="1">
      <pivotArea type="data" outline="0" fieldPosition="0">
        <references count="2">
          <reference field="4294967294" count="1" selected="0">
            <x v="0"/>
          </reference>
          <reference field="4" count="1" selected="0">
            <x v="3"/>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56E2031-8B70-466C-9A9E-59065479B7B3}" sourceName="Year">
  <pivotTables>
    <pivotTable tabId="10" name="PivotTable1"/>
    <pivotTable tabId="10" name="PivotTable2"/>
    <pivotTable tabId="10" name="PivotTable3"/>
    <pivotTable tabId="10" name="PivotTable4"/>
    <pivotTable tabId="10" name="PivotTable5"/>
  </pivotTables>
  <data>
    <tabular pivotCacheId="391111059">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983835BB-2B69-418C-B11D-59C34CB07278}" cache="Slicer_Year" caption="Year" style="SlicerStyleLight6"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89248A-2C43-401B-B5F2-E7CF388C788F}" name="Table1" displayName="Table1" ref="F8:O28" totalsRowShown="0">
  <autoFilter ref="F8:O28" xr:uid="{AC89248A-2C43-401B-B5F2-E7CF388C788F}"/>
  <tableColumns count="10">
    <tableColumn id="1" xr3:uid="{FB46801D-2E7C-4B33-BF24-36E0ED299B26}" name="Year" dataDxfId="9"/>
    <tableColumn id="2" xr3:uid="{F9119152-A261-420B-9C9D-25A8953A2C71}" name="Revenue"/>
    <tableColumn id="3" xr3:uid="{2FA2EC3E-4DA1-4EE3-BED6-5FAB6F1A740B}" name="COS"/>
    <tableColumn id="4" xr3:uid="{B7BBADEB-83C8-4230-86E4-656D73DEAEB8}" name="Gross profit"/>
    <tableColumn id="5" xr3:uid="{94731A96-F6F6-4D41-B9A3-3B579923BF4A}" name="Opex items" dataDxfId="8" dataCellStyle="Comma"/>
    <tableColumn id="6" xr3:uid="{C4438D15-F3D7-42BD-95D1-AE7C842DBA8E}" name="OPEX" dataDxfId="7" dataCellStyle="Comma"/>
    <tableColumn id="7" xr3:uid="{F612CDD8-7569-4451-BF06-320FAA8AB25E}" name="Profit after tax"/>
    <tableColumn id="8" xr3:uid="{9EFA65D0-DC40-4CB2-822E-5810C383A835}" name="Gross profit Margin"/>
    <tableColumn id="9" xr3:uid="{CF949B2B-677B-4C03-BF80-F673DE505218}" name="Net profit margin"/>
    <tableColumn id="10" xr3:uid="{E93F98C8-88ED-44A6-9299-4FE5E384F746}" name="ROE"/>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7.xml"/><Relationship Id="rId1" Type="http://schemas.openxmlformats.org/officeDocument/2006/relationships/printerSettings" Target="../printerSettings/printerSettings1.bin"/><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8.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4.vml"/><Relationship Id="rId1" Type="http://schemas.openxmlformats.org/officeDocument/2006/relationships/drawing" Target="../drawings/drawing9.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0.xml"/><Relationship Id="rId1" Type="http://schemas.openxmlformats.org/officeDocument/2006/relationships/printerSettings" Target="../printerSettings/printerSettings2.bin"/><Relationship Id="rId4" Type="http://schemas.openxmlformats.org/officeDocument/2006/relationships/ctrlProp" Target="../ctrlProps/ctrlProp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1.xml"/><Relationship Id="rId1" Type="http://schemas.openxmlformats.org/officeDocument/2006/relationships/printerSettings" Target="../printerSettings/printerSettings3.bin"/><Relationship Id="rId4" Type="http://schemas.openxmlformats.org/officeDocument/2006/relationships/ctrlProp" Target="../ctrlProps/ctrlProp6.xml"/></Relationships>
</file>

<file path=xl/worksheets/_rels/sheet9.xml.rels><?xml version="1.0" encoding="UTF-8" standalone="yes"?>
<Relationships xmlns="http://schemas.openxmlformats.org/package/2006/relationships"><Relationship Id="rId3" Type="http://schemas.openxmlformats.org/officeDocument/2006/relationships/ctrlProp" Target="../ctrlProps/ctrlProp7.xml"/><Relationship Id="rId2" Type="http://schemas.openxmlformats.org/officeDocument/2006/relationships/vmlDrawing" Target="../drawings/vmlDrawing7.vml"/><Relationship Id="rId1" Type="http://schemas.openxmlformats.org/officeDocument/2006/relationships/drawing" Target="../drawings/drawing12.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8.xml"/><Relationship Id="rId2" Type="http://schemas.openxmlformats.org/officeDocument/2006/relationships/vmlDrawing" Target="../drawings/vmlDrawing8.vml"/><Relationship Id="rId1" Type="http://schemas.openxmlformats.org/officeDocument/2006/relationships/drawing" Target="../drawings/drawing13.xml"/><Relationship Id="rId4"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9.xml"/><Relationship Id="rId3" Type="http://schemas.openxmlformats.org/officeDocument/2006/relationships/pivotTable" Target="../pivotTables/pivotTable3.xml"/><Relationship Id="rId7" Type="http://schemas.openxmlformats.org/officeDocument/2006/relationships/vmlDrawing" Target="../drawings/vmlDrawing9.v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4.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3EC2A-0A09-430E-A4F2-7B65F8B3BB12}">
  <sheetPr>
    <tabColor theme="5" tint="-0.249977111117893"/>
  </sheetPr>
  <dimension ref="A1"/>
  <sheetViews>
    <sheetView workbookViewId="0">
      <selection activeCell="A7" sqref="A7:C21"/>
    </sheetView>
  </sheetViews>
  <sheetFormatPr defaultColWidth="9.1796875" defaultRowHeight="12.5" x14ac:dyDescent="0.25"/>
  <cols>
    <col min="1" max="16384" width="9.1796875" style="3"/>
  </cols>
  <sheetData/>
  <pageMargins left="0.7" right="0.7" top="0.75" bottom="0.75" header="0.3" footer="0.3"/>
  <headerFooter>
    <oddFooter>&amp;L_x000D_&amp;1#&amp;"Calibri"&amp;10&amp;K008000 PUBLIC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4DF4A-B1DC-44F6-8B54-693FD92B993B}">
  <sheetPr>
    <tabColor theme="5" tint="-0.249977111117893"/>
  </sheetPr>
  <dimension ref="C7:E21"/>
  <sheetViews>
    <sheetView workbookViewId="0"/>
  </sheetViews>
  <sheetFormatPr defaultRowHeight="12.5" x14ac:dyDescent="0.25"/>
  <cols>
    <col min="1" max="3" width="8.7265625" style="44"/>
    <col min="4" max="4" width="19.36328125" style="44" customWidth="1"/>
    <col min="5" max="16384" width="8.7265625" style="44"/>
  </cols>
  <sheetData>
    <row r="7" spans="3:5" x14ac:dyDescent="0.25">
      <c r="C7" s="46" t="s">
        <v>256</v>
      </c>
      <c r="D7" s="45"/>
      <c r="E7" s="45"/>
    </row>
    <row r="8" spans="3:5" x14ac:dyDescent="0.25">
      <c r="C8" s="45"/>
      <c r="D8" s="45" t="s">
        <v>257</v>
      </c>
      <c r="E8" s="49"/>
    </row>
    <row r="9" spans="3:5" x14ac:dyDescent="0.25">
      <c r="C9" s="45"/>
      <c r="D9" s="45" t="s">
        <v>258</v>
      </c>
      <c r="E9" s="47"/>
    </row>
    <row r="10" spans="3:5" x14ac:dyDescent="0.25">
      <c r="C10" s="45"/>
      <c r="D10" s="45" t="s">
        <v>259</v>
      </c>
      <c r="E10" s="48"/>
    </row>
    <row r="11" spans="3:5" x14ac:dyDescent="0.25">
      <c r="C11" s="45"/>
      <c r="D11" s="45"/>
      <c r="E11" s="45"/>
    </row>
    <row r="12" spans="3:5" x14ac:dyDescent="0.25">
      <c r="C12" s="45"/>
      <c r="D12" s="51" t="s">
        <v>260</v>
      </c>
      <c r="E12" s="45"/>
    </row>
    <row r="13" spans="3:5" x14ac:dyDescent="0.25">
      <c r="C13" s="45"/>
      <c r="D13" s="51" t="s">
        <v>261</v>
      </c>
      <c r="E13" s="45"/>
    </row>
    <row r="14" spans="3:5" x14ac:dyDescent="0.25">
      <c r="C14" s="45"/>
      <c r="D14" s="51" t="s">
        <v>262</v>
      </c>
      <c r="E14" s="45"/>
    </row>
    <row r="15" spans="3:5" x14ac:dyDescent="0.25">
      <c r="C15" s="45"/>
      <c r="D15" s="51" t="s">
        <v>2</v>
      </c>
      <c r="E15" s="45"/>
    </row>
    <row r="16" spans="3:5" x14ac:dyDescent="0.25">
      <c r="C16" s="45"/>
      <c r="D16" s="51" t="s">
        <v>3</v>
      </c>
      <c r="E16" s="45"/>
    </row>
    <row r="17" spans="3:5" x14ac:dyDescent="0.25">
      <c r="C17" s="45"/>
      <c r="D17" s="51" t="s">
        <v>263</v>
      </c>
      <c r="E17" s="45"/>
    </row>
    <row r="18" spans="3:5" x14ac:dyDescent="0.25">
      <c r="C18" s="45"/>
      <c r="D18" s="51" t="s">
        <v>264</v>
      </c>
      <c r="E18" s="45"/>
    </row>
    <row r="19" spans="3:5" x14ac:dyDescent="0.25">
      <c r="C19" s="45"/>
      <c r="D19" s="51" t="s">
        <v>265</v>
      </c>
      <c r="E19" s="45"/>
    </row>
    <row r="20" spans="3:5" x14ac:dyDescent="0.25">
      <c r="C20" s="45"/>
      <c r="D20" s="51" t="s">
        <v>242</v>
      </c>
      <c r="E20" s="45"/>
    </row>
    <row r="21" spans="3:5" x14ac:dyDescent="0.25">
      <c r="C21" s="45"/>
      <c r="D21" s="50"/>
      <c r="E21" s="45"/>
    </row>
  </sheetData>
  <hyperlinks>
    <hyperlink ref="D12" location="Dashboard!A1" display="Dashboard" xr:uid="{63283727-CA47-4E5E-AEAB-F3937CEF6B07}"/>
    <hyperlink ref="D13" location="'Financial Statement'!A1" display="Financial statement" xr:uid="{3091ED9D-62E0-4E4F-8DCD-5B4653771409}"/>
    <hyperlink ref="D14" location="Valuation!A1" display="Valuation" xr:uid="{EDA473D1-BD59-410C-8502-5D3EDBB61974}"/>
    <hyperlink ref="D15" location="Assumptions!A1" display="Assumptions" xr:uid="{B19D3E58-F005-462B-887F-4FC2AA9D3F12}"/>
    <hyperlink ref="D16" location="Workings!A1" display="Workings" xr:uid="{9F2A8A8E-47B9-40CB-8CAD-6FEC2937C64B}"/>
    <hyperlink ref="D17" location="CAPEX!A1" display="Capex" xr:uid="{93495E25-D0A7-4DBF-8B66-EAD275DE7DEC}"/>
    <hyperlink ref="D18" location="Analysis!A1" display="Analysis" xr:uid="{115037E7-1C73-4082-8D78-8DD14732F3A8}"/>
    <hyperlink ref="D19" location="Dataset!A1" display="Dataset" xr:uid="{6AC840F5-0AA0-4908-BE3F-338F1AADD6E3}"/>
    <hyperlink ref="D20" location="Pivot!A1" display="Pivot" xr:uid="{46A5C36A-E550-4F7F-839F-27413A1652E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E391E-6735-4B56-BCCF-2E6EAED26179}">
  <sheetPr>
    <tabColor theme="5" tint="-0.249977111117893"/>
  </sheetPr>
  <dimension ref="K1"/>
  <sheetViews>
    <sheetView zoomScale="89" zoomScaleNormal="89" workbookViewId="0">
      <selection activeCell="K1" sqref="K1"/>
    </sheetView>
  </sheetViews>
  <sheetFormatPr defaultRowHeight="12.5" x14ac:dyDescent="0.25"/>
  <cols>
    <col min="1" max="4" width="3.26953125" style="42" customWidth="1"/>
    <col min="5" max="5" width="38.54296875" style="42" customWidth="1"/>
    <col min="6" max="9" width="8.7265625" style="42"/>
    <col min="10" max="14" width="15.54296875" style="42" customWidth="1"/>
    <col min="15" max="16384" width="8.7265625" style="42"/>
  </cols>
  <sheetData>
    <row r="1" spans="11:11" x14ac:dyDescent="0.25">
      <c r="K1" s="52" t="s">
        <v>266</v>
      </c>
    </row>
  </sheetData>
  <hyperlinks>
    <hyperlink ref="K1" location="Guide!A1" display="Menu" xr:uid="{2C4CD27A-2529-49E7-85EA-DAFD9372A601}"/>
  </hyperlinks>
  <pageMargins left="0.7" right="0.7" top="0.75" bottom="0.75" header="0.3" footer="0.3"/>
  <headerFooter>
    <oddFooter>&amp;L_x000D_&amp;1#&amp;"Calibri"&amp;10&amp;K008000 PUBLIC</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6147" r:id="rId3" name="Drop Down 3">
              <controlPr defaultSize="0" autoLine="0" autoPict="0">
                <anchor moveWithCells="1">
                  <from>
                    <xdr:col>5</xdr:col>
                    <xdr:colOff>603250</xdr:colOff>
                    <xdr:row>2</xdr:row>
                    <xdr:rowOff>69850</xdr:rowOff>
                  </from>
                  <to>
                    <xdr:col>7</xdr:col>
                    <xdr:colOff>609600</xdr:colOff>
                    <xdr:row>4</xdr:row>
                    <xdr:rowOff>31750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9118-61C8-4E88-B6C6-5031B3D4A11F}">
  <sheetPr>
    <tabColor theme="5" tint="-0.249977111117893"/>
  </sheetPr>
  <dimension ref="A1:N113"/>
  <sheetViews>
    <sheetView workbookViewId="0">
      <selection activeCell="L1" sqref="L1"/>
    </sheetView>
  </sheetViews>
  <sheetFormatPr defaultRowHeight="12.5" x14ac:dyDescent="0.25"/>
  <cols>
    <col min="1" max="4" width="3.26953125" customWidth="1"/>
    <col min="5" max="5" width="38.54296875" customWidth="1"/>
    <col min="6" max="9" width="1.26953125" customWidth="1"/>
    <col min="10" max="14" width="15.54296875" style="17" customWidth="1"/>
    <col min="15" max="16384" width="8.7265625" style="17"/>
  </cols>
  <sheetData>
    <row r="1" spans="1:14" s="1" customFormat="1" ht="14.5" x14ac:dyDescent="0.35">
      <c r="A1" s="2" t="s">
        <v>6</v>
      </c>
      <c r="L1" s="53" t="s">
        <v>266</v>
      </c>
    </row>
    <row r="2" spans="1:14" s="2" customFormat="1" ht="13.5" x14ac:dyDescent="0.25">
      <c r="A2" s="2" t="s">
        <v>0</v>
      </c>
    </row>
    <row r="3" spans="1:14" s="2" customFormat="1" ht="13.5" x14ac:dyDescent="0.25">
      <c r="A3" s="2" t="s">
        <v>5</v>
      </c>
    </row>
    <row r="4" spans="1:14" s="2" customFormat="1" ht="13.5" x14ac:dyDescent="0.25"/>
    <row r="5" spans="1:14" s="2" customFormat="1" ht="13.5" x14ac:dyDescent="0.25">
      <c r="A5" s="2" t="s">
        <v>1</v>
      </c>
      <c r="J5" s="2">
        <v>2024</v>
      </c>
      <c r="K5" s="2">
        <v>2025</v>
      </c>
      <c r="L5" s="2">
        <v>2026</v>
      </c>
      <c r="M5" s="2">
        <v>2027</v>
      </c>
      <c r="N5" s="2">
        <v>2028</v>
      </c>
    </row>
    <row r="6" spans="1:14" customFormat="1" x14ac:dyDescent="0.25"/>
    <row r="7" spans="1:14" s="9" customFormat="1" x14ac:dyDescent="0.25">
      <c r="A7" s="9" t="s">
        <v>9</v>
      </c>
      <c r="B7" s="9" t="s">
        <v>114</v>
      </c>
    </row>
    <row r="8" spans="1:14" x14ac:dyDescent="0.25">
      <c r="E8" t="s">
        <v>90</v>
      </c>
      <c r="J8" s="17">
        <f>Workings!J11</f>
        <v>163200000</v>
      </c>
      <c r="K8" s="17">
        <f>Workings!K11</f>
        <v>163200000</v>
      </c>
      <c r="L8" s="17">
        <f>Workings!L11</f>
        <v>228000000</v>
      </c>
      <c r="M8" s="17">
        <f>Workings!M11</f>
        <v>351000000</v>
      </c>
      <c r="N8" s="17">
        <f>Workings!N11</f>
        <v>378000000</v>
      </c>
    </row>
    <row r="10" spans="1:14" x14ac:dyDescent="0.25">
      <c r="E10" t="s">
        <v>89</v>
      </c>
      <c r="J10" s="17">
        <f>-Workings!J22</f>
        <v>-72960000</v>
      </c>
      <c r="K10" s="17">
        <f>-Workings!K22</f>
        <v>-72960000</v>
      </c>
      <c r="L10" s="17">
        <f>-Workings!L22</f>
        <v>-97200000</v>
      </c>
      <c r="M10" s="17">
        <f>-Workings!M22</f>
        <v>-141300000</v>
      </c>
      <c r="N10" s="17">
        <f>-Workings!N22</f>
        <v>-155400000</v>
      </c>
    </row>
    <row r="12" spans="1:14" x14ac:dyDescent="0.25">
      <c r="E12" s="13" t="s">
        <v>115</v>
      </c>
      <c r="J12" s="18">
        <f>SUM(J8:J10)</f>
        <v>90240000</v>
      </c>
      <c r="K12" s="18">
        <f t="shared" ref="K12:N12" si="0">SUM(K8:K10)</f>
        <v>90240000</v>
      </c>
      <c r="L12" s="18">
        <f t="shared" si="0"/>
        <v>130800000</v>
      </c>
      <c r="M12" s="18">
        <f t="shared" si="0"/>
        <v>209700000</v>
      </c>
      <c r="N12" s="18">
        <f t="shared" si="0"/>
        <v>222600000</v>
      </c>
    </row>
    <row r="14" spans="1:14" x14ac:dyDescent="0.25">
      <c r="E14" s="13" t="s">
        <v>116</v>
      </c>
      <c r="J14" s="24">
        <f ca="1">SUM(J15:J17)</f>
        <v>-89014333.333333343</v>
      </c>
      <c r="K14" s="24">
        <f t="shared" ref="K14:N14" ca="1" si="1">SUM(K15:K17)</f>
        <v>-87815133.333333343</v>
      </c>
      <c r="L14" s="24">
        <f t="shared" ca="1" si="1"/>
        <v>-107518461.33333334</v>
      </c>
      <c r="M14" s="24">
        <f t="shared" ca="1" si="1"/>
        <v>-150671441.25333333</v>
      </c>
      <c r="N14" s="24">
        <f t="shared" ca="1" si="1"/>
        <v>-159342664.45973337</v>
      </c>
    </row>
    <row r="15" spans="1:14" x14ac:dyDescent="0.25">
      <c r="E15" t="s">
        <v>47</v>
      </c>
      <c r="J15" s="17">
        <f>-Workings!J47</f>
        <v>-42366000</v>
      </c>
      <c r="K15" s="17">
        <f>-Workings!K47</f>
        <v>-45126000</v>
      </c>
      <c r="L15" s="17">
        <f>-Workings!L47</f>
        <v>-53682000</v>
      </c>
      <c r="M15" s="17">
        <f>-Workings!M47</f>
        <v>-72450000</v>
      </c>
      <c r="N15" s="17">
        <f>-Workings!N47</f>
        <v>-75210000</v>
      </c>
    </row>
    <row r="16" spans="1:14" x14ac:dyDescent="0.25">
      <c r="E16" t="s">
        <v>69</v>
      </c>
      <c r="J16" s="17">
        <f ca="1">-Workings!J82</f>
        <v>-4108333.3333333335</v>
      </c>
      <c r="K16" s="17">
        <f ca="1">-Workings!K82</f>
        <v>-5288333.333333334</v>
      </c>
      <c r="L16" s="17">
        <f ca="1">-Workings!L82</f>
        <v>-5288333.333333334</v>
      </c>
      <c r="M16" s="17">
        <f ca="1">-Workings!M82</f>
        <v>-9774575.3333333321</v>
      </c>
      <c r="N16" s="17">
        <f ca="1">-Workings!N82</f>
        <v>-10220174.629333332</v>
      </c>
    </row>
    <row r="17" spans="5:14" x14ac:dyDescent="0.25">
      <c r="E17" t="s">
        <v>33</v>
      </c>
      <c r="J17" s="17">
        <f>-Workings!J63</f>
        <v>-42540000</v>
      </c>
      <c r="K17" s="17">
        <f>-Workings!K63</f>
        <v>-37400800</v>
      </c>
      <c r="L17" s="17">
        <f>-Workings!L63</f>
        <v>-48548128</v>
      </c>
      <c r="M17" s="17">
        <f>-Workings!M63</f>
        <v>-68446865.920000002</v>
      </c>
      <c r="N17" s="17">
        <f>-Workings!N63</f>
        <v>-73912489.83040002</v>
      </c>
    </row>
    <row r="19" spans="5:14" x14ac:dyDescent="0.25">
      <c r="E19" s="13" t="s">
        <v>117</v>
      </c>
      <c r="J19" s="18">
        <f ca="1">J12+J14</f>
        <v>1225666.6666666567</v>
      </c>
      <c r="K19" s="18">
        <f t="shared" ref="K19:N19" ca="1" si="2">K12+K14</f>
        <v>2424866.6666666567</v>
      </c>
      <c r="L19" s="18">
        <f t="shared" ca="1" si="2"/>
        <v>23281538.666666657</v>
      </c>
      <c r="M19" s="18">
        <f t="shared" ca="1" si="2"/>
        <v>59028558.74666667</v>
      </c>
      <c r="N19" s="18">
        <f t="shared" ca="1" si="2"/>
        <v>63257335.540266633</v>
      </c>
    </row>
    <row r="21" spans="5:14" x14ac:dyDescent="0.25">
      <c r="E21" t="s">
        <v>118</v>
      </c>
      <c r="J21" s="26">
        <f>-Workings!J109</f>
        <v>-2940367.5000000005</v>
      </c>
      <c r="K21" s="26">
        <f>-Workings!K109</f>
        <v>-2793349.1250000005</v>
      </c>
      <c r="L21" s="26">
        <f>-Workings!L109</f>
        <v>-2653681.6687500007</v>
      </c>
      <c r="M21" s="26">
        <f>-Workings!M109</f>
        <v>0</v>
      </c>
      <c r="N21" s="26">
        <f>-Workings!N109</f>
        <v>0</v>
      </c>
    </row>
    <row r="23" spans="5:14" x14ac:dyDescent="0.25">
      <c r="E23" s="13" t="s">
        <v>119</v>
      </c>
      <c r="J23" s="18">
        <f ca="1">J19+J21</f>
        <v>-1714700.8333333437</v>
      </c>
      <c r="K23" s="18">
        <f t="shared" ref="K23:N23" ca="1" si="3">K19+K21</f>
        <v>-368482.45833334373</v>
      </c>
      <c r="L23" s="18">
        <f t="shared" ca="1" si="3"/>
        <v>20627856.997916657</v>
      </c>
      <c r="M23" s="18">
        <f t="shared" ca="1" si="3"/>
        <v>59028558.74666667</v>
      </c>
      <c r="N23" s="18">
        <f t="shared" ca="1" si="3"/>
        <v>63257335.540266633</v>
      </c>
    </row>
    <row r="25" spans="5:14" x14ac:dyDescent="0.25">
      <c r="E25" t="s">
        <v>120</v>
      </c>
      <c r="J25" s="26">
        <f ca="1">-Workings!J121</f>
        <v>0</v>
      </c>
      <c r="K25" s="26">
        <f ca="1">-Workings!K121</f>
        <v>0</v>
      </c>
      <c r="L25" s="26">
        <f ca="1">-Workings!L121</f>
        <v>-6600914.2393333307</v>
      </c>
      <c r="M25" s="26">
        <f ca="1">-Workings!M121</f>
        <v>-18889138.798933335</v>
      </c>
      <c r="N25" s="26">
        <f ca="1">-Workings!N121</f>
        <v>-20242347.372885324</v>
      </c>
    </row>
    <row r="27" spans="5:14" x14ac:dyDescent="0.25">
      <c r="E27" s="13" t="s">
        <v>121</v>
      </c>
      <c r="J27" s="18">
        <f ca="1">J23+J25</f>
        <v>-1714700.8333333437</v>
      </c>
      <c r="K27" s="18">
        <f t="shared" ref="K27:N27" ca="1" si="4">K23+K25</f>
        <v>-368482.45833334373</v>
      </c>
      <c r="L27" s="18">
        <f t="shared" ca="1" si="4"/>
        <v>14026942.758583326</v>
      </c>
      <c r="M27" s="18">
        <f t="shared" ca="1" si="4"/>
        <v>40139419.947733335</v>
      </c>
      <c r="N27" s="18">
        <f t="shared" ca="1" si="4"/>
        <v>43014988.167381309</v>
      </c>
    </row>
    <row r="29" spans="5:14" x14ac:dyDescent="0.25">
      <c r="E29" t="s">
        <v>122</v>
      </c>
      <c r="J29" s="26">
        <f ca="1">-Workings!J132</f>
        <v>0</v>
      </c>
      <c r="K29" s="26">
        <f ca="1">-Workings!K132</f>
        <v>0</v>
      </c>
      <c r="L29" s="26">
        <f ca="1">-Workings!L132</f>
        <v>-2805388.5517166653</v>
      </c>
      <c r="M29" s="26">
        <f ca="1">-Workings!M132</f>
        <v>-8027883.9895466678</v>
      </c>
      <c r="N29" s="26">
        <f ca="1">-Workings!N132</f>
        <v>-8602997.6334762629</v>
      </c>
    </row>
    <row r="31" spans="5:14" x14ac:dyDescent="0.25">
      <c r="E31" t="s">
        <v>123</v>
      </c>
      <c r="J31" s="18">
        <f ca="1">SUM(J27:J29)</f>
        <v>-1714700.8333333437</v>
      </c>
      <c r="K31" s="18">
        <f t="shared" ref="K31:N31" ca="1" si="5">SUM(K27:K29)</f>
        <v>-368482.45833334373</v>
      </c>
      <c r="L31" s="18">
        <f t="shared" ca="1" si="5"/>
        <v>11221554.206866661</v>
      </c>
      <c r="M31" s="18">
        <f t="shared" ca="1" si="5"/>
        <v>32111535.958186667</v>
      </c>
      <c r="N31" s="18">
        <f t="shared" ca="1" si="5"/>
        <v>34411990.533905044</v>
      </c>
    </row>
    <row r="32" spans="5:14" ht="13" thickBot="1" x14ac:dyDescent="0.3">
      <c r="E32" t="s">
        <v>124</v>
      </c>
      <c r="J32" s="19">
        <f ca="1">I32+J31</f>
        <v>-1714700.8333333437</v>
      </c>
      <c r="K32" s="19">
        <f t="shared" ref="K32:N32" ca="1" si="6">J32+K31</f>
        <v>-2083183.2916666875</v>
      </c>
      <c r="L32" s="19">
        <f t="shared" ca="1" si="6"/>
        <v>9138370.9151999727</v>
      </c>
      <c r="M32" s="19">
        <f t="shared" ca="1" si="6"/>
        <v>41249906.873386636</v>
      </c>
      <c r="N32" s="19">
        <f t="shared" ca="1" si="6"/>
        <v>75661897.407291681</v>
      </c>
    </row>
    <row r="33" spans="1:14" ht="13" thickTop="1" x14ac:dyDescent="0.25"/>
    <row r="35" spans="1:14" s="9" customFormat="1" x14ac:dyDescent="0.25">
      <c r="A35" s="9" t="s">
        <v>9</v>
      </c>
      <c r="B35" s="9" t="s">
        <v>125</v>
      </c>
    </row>
    <row r="37" spans="1:14" x14ac:dyDescent="0.25">
      <c r="C37" s="13" t="s">
        <v>126</v>
      </c>
    </row>
    <row r="38" spans="1:14" x14ac:dyDescent="0.25">
      <c r="D38" s="13" t="s">
        <v>127</v>
      </c>
    </row>
    <row r="39" spans="1:14" x14ac:dyDescent="0.25">
      <c r="E39" t="s">
        <v>62</v>
      </c>
      <c r="J39" s="17">
        <f ca="1">Workings!J85</f>
        <v>4500000</v>
      </c>
      <c r="K39" s="17">
        <f ca="1">Workings!K85</f>
        <v>3000000</v>
      </c>
      <c r="L39" s="17">
        <f ca="1">Workings!L85</f>
        <v>1500000</v>
      </c>
      <c r="M39" s="17">
        <f ca="1">Workings!M85</f>
        <v>7021944.0000000019</v>
      </c>
      <c r="N39" s="17">
        <f ca="1">Workings!N85</f>
        <v>4681296.0000000019</v>
      </c>
    </row>
    <row r="40" spans="1:14" x14ac:dyDescent="0.25">
      <c r="E40" t="s">
        <v>65</v>
      </c>
      <c r="J40" s="17">
        <f ca="1">Workings!J86</f>
        <v>3600000</v>
      </c>
      <c r="K40" s="17">
        <f ca="1">Workings!K86</f>
        <v>2700000</v>
      </c>
      <c r="L40" s="17">
        <f ca="1">Workings!L86</f>
        <v>1800000</v>
      </c>
      <c r="M40" s="17">
        <f ca="1">Workings!M86</f>
        <v>900000</v>
      </c>
      <c r="N40" s="17">
        <f ca="1">Workings!N86</f>
        <v>6291661.824000001</v>
      </c>
    </row>
    <row r="41" spans="1:14" x14ac:dyDescent="0.25">
      <c r="E41" t="s">
        <v>66</v>
      </c>
      <c r="J41" s="17">
        <f ca="1">Workings!J87</f>
        <v>1666666.6666666667</v>
      </c>
      <c r="K41" s="17">
        <f ca="1">Workings!K87</f>
        <v>1333333.3333333335</v>
      </c>
      <c r="L41" s="17">
        <f ca="1">Workings!L87</f>
        <v>1000000</v>
      </c>
      <c r="M41" s="17">
        <f ca="1">Workings!M87</f>
        <v>666666.66666666674</v>
      </c>
      <c r="N41" s="17">
        <f ca="1">Workings!N87</f>
        <v>333333.33333333349</v>
      </c>
    </row>
    <row r="42" spans="1:14" x14ac:dyDescent="0.25">
      <c r="E42" t="s">
        <v>67</v>
      </c>
      <c r="J42" s="17">
        <f ca="1">Workings!J88</f>
        <v>3000000</v>
      </c>
      <c r="K42" s="17">
        <f ca="1">Workings!K88</f>
        <v>5540000</v>
      </c>
      <c r="L42" s="17">
        <f ca="1">Workings!L88</f>
        <v>3360000</v>
      </c>
      <c r="M42" s="17">
        <f ca="1">Workings!M88</f>
        <v>5861296</v>
      </c>
      <c r="N42" s="17">
        <f ca="1">Workings!N88</f>
        <v>8363915.5199999996</v>
      </c>
    </row>
    <row r="43" spans="1:14" x14ac:dyDescent="0.25">
      <c r="E43" t="s">
        <v>68</v>
      </c>
      <c r="J43" s="17">
        <f ca="1">Workings!J89</f>
        <v>1125000</v>
      </c>
      <c r="K43" s="17">
        <f ca="1">Workings!K89</f>
        <v>750000</v>
      </c>
      <c r="L43" s="17">
        <f ca="1">Workings!L89</f>
        <v>375000</v>
      </c>
      <c r="M43" s="17">
        <f ca="1">Workings!M89</f>
        <v>1755486</v>
      </c>
      <c r="N43" s="17">
        <f ca="1">Workings!N89</f>
        <v>1170324</v>
      </c>
    </row>
    <row r="44" spans="1:14" x14ac:dyDescent="0.25">
      <c r="J44" s="18">
        <f ca="1">SUM(J39:J43)</f>
        <v>13891666.666666666</v>
      </c>
      <c r="K44" s="18">
        <f t="shared" ref="K44:N44" ca="1" si="7">SUM(K39:K43)</f>
        <v>13323333.333333334</v>
      </c>
      <c r="L44" s="18">
        <f t="shared" ca="1" si="7"/>
        <v>8035000</v>
      </c>
      <c r="M44" s="18">
        <f t="shared" ca="1" si="7"/>
        <v>16205392.666666668</v>
      </c>
      <c r="N44" s="18">
        <f t="shared" ca="1" si="7"/>
        <v>20840530.677333336</v>
      </c>
    </row>
    <row r="45" spans="1:14" x14ac:dyDescent="0.25">
      <c r="D45" s="13" t="s">
        <v>128</v>
      </c>
    </row>
    <row r="46" spans="1:14" x14ac:dyDescent="0.25">
      <c r="E46" t="s">
        <v>91</v>
      </c>
      <c r="J46" s="17">
        <f>Workings!J24</f>
        <v>14592000</v>
      </c>
      <c r="K46" s="17">
        <f>Workings!K24</f>
        <v>14592000</v>
      </c>
      <c r="L46" s="17">
        <f>Workings!L24</f>
        <v>19440000</v>
      </c>
      <c r="M46" s="17">
        <f>Workings!M24</f>
        <v>28260000</v>
      </c>
      <c r="N46" s="17">
        <f>Workings!N24</f>
        <v>31080000</v>
      </c>
    </row>
    <row r="47" spans="1:14" x14ac:dyDescent="0.25">
      <c r="E47" t="s">
        <v>129</v>
      </c>
      <c r="J47" s="26">
        <f>Workings!J137</f>
        <v>4080000</v>
      </c>
      <c r="K47" s="26">
        <f>Workings!K137</f>
        <v>4080000</v>
      </c>
      <c r="L47" s="26">
        <f>Workings!L137</f>
        <v>5700000</v>
      </c>
      <c r="M47" s="26">
        <f>Workings!M137</f>
        <v>8775000</v>
      </c>
      <c r="N47" s="26">
        <f>Workings!N137</f>
        <v>9450000</v>
      </c>
    </row>
    <row r="48" spans="1:14" x14ac:dyDescent="0.25">
      <c r="E48" t="s">
        <v>130</v>
      </c>
      <c r="J48" s="26">
        <f ca="1">J112</f>
        <v>31907009.999999993</v>
      </c>
      <c r="K48" s="26">
        <f t="shared" ref="K48:N48" ca="1" si="8">K112</f>
        <v>31175744.499999981</v>
      </c>
      <c r="L48" s="26">
        <f t="shared" ca="1" si="8"/>
        <v>33538723.706249967</v>
      </c>
      <c r="M48" s="26">
        <f t="shared" ca="1" si="8"/>
        <v>64198086.995199978</v>
      </c>
      <c r="N48" s="26">
        <f t="shared" ca="1" si="8"/>
        <v>92760761.736319929</v>
      </c>
    </row>
    <row r="49" spans="3:14" x14ac:dyDescent="0.25">
      <c r="D49" s="13" t="s">
        <v>131</v>
      </c>
      <c r="J49" s="18">
        <f ca="1">SUM(J46:J48)</f>
        <v>50579009.999999993</v>
      </c>
      <c r="K49" s="18">
        <f t="shared" ref="K49:N49" ca="1" si="9">SUM(K46:K48)</f>
        <v>49847744.499999985</v>
      </c>
      <c r="L49" s="18">
        <f t="shared" ca="1" si="9"/>
        <v>58678723.706249967</v>
      </c>
      <c r="M49" s="18">
        <f t="shared" ca="1" si="9"/>
        <v>101233086.99519998</v>
      </c>
      <c r="N49" s="18">
        <f t="shared" ca="1" si="9"/>
        <v>133290761.73631993</v>
      </c>
    </row>
    <row r="51" spans="3:14" ht="13" thickBot="1" x14ac:dyDescent="0.3">
      <c r="C51" s="13" t="s">
        <v>132</v>
      </c>
      <c r="J51" s="19">
        <f ca="1">J44+J49</f>
        <v>64470676.666666657</v>
      </c>
      <c r="K51" s="19">
        <f t="shared" ref="K51:N51" ca="1" si="10">K44+K49</f>
        <v>63171077.833333321</v>
      </c>
      <c r="L51" s="19">
        <f t="shared" ca="1" si="10"/>
        <v>66713723.706249967</v>
      </c>
      <c r="M51" s="19">
        <f t="shared" ca="1" si="10"/>
        <v>117438479.66186665</v>
      </c>
      <c r="N51" s="19">
        <f t="shared" ca="1" si="10"/>
        <v>154131292.41365325</v>
      </c>
    </row>
    <row r="52" spans="3:14" ht="13" thickTop="1" x14ac:dyDescent="0.25"/>
    <row r="54" spans="3:14" x14ac:dyDescent="0.25">
      <c r="C54" s="13" t="s">
        <v>133</v>
      </c>
    </row>
    <row r="55" spans="3:14" x14ac:dyDescent="0.25">
      <c r="D55" s="13" t="s">
        <v>78</v>
      </c>
    </row>
    <row r="56" spans="3:14" x14ac:dyDescent="0.25">
      <c r="E56" t="s">
        <v>153</v>
      </c>
      <c r="J56" s="26">
        <f>Workings!$J$102</f>
        <v>45739050</v>
      </c>
      <c r="K56" s="26">
        <f>Workings!$J$102</f>
        <v>45739050</v>
      </c>
      <c r="L56" s="26">
        <f>Workings!$J$102</f>
        <v>45739050</v>
      </c>
      <c r="M56" s="26">
        <f>Workings!$J$102</f>
        <v>45739050</v>
      </c>
      <c r="N56" s="26">
        <f>Workings!$J$102</f>
        <v>45739050</v>
      </c>
    </row>
    <row r="57" spans="3:14" x14ac:dyDescent="0.25">
      <c r="E57" t="s">
        <v>134</v>
      </c>
      <c r="J57" s="17">
        <f ca="1">J32</f>
        <v>-1714700.8333333437</v>
      </c>
      <c r="K57" s="17">
        <f t="shared" ref="K57:N57" ca="1" si="11">K32</f>
        <v>-2083183.2916666875</v>
      </c>
      <c r="L57" s="17">
        <f t="shared" ca="1" si="11"/>
        <v>9138370.9151999727</v>
      </c>
      <c r="M57" s="17">
        <f t="shared" ca="1" si="11"/>
        <v>41249906.873386636</v>
      </c>
      <c r="N57" s="17">
        <f t="shared" ca="1" si="11"/>
        <v>75661897.407291681</v>
      </c>
    </row>
    <row r="58" spans="3:14" x14ac:dyDescent="0.25">
      <c r="D58" s="13" t="s">
        <v>135</v>
      </c>
      <c r="J58" s="18">
        <f ca="1">SUM(J56:J57)</f>
        <v>44024349.166666657</v>
      </c>
      <c r="K58" s="18">
        <f t="shared" ref="K58:N58" ca="1" si="12">SUM(K56:K57)</f>
        <v>43655866.708333313</v>
      </c>
      <c r="L58" s="18">
        <f t="shared" ca="1" si="12"/>
        <v>54877420.915199973</v>
      </c>
      <c r="M58" s="18">
        <f t="shared" ca="1" si="12"/>
        <v>86988956.873386636</v>
      </c>
      <c r="N58" s="18">
        <f t="shared" ca="1" si="12"/>
        <v>121400947.40729168</v>
      </c>
    </row>
    <row r="60" spans="3:14" x14ac:dyDescent="0.25">
      <c r="D60" s="13" t="s">
        <v>136</v>
      </c>
    </row>
    <row r="61" spans="3:14" x14ac:dyDescent="0.25">
      <c r="D61" s="13" t="s">
        <v>137</v>
      </c>
    </row>
    <row r="62" spans="3:14" x14ac:dyDescent="0.25">
      <c r="E62" t="s">
        <v>138</v>
      </c>
      <c r="J62" s="26">
        <f>Workings!J112</f>
        <v>18622327.500000004</v>
      </c>
      <c r="K62" s="26">
        <f>Workings!K112</f>
        <v>17691211.125000004</v>
      </c>
      <c r="L62" s="26">
        <f>Workings!L112</f>
        <v>0</v>
      </c>
      <c r="M62" s="26">
        <f>Workings!M112</f>
        <v>0</v>
      </c>
      <c r="N62" s="26">
        <f>Workings!N112</f>
        <v>0</v>
      </c>
    </row>
    <row r="63" spans="3:14" x14ac:dyDescent="0.25">
      <c r="D63" s="13" t="s">
        <v>139</v>
      </c>
      <c r="J63" s="18">
        <f>SUM(J62)</f>
        <v>18622327.500000004</v>
      </c>
      <c r="K63" s="18">
        <f t="shared" ref="K63:N63" si="13">SUM(K62)</f>
        <v>17691211.125000004</v>
      </c>
      <c r="L63" s="18">
        <f t="shared" si="13"/>
        <v>0</v>
      </c>
      <c r="M63" s="18">
        <f t="shared" si="13"/>
        <v>0</v>
      </c>
      <c r="N63" s="18">
        <f t="shared" si="13"/>
        <v>0</v>
      </c>
    </row>
    <row r="66" spans="3:14" x14ac:dyDescent="0.25">
      <c r="D66" s="13" t="s">
        <v>140</v>
      </c>
    </row>
    <row r="67" spans="3:14" x14ac:dyDescent="0.25">
      <c r="E67" t="s">
        <v>171</v>
      </c>
      <c r="J67" s="26">
        <f>Workings!J141</f>
        <v>1824000</v>
      </c>
      <c r="K67" s="26">
        <f>Workings!K141</f>
        <v>1824000</v>
      </c>
      <c r="L67" s="26">
        <f>Workings!L141</f>
        <v>2430000</v>
      </c>
      <c r="M67" s="26">
        <f>Workings!M141</f>
        <v>3532500</v>
      </c>
      <c r="N67" s="26">
        <f>Workings!N141</f>
        <v>3885000</v>
      </c>
    </row>
    <row r="68" spans="3:14" x14ac:dyDescent="0.25">
      <c r="E68" t="s">
        <v>141</v>
      </c>
      <c r="J68" s="26">
        <f ca="1">Workings!J134</f>
        <v>0</v>
      </c>
      <c r="K68" s="26">
        <f ca="1">Workings!K134</f>
        <v>0</v>
      </c>
      <c r="L68" s="26">
        <f ca="1">Workings!L134</f>
        <v>2805388.5517166653</v>
      </c>
      <c r="M68" s="26">
        <f ca="1">Workings!M134</f>
        <v>8027883.9895466678</v>
      </c>
      <c r="N68" s="26">
        <f ca="1">Workings!N134</f>
        <v>8602997.6334762629</v>
      </c>
    </row>
    <row r="69" spans="3:14" x14ac:dyDescent="0.25">
      <c r="E69" t="s">
        <v>142</v>
      </c>
      <c r="J69" s="26">
        <f ca="1">Workings!J123</f>
        <v>0</v>
      </c>
      <c r="K69" s="26">
        <f ca="1">Workings!K123</f>
        <v>0</v>
      </c>
      <c r="L69" s="26">
        <f ca="1">Workings!L123</f>
        <v>6600914.2393333307</v>
      </c>
      <c r="M69" s="26">
        <f ca="1">Workings!M123</f>
        <v>18889138.798933335</v>
      </c>
      <c r="N69" s="26">
        <f ca="1">Workings!N123</f>
        <v>20242347.372885324</v>
      </c>
    </row>
    <row r="70" spans="3:14" x14ac:dyDescent="0.25">
      <c r="D70" s="13" t="s">
        <v>143</v>
      </c>
      <c r="J70" s="18">
        <f ca="1">SUM(J67:J69)</f>
        <v>1824000</v>
      </c>
      <c r="K70" s="18">
        <f t="shared" ref="K70:N70" ca="1" si="14">SUM(K67:K69)</f>
        <v>1824000</v>
      </c>
      <c r="L70" s="18">
        <f t="shared" ca="1" si="14"/>
        <v>11836302.791049995</v>
      </c>
      <c r="M70" s="18">
        <f t="shared" ca="1" si="14"/>
        <v>30449522.788480002</v>
      </c>
      <c r="N70" s="18">
        <f t="shared" ca="1" si="14"/>
        <v>32730345.006361589</v>
      </c>
    </row>
    <row r="72" spans="3:14" x14ac:dyDescent="0.25">
      <c r="D72" s="13" t="s">
        <v>144</v>
      </c>
      <c r="J72" s="18">
        <f ca="1">J63+J70</f>
        <v>20446327.500000004</v>
      </c>
      <c r="K72" s="18">
        <f t="shared" ref="K72:N72" ca="1" si="15">K63+K70</f>
        <v>19515211.125000004</v>
      </c>
      <c r="L72" s="18">
        <f t="shared" ca="1" si="15"/>
        <v>11836302.791049995</v>
      </c>
      <c r="M72" s="18">
        <f t="shared" ca="1" si="15"/>
        <v>30449522.788480002</v>
      </c>
      <c r="N72" s="18">
        <f t="shared" ca="1" si="15"/>
        <v>32730345.006361589</v>
      </c>
    </row>
    <row r="75" spans="3:14" ht="13" thickBot="1" x14ac:dyDescent="0.3">
      <c r="C75" s="13" t="s">
        <v>145</v>
      </c>
      <c r="J75" s="19">
        <f ca="1">J58+J72</f>
        <v>64470676.666666657</v>
      </c>
      <c r="K75" s="19">
        <f t="shared" ref="K75:N75" ca="1" si="16">K58+K72</f>
        <v>63171077.833333313</v>
      </c>
      <c r="L75" s="19">
        <f t="shared" ca="1" si="16"/>
        <v>66713723.706249967</v>
      </c>
      <c r="M75" s="19">
        <f t="shared" ca="1" si="16"/>
        <v>117438479.66186664</v>
      </c>
      <c r="N75" s="19">
        <f t="shared" ca="1" si="16"/>
        <v>154131292.41365325</v>
      </c>
    </row>
    <row r="76" spans="3:14" ht="13" thickTop="1" x14ac:dyDescent="0.25"/>
    <row r="77" spans="3:14" x14ac:dyDescent="0.25">
      <c r="E77" s="13" t="s">
        <v>146</v>
      </c>
      <c r="J77" s="24" t="b">
        <f ca="1">J51=J75</f>
        <v>1</v>
      </c>
      <c r="K77" s="24" t="b">
        <f t="shared" ref="K77:N77" ca="1" si="17">K51=K75</f>
        <v>1</v>
      </c>
      <c r="L77" s="24" t="b">
        <f t="shared" ca="1" si="17"/>
        <v>1</v>
      </c>
      <c r="M77" s="24" t="b">
        <f t="shared" ca="1" si="17"/>
        <v>1</v>
      </c>
      <c r="N77" s="24" t="b">
        <f t="shared" ca="1" si="17"/>
        <v>1</v>
      </c>
    </row>
    <row r="81" spans="1:14" s="9" customFormat="1" x14ac:dyDescent="0.25">
      <c r="A81" s="9" t="s">
        <v>9</v>
      </c>
      <c r="B81" s="9" t="s">
        <v>166</v>
      </c>
    </row>
    <row r="82" spans="1:14" x14ac:dyDescent="0.25">
      <c r="D82" s="13" t="s">
        <v>167</v>
      </c>
    </row>
    <row r="83" spans="1:14" x14ac:dyDescent="0.25">
      <c r="E83" t="s">
        <v>121</v>
      </c>
      <c r="J83" s="17">
        <f ca="1">J27</f>
        <v>-1714700.8333333437</v>
      </c>
      <c r="K83" s="17">
        <f t="shared" ref="K83:N83" ca="1" si="18">K27</f>
        <v>-368482.45833334373</v>
      </c>
      <c r="L83" s="17">
        <f t="shared" ca="1" si="18"/>
        <v>14026942.758583326</v>
      </c>
      <c r="M83" s="17">
        <f t="shared" ca="1" si="18"/>
        <v>40139419.947733335</v>
      </c>
      <c r="N83" s="17">
        <f t="shared" ca="1" si="18"/>
        <v>43014988.167381309</v>
      </c>
    </row>
    <row r="84" spans="1:14" x14ac:dyDescent="0.25">
      <c r="E84" t="s">
        <v>168</v>
      </c>
    </row>
    <row r="85" spans="1:14" x14ac:dyDescent="0.25">
      <c r="E85" s="27" t="s">
        <v>69</v>
      </c>
      <c r="J85" s="17">
        <f ca="1">-J16</f>
        <v>4108333.3333333335</v>
      </c>
      <c r="K85" s="17">
        <f t="shared" ref="K85:N85" ca="1" si="19">-K16</f>
        <v>5288333.333333334</v>
      </c>
      <c r="L85" s="17">
        <f t="shared" ca="1" si="19"/>
        <v>5288333.333333334</v>
      </c>
      <c r="M85" s="17">
        <f t="shared" ca="1" si="19"/>
        <v>9774575.3333333321</v>
      </c>
      <c r="N85" s="17">
        <f t="shared" ca="1" si="19"/>
        <v>10220174.629333332</v>
      </c>
    </row>
    <row r="86" spans="1:14" x14ac:dyDescent="0.25">
      <c r="E86" s="27" t="s">
        <v>169</v>
      </c>
      <c r="J86" s="17">
        <f ca="1">-J25</f>
        <v>0</v>
      </c>
      <c r="K86" s="17">
        <f t="shared" ref="K86:N86" ca="1" si="20">-K25</f>
        <v>0</v>
      </c>
      <c r="L86" s="17">
        <f t="shared" ca="1" si="20"/>
        <v>6600914.2393333307</v>
      </c>
      <c r="M86" s="17">
        <f t="shared" ca="1" si="20"/>
        <v>18889138.798933335</v>
      </c>
      <c r="N86" s="17">
        <f t="shared" ca="1" si="20"/>
        <v>20242347.372885324</v>
      </c>
    </row>
    <row r="87" spans="1:14" x14ac:dyDescent="0.25">
      <c r="E87" s="27" t="s">
        <v>118</v>
      </c>
      <c r="J87" s="17">
        <f>-J21</f>
        <v>2940367.5000000005</v>
      </c>
      <c r="K87" s="17">
        <f t="shared" ref="K87:N87" si="21">-K21</f>
        <v>2793349.1250000005</v>
      </c>
      <c r="L87" s="17">
        <f t="shared" si="21"/>
        <v>2653681.6687500007</v>
      </c>
      <c r="M87" s="17">
        <f t="shared" si="21"/>
        <v>0</v>
      </c>
      <c r="N87" s="17">
        <f t="shared" si="21"/>
        <v>0</v>
      </c>
    </row>
    <row r="88" spans="1:14" x14ac:dyDescent="0.25">
      <c r="J88" s="18">
        <f ca="1">SUM(J83:J87)</f>
        <v>5333999.9999999907</v>
      </c>
      <c r="K88" s="18">
        <f t="shared" ref="K88:N88" ca="1" si="22">SUM(K83:K87)</f>
        <v>7713199.9999999907</v>
      </c>
      <c r="L88" s="18">
        <f t="shared" ca="1" si="22"/>
        <v>28569871.999999989</v>
      </c>
      <c r="M88" s="18">
        <f t="shared" ca="1" si="22"/>
        <v>68803134.080000013</v>
      </c>
      <c r="N88" s="18">
        <f t="shared" ca="1" si="22"/>
        <v>73477510.169599965</v>
      </c>
    </row>
    <row r="89" spans="1:14" x14ac:dyDescent="0.25">
      <c r="E89" s="28" t="s">
        <v>173</v>
      </c>
    </row>
    <row r="90" spans="1:14" x14ac:dyDescent="0.25">
      <c r="E90" s="27" t="s">
        <v>91</v>
      </c>
      <c r="J90" s="17">
        <f>I46-J46</f>
        <v>-14592000</v>
      </c>
      <c r="K90" s="17">
        <f t="shared" ref="K90:N90" si="23">J46-K46</f>
        <v>0</v>
      </c>
      <c r="L90" s="17">
        <f t="shared" si="23"/>
        <v>-4848000</v>
      </c>
      <c r="M90" s="17">
        <f t="shared" si="23"/>
        <v>-8820000</v>
      </c>
      <c r="N90" s="17">
        <f t="shared" si="23"/>
        <v>-2820000</v>
      </c>
    </row>
    <row r="91" spans="1:14" x14ac:dyDescent="0.25">
      <c r="E91" s="27" t="s">
        <v>161</v>
      </c>
      <c r="J91" s="17">
        <f>I47-J47</f>
        <v>-4080000</v>
      </c>
      <c r="K91" s="17">
        <f t="shared" ref="K91:N91" si="24">J47-K47</f>
        <v>0</v>
      </c>
      <c r="L91" s="17">
        <f t="shared" si="24"/>
        <v>-1620000</v>
      </c>
      <c r="M91" s="17">
        <f t="shared" si="24"/>
        <v>-3075000</v>
      </c>
      <c r="N91" s="17">
        <f t="shared" si="24"/>
        <v>-675000</v>
      </c>
    </row>
    <row r="92" spans="1:14" x14ac:dyDescent="0.25">
      <c r="E92" s="27" t="s">
        <v>170</v>
      </c>
      <c r="J92" s="17">
        <f>J67-I67</f>
        <v>1824000</v>
      </c>
      <c r="K92" s="17">
        <f t="shared" ref="K92:N92" si="25">K67-J67</f>
        <v>0</v>
      </c>
      <c r="L92" s="17">
        <f t="shared" si="25"/>
        <v>606000</v>
      </c>
      <c r="M92" s="17">
        <f t="shared" si="25"/>
        <v>1102500</v>
      </c>
      <c r="N92" s="17">
        <f t="shared" si="25"/>
        <v>352500</v>
      </c>
    </row>
    <row r="93" spans="1:14" x14ac:dyDescent="0.25">
      <c r="D93" t="s">
        <v>172</v>
      </c>
      <c r="J93" s="18">
        <f ca="1">SUM(J88:J92)</f>
        <v>-11514000.000000009</v>
      </c>
      <c r="K93" s="18">
        <f t="shared" ref="K93:N93" ca="1" si="26">SUM(K88:K92)</f>
        <v>7713199.9999999907</v>
      </c>
      <c r="L93" s="18">
        <f t="shared" ca="1" si="26"/>
        <v>22707871.999999989</v>
      </c>
      <c r="M93" s="18">
        <f t="shared" ca="1" si="26"/>
        <v>58010634.080000013</v>
      </c>
      <c r="N93" s="18">
        <f t="shared" ca="1" si="26"/>
        <v>70335010.169599965</v>
      </c>
    </row>
    <row r="94" spans="1:14" x14ac:dyDescent="0.25">
      <c r="E94" s="27" t="s">
        <v>174</v>
      </c>
      <c r="J94" s="17">
        <f>Workings!J122</f>
        <v>0</v>
      </c>
      <c r="K94" s="17">
        <f ca="1">Workings!K122</f>
        <v>0</v>
      </c>
      <c r="L94" s="17">
        <f ca="1">Workings!L122</f>
        <v>0</v>
      </c>
      <c r="M94" s="17">
        <f ca="1">Workings!M122</f>
        <v>-6600914.2393333307</v>
      </c>
      <c r="N94" s="17">
        <f ca="1">Workings!N122</f>
        <v>-18889138.798933335</v>
      </c>
    </row>
    <row r="95" spans="1:14" x14ac:dyDescent="0.25">
      <c r="D95" s="13" t="s">
        <v>195</v>
      </c>
      <c r="J95" s="18">
        <f ca="1">SUM(J93:J94)</f>
        <v>-11514000.000000009</v>
      </c>
      <c r="K95" s="18">
        <f t="shared" ref="K95:N95" ca="1" si="27">SUM(K93:K94)</f>
        <v>7713199.9999999907</v>
      </c>
      <c r="L95" s="18">
        <f t="shared" ca="1" si="27"/>
        <v>22707871.999999989</v>
      </c>
      <c r="M95" s="18">
        <f t="shared" ca="1" si="27"/>
        <v>51409719.840666682</v>
      </c>
      <c r="N95" s="18">
        <f t="shared" ca="1" si="27"/>
        <v>51445871.370666631</v>
      </c>
    </row>
    <row r="98" spans="4:14" x14ac:dyDescent="0.25">
      <c r="D98" s="13" t="s">
        <v>175</v>
      </c>
    </row>
    <row r="99" spans="4:14" x14ac:dyDescent="0.25">
      <c r="E99" t="s">
        <v>176</v>
      </c>
      <c r="J99" s="17">
        <f>-Workings!J74</f>
        <v>-18000000</v>
      </c>
      <c r="K99" s="17">
        <f>-Workings!K74</f>
        <v>-4720000</v>
      </c>
      <c r="L99" s="17">
        <f>-Workings!L74</f>
        <v>0</v>
      </c>
      <c r="M99" s="17">
        <f>-Workings!M74</f>
        <v>-17944968.000000004</v>
      </c>
      <c r="N99" s="17">
        <f>-Workings!N74</f>
        <v>-14855312.640000004</v>
      </c>
    </row>
    <row r="100" spans="4:14" x14ac:dyDescent="0.25">
      <c r="D100" s="13" t="s">
        <v>177</v>
      </c>
      <c r="J100" s="18">
        <f>SUM(J99)</f>
        <v>-18000000</v>
      </c>
      <c r="K100" s="18">
        <f t="shared" ref="K100:N100" si="28">SUM(K99)</f>
        <v>-4720000</v>
      </c>
      <c r="L100" s="18">
        <f t="shared" si="28"/>
        <v>0</v>
      </c>
      <c r="M100" s="18">
        <f t="shared" si="28"/>
        <v>-17944968.000000004</v>
      </c>
      <c r="N100" s="18">
        <f t="shared" si="28"/>
        <v>-14855312.640000004</v>
      </c>
    </row>
    <row r="102" spans="4:14" x14ac:dyDescent="0.25">
      <c r="D102" s="13" t="s">
        <v>178</v>
      </c>
    </row>
    <row r="103" spans="4:14" x14ac:dyDescent="0.25">
      <c r="E103" t="s">
        <v>179</v>
      </c>
      <c r="J103" s="17">
        <f>J56-I56</f>
        <v>45739050</v>
      </c>
      <c r="K103" s="17">
        <f t="shared" ref="K103:N103" si="29">K56-J56</f>
        <v>0</v>
      </c>
      <c r="L103" s="17">
        <f t="shared" si="29"/>
        <v>0</v>
      </c>
      <c r="M103" s="17">
        <f t="shared" si="29"/>
        <v>0</v>
      </c>
      <c r="N103" s="17">
        <f t="shared" si="29"/>
        <v>0</v>
      </c>
    </row>
    <row r="104" spans="4:14" x14ac:dyDescent="0.25">
      <c r="E104" t="s">
        <v>180</v>
      </c>
      <c r="J104" s="17">
        <f>Workings!J133</f>
        <v>0</v>
      </c>
      <c r="K104" s="17">
        <f ca="1">Workings!K133</f>
        <v>0</v>
      </c>
      <c r="L104" s="17">
        <f ca="1">Workings!L133</f>
        <v>0</v>
      </c>
      <c r="M104" s="17">
        <f ca="1">Workings!M133</f>
        <v>-2805388.5517166653</v>
      </c>
      <c r="N104" s="17">
        <f ca="1">Workings!N133</f>
        <v>-8027883.9895466678</v>
      </c>
    </row>
    <row r="105" spans="4:14" x14ac:dyDescent="0.25">
      <c r="E105" t="s">
        <v>181</v>
      </c>
      <c r="J105" s="17">
        <f>Workings!J108</f>
        <v>19602450.000000004</v>
      </c>
      <c r="K105" s="17">
        <f>Workings!K108</f>
        <v>0</v>
      </c>
      <c r="L105" s="17">
        <f>Workings!L108</f>
        <v>0</v>
      </c>
      <c r="M105" s="17">
        <f>Workings!M108</f>
        <v>0</v>
      </c>
      <c r="N105" s="17">
        <f>Workings!N108</f>
        <v>0</v>
      </c>
    </row>
    <row r="106" spans="4:14" x14ac:dyDescent="0.25">
      <c r="E106" t="s">
        <v>182</v>
      </c>
      <c r="J106" s="17">
        <f>Workings!J110</f>
        <v>-3920490.0000000009</v>
      </c>
      <c r="K106" s="17">
        <f>Workings!K110</f>
        <v>-3724465.5000000009</v>
      </c>
      <c r="L106" s="17">
        <f>Workings!L110</f>
        <v>-3538242.225000001</v>
      </c>
      <c r="M106" s="17">
        <f>Workings!M110</f>
        <v>0</v>
      </c>
      <c r="N106" s="17">
        <f>Workings!N110</f>
        <v>0</v>
      </c>
    </row>
    <row r="107" spans="4:14" x14ac:dyDescent="0.25">
      <c r="E107" t="s">
        <v>183</v>
      </c>
      <c r="J107" s="17">
        <f>Workings!J111</f>
        <v>0</v>
      </c>
      <c r="K107" s="17">
        <f>Workings!K111</f>
        <v>0</v>
      </c>
      <c r="L107" s="17">
        <f>Workings!L111</f>
        <v>-16806650.568750001</v>
      </c>
      <c r="M107" s="17">
        <f>Workings!M111</f>
        <v>0</v>
      </c>
      <c r="N107" s="17">
        <f>Workings!N111</f>
        <v>0</v>
      </c>
    </row>
    <row r="108" spans="4:14" x14ac:dyDescent="0.25">
      <c r="D108" s="13" t="s">
        <v>185</v>
      </c>
      <c r="J108" s="18">
        <f>SUM(J103:J107)</f>
        <v>61421010</v>
      </c>
      <c r="K108" s="18">
        <f t="shared" ref="K108:N108" ca="1" si="30">SUM(K103:K107)</f>
        <v>-3724465.5000000009</v>
      </c>
      <c r="L108" s="18">
        <f t="shared" ca="1" si="30"/>
        <v>-20344892.793750003</v>
      </c>
      <c r="M108" s="18">
        <f t="shared" ca="1" si="30"/>
        <v>-2805388.5517166653</v>
      </c>
      <c r="N108" s="18">
        <f t="shared" ca="1" si="30"/>
        <v>-8027883.9895466678</v>
      </c>
    </row>
    <row r="110" spans="4:14" x14ac:dyDescent="0.25">
      <c r="D110" s="13" t="s">
        <v>186</v>
      </c>
      <c r="J110" s="18">
        <f ca="1">SUM(J95,J100,J108)</f>
        <v>31907009.999999993</v>
      </c>
      <c r="K110" s="18">
        <f t="shared" ref="K110:N110" ca="1" si="31">SUM(K95,K100,K108)</f>
        <v>-731265.50000001024</v>
      </c>
      <c r="L110" s="18">
        <f t="shared" ca="1" si="31"/>
        <v>2362979.2062499858</v>
      </c>
      <c r="M110" s="18">
        <f t="shared" ca="1" si="31"/>
        <v>30659363.288950011</v>
      </c>
      <c r="N110" s="18">
        <f t="shared" ca="1" si="31"/>
        <v>28562674.741119955</v>
      </c>
    </row>
    <row r="111" spans="4:14" x14ac:dyDescent="0.25">
      <c r="D111" s="13" t="s">
        <v>187</v>
      </c>
      <c r="J111" s="18">
        <f>I112</f>
        <v>0</v>
      </c>
      <c r="K111" s="18">
        <f t="shared" ref="K111:N111" ca="1" si="32">J112</f>
        <v>31907009.999999993</v>
      </c>
      <c r="L111" s="18">
        <f t="shared" ca="1" si="32"/>
        <v>31175744.499999981</v>
      </c>
      <c r="M111" s="18">
        <f t="shared" ca="1" si="32"/>
        <v>33538723.706249967</v>
      </c>
      <c r="N111" s="18">
        <f t="shared" ca="1" si="32"/>
        <v>64198086.995199978</v>
      </c>
    </row>
    <row r="112" spans="4:14" ht="13" thickBot="1" x14ac:dyDescent="0.3">
      <c r="D112" s="13" t="s">
        <v>188</v>
      </c>
      <c r="J112" s="19">
        <f ca="1">SUM(J110:J111)</f>
        <v>31907009.999999993</v>
      </c>
      <c r="K112" s="19">
        <f t="shared" ref="K112:N112" ca="1" si="33">SUM(K110:K111)</f>
        <v>31175744.499999981</v>
      </c>
      <c r="L112" s="19">
        <f t="shared" ca="1" si="33"/>
        <v>33538723.706249967</v>
      </c>
      <c r="M112" s="19">
        <f t="shared" ca="1" si="33"/>
        <v>64198086.995199978</v>
      </c>
      <c r="N112" s="19">
        <f t="shared" ca="1" si="33"/>
        <v>92760761.736319929</v>
      </c>
    </row>
    <row r="113" ht="13" thickTop="1" x14ac:dyDescent="0.25"/>
  </sheetData>
  <hyperlinks>
    <hyperlink ref="L1" location="Guide!A1" display="Menu" xr:uid="{8DEDD659-8ED0-4508-B8EF-29581058D947}"/>
  </hyperlinks>
  <pageMargins left="0.7" right="0.7" top="0.75" bottom="0.75" header="0.3" footer="0.3"/>
  <pageSetup orientation="portrait" r:id="rId1"/>
  <headerFooter>
    <oddFooter>&amp;L_x000D_&amp;1#&amp;"Calibri"&amp;10&amp;K008000 PUBLIC</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5122" r:id="rId4" name="Drop Down 2">
              <controlPr defaultSize="0" autoLine="0" autoPict="0">
                <anchor moveWithCells="1">
                  <from>
                    <xdr:col>4</xdr:col>
                    <xdr:colOff>2038350</xdr:colOff>
                    <xdr:row>3</xdr:row>
                    <xdr:rowOff>69850</xdr:rowOff>
                  </from>
                  <to>
                    <xdr:col>9</xdr:col>
                    <xdr:colOff>95250</xdr:colOff>
                    <xdr:row>4</xdr:row>
                    <xdr:rowOff>120650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257D7-3201-48C9-A11C-AA9ABB115804}">
  <sheetPr>
    <tabColor theme="5" tint="-0.249977111117893"/>
  </sheetPr>
  <dimension ref="A1:N23"/>
  <sheetViews>
    <sheetView workbookViewId="0">
      <selection activeCell="A3" sqref="A3"/>
    </sheetView>
  </sheetViews>
  <sheetFormatPr defaultRowHeight="12.5" x14ac:dyDescent="0.25"/>
  <cols>
    <col min="1" max="4" width="2.81640625" customWidth="1"/>
    <col min="5" max="5" width="32.36328125" customWidth="1"/>
    <col min="6" max="8" width="2.36328125" customWidth="1"/>
    <col min="9" max="9" width="4.26953125" bestFit="1" customWidth="1"/>
    <col min="10" max="10" width="12.54296875" style="17" bestFit="1" customWidth="1"/>
    <col min="11" max="13" width="11.36328125" style="17" bestFit="1" customWidth="1"/>
    <col min="14" max="14" width="12" style="17" bestFit="1" customWidth="1"/>
    <col min="15" max="16384" width="8.7265625" style="17"/>
  </cols>
  <sheetData>
    <row r="1" spans="1:14" s="1" customFormat="1" ht="14.5" x14ac:dyDescent="0.35">
      <c r="A1" s="2" t="s">
        <v>6</v>
      </c>
      <c r="L1" s="53" t="s">
        <v>266</v>
      </c>
    </row>
    <row r="2" spans="1:14" s="2" customFormat="1" ht="13.5" x14ac:dyDescent="0.25">
      <c r="A2" s="2" t="s">
        <v>0</v>
      </c>
    </row>
    <row r="3" spans="1:14" s="2" customFormat="1" ht="13.5" x14ac:dyDescent="0.25">
      <c r="A3" s="2" t="s">
        <v>192</v>
      </c>
    </row>
    <row r="4" spans="1:14" s="2" customFormat="1" ht="13.5" x14ac:dyDescent="0.25">
      <c r="J4" s="31">
        <v>1</v>
      </c>
      <c r="K4" s="31">
        <f>J4+1</f>
        <v>2</v>
      </c>
      <c r="L4" s="31">
        <f t="shared" ref="L4:N4" si="0">K4+1</f>
        <v>3</v>
      </c>
      <c r="M4" s="31">
        <f t="shared" si="0"/>
        <v>4</v>
      </c>
      <c r="N4" s="31">
        <f t="shared" si="0"/>
        <v>5</v>
      </c>
    </row>
    <row r="5" spans="1:14" s="2" customFormat="1" ht="13.5" x14ac:dyDescent="0.25">
      <c r="A5" s="2" t="s">
        <v>1</v>
      </c>
      <c r="J5" s="2">
        <v>2024</v>
      </c>
      <c r="K5" s="2">
        <v>2025</v>
      </c>
      <c r="L5" s="2">
        <v>2026</v>
      </c>
      <c r="M5" s="2">
        <v>2027</v>
      </c>
      <c r="N5" s="2">
        <v>2028</v>
      </c>
    </row>
    <row r="6" spans="1:14" customFormat="1" x14ac:dyDescent="0.25"/>
    <row r="7" spans="1:14" s="9" customFormat="1" x14ac:dyDescent="0.25">
      <c r="A7" s="9" t="s">
        <v>9</v>
      </c>
      <c r="B7" s="9" t="s">
        <v>193</v>
      </c>
    </row>
    <row r="8" spans="1:14" customFormat="1" x14ac:dyDescent="0.25"/>
    <row r="9" spans="1:14" x14ac:dyDescent="0.25">
      <c r="E9" t="s">
        <v>194</v>
      </c>
      <c r="J9" s="17">
        <f ca="1">'Financial Statement'!J95</f>
        <v>-11514000.000000009</v>
      </c>
      <c r="K9" s="17">
        <f ca="1">'Financial Statement'!K95</f>
        <v>7713199.9999999907</v>
      </c>
      <c r="L9" s="17">
        <f ca="1">'Financial Statement'!L95</f>
        <v>22707871.999999989</v>
      </c>
      <c r="M9" s="17">
        <f ca="1">'Financial Statement'!M95</f>
        <v>51409719.840666682</v>
      </c>
      <c r="N9" s="17">
        <f ca="1">'Financial Statement'!N95</f>
        <v>51445871.370666631</v>
      </c>
    </row>
    <row r="10" spans="1:14" x14ac:dyDescent="0.25">
      <c r="E10" t="s">
        <v>196</v>
      </c>
      <c r="J10" s="17">
        <f>-'Financial Statement'!J21</f>
        <v>2940367.5000000005</v>
      </c>
      <c r="K10" s="17">
        <f>-'Financial Statement'!K21</f>
        <v>2793349.1250000005</v>
      </c>
      <c r="L10" s="17">
        <f>-'Financial Statement'!L21</f>
        <v>2653681.6687500007</v>
      </c>
      <c r="M10" s="17">
        <f>-'Financial Statement'!M21</f>
        <v>0</v>
      </c>
      <c r="N10" s="17">
        <f>-'Financial Statement'!N21</f>
        <v>0</v>
      </c>
    </row>
    <row r="11" spans="1:14" x14ac:dyDescent="0.25">
      <c r="E11" t="s">
        <v>197</v>
      </c>
      <c r="J11" s="17">
        <f>-Assumptions!$J$17*Valuation!J10</f>
        <v>-940917.60000000021</v>
      </c>
      <c r="K11" s="17">
        <f>-Assumptions!$J$17*Valuation!K10</f>
        <v>-893871.7200000002</v>
      </c>
      <c r="L11" s="17">
        <f>-Assumptions!$J$17*Valuation!L10</f>
        <v>-849178.13400000019</v>
      </c>
      <c r="M11" s="17">
        <f>-Assumptions!$J$17*Valuation!M10</f>
        <v>0</v>
      </c>
      <c r="N11" s="17">
        <f>-Assumptions!$J$17*Valuation!N10</f>
        <v>0</v>
      </c>
    </row>
    <row r="12" spans="1:14" x14ac:dyDescent="0.25">
      <c r="J12" s="18">
        <f ca="1">SUM(J9:J11)</f>
        <v>-9514550.1000000089</v>
      </c>
      <c r="K12" s="18">
        <f t="shared" ref="K12:N12" ca="1" si="1">SUM(K9:K11)</f>
        <v>9612677.40499999</v>
      </c>
      <c r="L12" s="18">
        <f t="shared" ca="1" si="1"/>
        <v>24512375.534749988</v>
      </c>
      <c r="M12" s="18">
        <f t="shared" ca="1" si="1"/>
        <v>51409719.840666682</v>
      </c>
      <c r="N12" s="18">
        <f t="shared" ca="1" si="1"/>
        <v>51445871.370666631</v>
      </c>
    </row>
    <row r="13" spans="1:14" x14ac:dyDescent="0.25">
      <c r="E13" t="s">
        <v>4</v>
      </c>
      <c r="J13" s="17">
        <f>'Financial Statement'!J99</f>
        <v>-18000000</v>
      </c>
      <c r="K13" s="17">
        <f>'Financial Statement'!K99</f>
        <v>-4720000</v>
      </c>
      <c r="L13" s="17">
        <f>'Financial Statement'!L99</f>
        <v>0</v>
      </c>
      <c r="M13" s="17">
        <f>'Financial Statement'!M99</f>
        <v>-17944968.000000004</v>
      </c>
      <c r="N13" s="17">
        <f>'Financial Statement'!N99</f>
        <v>-14855312.640000004</v>
      </c>
    </row>
    <row r="14" spans="1:14" x14ac:dyDescent="0.25">
      <c r="E14" s="13" t="s">
        <v>198</v>
      </c>
      <c r="J14" s="18">
        <f ca="1">SUM(J12:J13)</f>
        <v>-27514550.100000009</v>
      </c>
      <c r="K14" s="18">
        <f t="shared" ref="K14:N14" ca="1" si="2">SUM(K12:K13)</f>
        <v>4892677.40499999</v>
      </c>
      <c r="L14" s="18">
        <f t="shared" ca="1" si="2"/>
        <v>24512375.534749988</v>
      </c>
      <c r="M14" s="18">
        <f t="shared" ca="1" si="2"/>
        <v>33464751.840666678</v>
      </c>
      <c r="N14" s="18">
        <f t="shared" ca="1" si="2"/>
        <v>36590558.730666623</v>
      </c>
    </row>
    <row r="15" spans="1:14" x14ac:dyDescent="0.25">
      <c r="E15" s="13" t="s">
        <v>208</v>
      </c>
      <c r="J15" s="17">
        <f ca="1">J14*J22</f>
        <v>-23504655.817529481</v>
      </c>
      <c r="K15" s="17">
        <f t="shared" ref="K15:N15" ca="1" si="3">K14*K22</f>
        <v>3570504.1506253332</v>
      </c>
      <c r="L15" s="17">
        <f t="shared" ca="1" si="3"/>
        <v>15281283.82639569</v>
      </c>
      <c r="M15" s="17">
        <f t="shared" ca="1" si="3"/>
        <v>17821880.599163357</v>
      </c>
      <c r="N15" s="17">
        <f t="shared" ca="1" si="3"/>
        <v>16646634.428654095</v>
      </c>
    </row>
    <row r="16" spans="1:14" x14ac:dyDescent="0.25">
      <c r="E16" s="13" t="s">
        <v>209</v>
      </c>
      <c r="N16" s="17">
        <f ca="1">(N15*(1+I23))/(I21-I23)</f>
        <v>144933384.32907799</v>
      </c>
    </row>
    <row r="17" spans="5:14" x14ac:dyDescent="0.25">
      <c r="E17" s="13"/>
    </row>
    <row r="18" spans="5:14" ht="13" thickBot="1" x14ac:dyDescent="0.3">
      <c r="E18" s="13" t="s">
        <v>213</v>
      </c>
      <c r="J18" s="19">
        <f ca="1">SUM(J15:N15,N16)</f>
        <v>174749031.51638699</v>
      </c>
    </row>
    <row r="19" spans="5:14" ht="13" thickTop="1" x14ac:dyDescent="0.25"/>
    <row r="21" spans="5:14" x14ac:dyDescent="0.25">
      <c r="E21" t="s">
        <v>206</v>
      </c>
      <c r="I21" s="34">
        <f>Workings!J156</f>
        <v>0.17059999999999997</v>
      </c>
    </row>
    <row r="22" spans="5:14" x14ac:dyDescent="0.25">
      <c r="E22" t="s">
        <v>207</v>
      </c>
      <c r="J22" s="32">
        <f>(1+$I$21)^-J4</f>
        <v>0.85426277122842997</v>
      </c>
      <c r="K22" s="32">
        <f t="shared" ref="K22:N22" si="4">(1+$I$21)^-K4</f>
        <v>0.72976488230687686</v>
      </c>
      <c r="L22" s="32">
        <f t="shared" si="4"/>
        <v>0.62341097070466167</v>
      </c>
      <c r="M22" s="32">
        <f t="shared" si="4"/>
        <v>0.53255678344836976</v>
      </c>
      <c r="N22" s="32">
        <f t="shared" si="4"/>
        <v>0.45494343366510326</v>
      </c>
    </row>
    <row r="23" spans="5:14" x14ac:dyDescent="0.25">
      <c r="E23" t="s">
        <v>212</v>
      </c>
      <c r="I23" s="33">
        <f>Assumptions!J18</f>
        <v>0.05</v>
      </c>
    </row>
  </sheetData>
  <hyperlinks>
    <hyperlink ref="L1" location="Guide!A1" display="Menu" xr:uid="{33F23A30-1E9B-42AE-90D9-633B63AD7EC6}"/>
  </hyperlinks>
  <pageMargins left="0.7" right="0.7" top="0.75" bottom="0.75" header="0.3" footer="0.3"/>
  <headerFooter>
    <oddFooter>&amp;L_x000D_&amp;1#&amp;"Calibri"&amp;10&amp;K008000 PUBLIC</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1265" r:id="rId3" name="Drop Down 1">
              <controlPr defaultSize="0" autoLine="0" autoPict="0">
                <anchor moveWithCells="1">
                  <from>
                    <xdr:col>4</xdr:col>
                    <xdr:colOff>2038350</xdr:colOff>
                    <xdr:row>3</xdr:row>
                    <xdr:rowOff>69850</xdr:rowOff>
                  </from>
                  <to>
                    <xdr:col>9</xdr:col>
                    <xdr:colOff>88900</xdr:colOff>
                    <xdr:row>4</xdr:row>
                    <xdr:rowOff>120650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3948C-A429-496B-BB51-830C69B1F091}">
  <sheetPr>
    <tabColor theme="7" tint="0.39997558519241921"/>
  </sheetPr>
  <dimension ref="A1:N151"/>
  <sheetViews>
    <sheetView tabSelected="1" topLeftCell="B124" workbookViewId="0">
      <selection activeCell="E72" sqref="E72"/>
    </sheetView>
  </sheetViews>
  <sheetFormatPr defaultRowHeight="12.5" x14ac:dyDescent="0.25"/>
  <cols>
    <col min="1" max="4" width="3.26953125" customWidth="1"/>
    <col min="5" max="5" width="38.54296875" customWidth="1"/>
    <col min="7" max="7" width="13.54296875" bestFit="1" customWidth="1"/>
    <col min="10" max="14" width="15.54296875" customWidth="1"/>
  </cols>
  <sheetData>
    <row r="1" spans="1:14" s="11" customFormat="1" ht="14.5" x14ac:dyDescent="0.35">
      <c r="A1" s="10" t="s">
        <v>6</v>
      </c>
      <c r="L1" s="53" t="s">
        <v>266</v>
      </c>
    </row>
    <row r="2" spans="1:14" s="10" customFormat="1" ht="14" x14ac:dyDescent="0.3">
      <c r="A2" s="10" t="s">
        <v>0</v>
      </c>
    </row>
    <row r="3" spans="1:14" s="10" customFormat="1" ht="14" x14ac:dyDescent="0.3">
      <c r="A3" s="10" t="s">
        <v>2</v>
      </c>
    </row>
    <row r="4" spans="1:14" s="10" customFormat="1" ht="14" x14ac:dyDescent="0.3"/>
    <row r="5" spans="1:14" s="10" customFormat="1" ht="14" x14ac:dyDescent="0.3">
      <c r="A5" s="10" t="s">
        <v>1</v>
      </c>
      <c r="G5" s="10">
        <v>2</v>
      </c>
      <c r="J5" s="10">
        <v>2024</v>
      </c>
      <c r="K5" s="10">
        <v>2025</v>
      </c>
      <c r="L5" s="10">
        <v>2026</v>
      </c>
      <c r="M5" s="10">
        <v>2027</v>
      </c>
      <c r="N5" s="10">
        <v>2028</v>
      </c>
    </row>
    <row r="6" spans="1:14" x14ac:dyDescent="0.25">
      <c r="F6" s="4" t="s">
        <v>8</v>
      </c>
      <c r="G6" s="4" t="s">
        <v>7</v>
      </c>
    </row>
    <row r="7" spans="1:14" s="9" customFormat="1" x14ac:dyDescent="0.25">
      <c r="A7" s="9" t="s">
        <v>9</v>
      </c>
      <c r="B7" s="9" t="s">
        <v>10</v>
      </c>
    </row>
    <row r="9" spans="1:14" x14ac:dyDescent="0.25">
      <c r="E9" t="s">
        <v>11</v>
      </c>
      <c r="J9" s="5">
        <v>5</v>
      </c>
      <c r="K9" s="5">
        <v>5</v>
      </c>
      <c r="L9" s="5">
        <v>5</v>
      </c>
      <c r="M9" s="5">
        <v>5</v>
      </c>
      <c r="N9" s="5">
        <v>5</v>
      </c>
    </row>
    <row r="10" spans="1:14" x14ac:dyDescent="0.25">
      <c r="E10" t="s">
        <v>12</v>
      </c>
      <c r="J10" s="5">
        <v>4</v>
      </c>
      <c r="K10" s="5">
        <v>4</v>
      </c>
      <c r="L10" s="5">
        <v>4</v>
      </c>
      <c r="M10" s="5">
        <v>4</v>
      </c>
      <c r="N10" s="5">
        <v>4</v>
      </c>
    </row>
    <row r="11" spans="1:14" x14ac:dyDescent="0.25">
      <c r="E11" t="s">
        <v>13</v>
      </c>
      <c r="I11" s="5">
        <v>12</v>
      </c>
      <c r="J11" s="5">
        <v>12</v>
      </c>
      <c r="K11" s="5">
        <v>12</v>
      </c>
      <c r="L11" s="5">
        <v>12</v>
      </c>
      <c r="M11" s="5">
        <v>12</v>
      </c>
      <c r="N11" s="5">
        <v>12</v>
      </c>
    </row>
    <row r="12" spans="1:14" x14ac:dyDescent="0.25">
      <c r="E12" t="s">
        <v>14</v>
      </c>
      <c r="I12" s="5">
        <v>4</v>
      </c>
      <c r="J12" s="6">
        <f>$J$11/$I$11*$I$12</f>
        <v>4</v>
      </c>
      <c r="K12" s="6">
        <f>$J$11/$I$11*$I$12</f>
        <v>4</v>
      </c>
      <c r="L12" s="6">
        <f t="shared" ref="L12:N12" si="0">$J$11/$I$11*$I$12</f>
        <v>4</v>
      </c>
      <c r="M12" s="6">
        <f t="shared" si="0"/>
        <v>4</v>
      </c>
      <c r="N12" s="6">
        <f t="shared" si="0"/>
        <v>4</v>
      </c>
    </row>
    <row r="13" spans="1:14" x14ac:dyDescent="0.25">
      <c r="E13" t="s">
        <v>15</v>
      </c>
      <c r="J13" s="7">
        <v>0.2</v>
      </c>
      <c r="K13" s="7">
        <v>0.18</v>
      </c>
      <c r="L13" s="7">
        <v>0.16</v>
      </c>
      <c r="M13" s="7">
        <v>0.14000000000000001</v>
      </c>
      <c r="N13" s="7">
        <v>0.12</v>
      </c>
    </row>
    <row r="14" spans="1:14" x14ac:dyDescent="0.25">
      <c r="E14" t="s">
        <v>87</v>
      </c>
      <c r="J14" s="7">
        <v>0.3</v>
      </c>
    </row>
    <row r="15" spans="1:14" x14ac:dyDescent="0.25">
      <c r="E15" t="s">
        <v>91</v>
      </c>
      <c r="J15" s="7">
        <v>0.2</v>
      </c>
    </row>
    <row r="16" spans="1:14" x14ac:dyDescent="0.25">
      <c r="E16" t="s">
        <v>93</v>
      </c>
      <c r="J16" s="7">
        <v>0.25</v>
      </c>
    </row>
    <row r="17" spans="1:14" x14ac:dyDescent="0.25">
      <c r="E17" t="s">
        <v>154</v>
      </c>
      <c r="J17" s="7">
        <v>0.32</v>
      </c>
    </row>
    <row r="18" spans="1:14" x14ac:dyDescent="0.25">
      <c r="E18" t="s">
        <v>211</v>
      </c>
      <c r="J18" s="7">
        <v>0.05</v>
      </c>
    </row>
    <row r="19" spans="1:14" x14ac:dyDescent="0.25">
      <c r="J19" s="33"/>
    </row>
    <row r="20" spans="1:14" x14ac:dyDescent="0.25">
      <c r="E20" t="s">
        <v>210</v>
      </c>
    </row>
    <row r="21" spans="1:14" x14ac:dyDescent="0.25">
      <c r="E21" s="27" t="s">
        <v>189</v>
      </c>
      <c r="G21" s="14">
        <f>G22+$F$22</f>
        <v>1.2</v>
      </c>
    </row>
    <row r="22" spans="1:14" x14ac:dyDescent="0.25">
      <c r="E22" s="27" t="s">
        <v>190</v>
      </c>
      <c r="F22" s="7">
        <v>0.2</v>
      </c>
      <c r="G22" s="14">
        <v>1</v>
      </c>
    </row>
    <row r="23" spans="1:14" x14ac:dyDescent="0.25">
      <c r="E23" s="27" t="s">
        <v>191</v>
      </c>
      <c r="G23" s="14">
        <f>G22-$F$22</f>
        <v>0.8</v>
      </c>
    </row>
    <row r="25" spans="1:14" s="9" customFormat="1" x14ac:dyDescent="0.25">
      <c r="A25" s="9" t="s">
        <v>9</v>
      </c>
      <c r="B25" s="9" t="s">
        <v>16</v>
      </c>
    </row>
    <row r="27" spans="1:14" x14ac:dyDescent="0.25">
      <c r="D27" t="s">
        <v>17</v>
      </c>
    </row>
    <row r="28" spans="1:14" x14ac:dyDescent="0.25">
      <c r="E28" t="s">
        <v>18</v>
      </c>
      <c r="F28" s="4" t="s">
        <v>41</v>
      </c>
      <c r="J28" s="5">
        <v>10</v>
      </c>
      <c r="K28" s="5">
        <v>10</v>
      </c>
      <c r="L28" s="5">
        <v>15</v>
      </c>
      <c r="M28" s="5">
        <v>15</v>
      </c>
      <c r="N28" s="5">
        <v>15</v>
      </c>
    </row>
    <row r="29" spans="1:14" x14ac:dyDescent="0.25">
      <c r="E29" t="s">
        <v>19</v>
      </c>
      <c r="F29" s="4" t="s">
        <v>42</v>
      </c>
      <c r="J29" s="5">
        <v>5</v>
      </c>
      <c r="K29" s="5">
        <v>5</v>
      </c>
      <c r="L29" s="5">
        <v>5</v>
      </c>
      <c r="M29" s="5">
        <v>6</v>
      </c>
      <c r="N29" s="5">
        <v>6</v>
      </c>
    </row>
    <row r="30" spans="1:14" x14ac:dyDescent="0.25">
      <c r="E30" t="s">
        <v>20</v>
      </c>
      <c r="F30" s="4" t="s">
        <v>1</v>
      </c>
      <c r="J30" s="8">
        <v>5000</v>
      </c>
      <c r="K30" s="8">
        <v>5000</v>
      </c>
      <c r="L30" s="8">
        <v>5000</v>
      </c>
      <c r="M30" s="8">
        <v>6000</v>
      </c>
      <c r="N30" s="8">
        <v>6000</v>
      </c>
    </row>
    <row r="32" spans="1:14" x14ac:dyDescent="0.25">
      <c r="D32" t="s">
        <v>21</v>
      </c>
    </row>
    <row r="33" spans="1:14" x14ac:dyDescent="0.25">
      <c r="E33" t="s">
        <v>18</v>
      </c>
      <c r="F33" s="4" t="s">
        <v>41</v>
      </c>
      <c r="J33" s="5">
        <v>20</v>
      </c>
      <c r="K33" s="5">
        <v>20</v>
      </c>
      <c r="L33" s="5">
        <v>20</v>
      </c>
      <c r="M33" s="5">
        <v>25</v>
      </c>
      <c r="N33" s="5">
        <v>25</v>
      </c>
    </row>
    <row r="34" spans="1:14" x14ac:dyDescent="0.25">
      <c r="E34" t="s">
        <v>19</v>
      </c>
      <c r="F34" s="4" t="s">
        <v>42</v>
      </c>
      <c r="J34" s="5">
        <v>4</v>
      </c>
      <c r="K34" s="5">
        <v>4</v>
      </c>
      <c r="L34" s="5">
        <v>5</v>
      </c>
      <c r="M34" s="5">
        <v>5</v>
      </c>
      <c r="N34" s="5">
        <v>6</v>
      </c>
    </row>
    <row r="35" spans="1:14" x14ac:dyDescent="0.25">
      <c r="E35" t="s">
        <v>20</v>
      </c>
      <c r="F35" s="4" t="s">
        <v>1</v>
      </c>
      <c r="J35" s="8">
        <v>3500</v>
      </c>
      <c r="K35" s="8">
        <v>3500</v>
      </c>
      <c r="L35" s="8">
        <v>3500</v>
      </c>
      <c r="M35" s="8">
        <v>4500</v>
      </c>
      <c r="N35" s="8">
        <v>4500</v>
      </c>
    </row>
    <row r="37" spans="1:14" x14ac:dyDescent="0.25">
      <c r="D37" t="s">
        <v>22</v>
      </c>
    </row>
    <row r="38" spans="1:14" x14ac:dyDescent="0.25">
      <c r="E38" t="s">
        <v>18</v>
      </c>
      <c r="F38" s="4" t="s">
        <v>41</v>
      </c>
      <c r="J38" s="5">
        <v>10</v>
      </c>
      <c r="K38" s="5">
        <v>10</v>
      </c>
      <c r="L38" s="5">
        <v>15</v>
      </c>
      <c r="M38" s="5">
        <v>15</v>
      </c>
      <c r="N38" s="5">
        <v>15</v>
      </c>
    </row>
    <row r="39" spans="1:14" x14ac:dyDescent="0.25">
      <c r="E39" t="s">
        <v>19</v>
      </c>
      <c r="F39" s="4" t="s">
        <v>42</v>
      </c>
      <c r="J39" s="5">
        <v>5</v>
      </c>
      <c r="K39" s="5">
        <v>5</v>
      </c>
      <c r="L39" s="5">
        <v>5</v>
      </c>
      <c r="M39" s="5">
        <v>6</v>
      </c>
      <c r="N39" s="5">
        <v>6</v>
      </c>
    </row>
    <row r="40" spans="1:14" x14ac:dyDescent="0.25">
      <c r="E40" t="s">
        <v>20</v>
      </c>
      <c r="F40" s="4" t="s">
        <v>1</v>
      </c>
      <c r="J40" s="8">
        <v>3000</v>
      </c>
      <c r="K40" s="8">
        <v>3000</v>
      </c>
      <c r="L40" s="8">
        <v>3000</v>
      </c>
      <c r="M40" s="8">
        <v>4000</v>
      </c>
      <c r="N40" s="8">
        <v>4000</v>
      </c>
    </row>
    <row r="43" spans="1:14" s="9" customFormat="1" x14ac:dyDescent="0.25">
      <c r="A43" s="9" t="s">
        <v>9</v>
      </c>
      <c r="B43" s="9" t="s">
        <v>23</v>
      </c>
    </row>
    <row r="45" spans="1:14" x14ac:dyDescent="0.25">
      <c r="D45" t="s">
        <v>24</v>
      </c>
    </row>
    <row r="46" spans="1:14" x14ac:dyDescent="0.25">
      <c r="E46" t="s">
        <v>25</v>
      </c>
      <c r="F46" t="s">
        <v>43</v>
      </c>
      <c r="J46" s="7">
        <v>0.08</v>
      </c>
      <c r="K46" s="7">
        <v>0.08</v>
      </c>
      <c r="L46" s="7">
        <v>0.08</v>
      </c>
      <c r="M46" s="7">
        <v>0.08</v>
      </c>
      <c r="N46" s="7">
        <v>0.08</v>
      </c>
    </row>
    <row r="47" spans="1:14" x14ac:dyDescent="0.25">
      <c r="E47" t="s">
        <v>26</v>
      </c>
      <c r="F47" t="s">
        <v>43</v>
      </c>
      <c r="J47" s="7">
        <v>7.0000000000000007E-2</v>
      </c>
      <c r="K47" s="7">
        <v>7.0000000000000007E-2</v>
      </c>
      <c r="L47" s="7">
        <v>7.0000000000000007E-2</v>
      </c>
      <c r="M47" s="7">
        <v>7.0000000000000007E-2</v>
      </c>
      <c r="N47" s="7">
        <v>7.0000000000000007E-2</v>
      </c>
    </row>
    <row r="48" spans="1:14" x14ac:dyDescent="0.25">
      <c r="E48" t="s">
        <v>27</v>
      </c>
      <c r="F48" t="s">
        <v>43</v>
      </c>
      <c r="J48" s="7">
        <v>0.06</v>
      </c>
      <c r="K48" s="7">
        <v>0.06</v>
      </c>
      <c r="L48" s="7">
        <v>0.06</v>
      </c>
      <c r="M48" s="7">
        <v>0.06</v>
      </c>
      <c r="N48" s="7">
        <v>0.06</v>
      </c>
    </row>
    <row r="49" spans="1:14" x14ac:dyDescent="0.25">
      <c r="E49" t="s">
        <v>28</v>
      </c>
      <c r="F49" t="s">
        <v>43</v>
      </c>
      <c r="J49" s="7">
        <v>0.04</v>
      </c>
      <c r="K49" s="7">
        <v>0.04</v>
      </c>
      <c r="L49" s="7">
        <v>0.04</v>
      </c>
      <c r="M49" s="7">
        <v>0.04</v>
      </c>
      <c r="N49" s="7">
        <v>0.04</v>
      </c>
    </row>
    <row r="52" spans="1:14" x14ac:dyDescent="0.25">
      <c r="D52" t="s">
        <v>29</v>
      </c>
    </row>
    <row r="53" spans="1:14" x14ac:dyDescent="0.25">
      <c r="E53" t="s">
        <v>30</v>
      </c>
      <c r="F53" s="4" t="s">
        <v>41</v>
      </c>
      <c r="J53" s="5">
        <v>20</v>
      </c>
      <c r="K53" s="5">
        <v>20</v>
      </c>
      <c r="L53" s="5">
        <v>20</v>
      </c>
      <c r="M53" s="5">
        <v>25</v>
      </c>
      <c r="N53" s="5">
        <v>25</v>
      </c>
    </row>
    <row r="54" spans="1:14" x14ac:dyDescent="0.25">
      <c r="E54" t="s">
        <v>32</v>
      </c>
      <c r="F54" s="4" t="s">
        <v>1</v>
      </c>
      <c r="J54" s="8">
        <v>5000</v>
      </c>
      <c r="K54" s="8">
        <v>5000</v>
      </c>
      <c r="L54" s="8">
        <v>6000</v>
      </c>
      <c r="M54" s="8">
        <v>6000</v>
      </c>
      <c r="N54" s="8">
        <v>7000</v>
      </c>
    </row>
    <row r="56" spans="1:14" x14ac:dyDescent="0.25">
      <c r="D56" t="s">
        <v>31</v>
      </c>
      <c r="F56" t="s">
        <v>43</v>
      </c>
      <c r="J56" s="7">
        <v>0.05</v>
      </c>
      <c r="K56" s="7">
        <v>0.05</v>
      </c>
      <c r="L56" s="7">
        <v>0.05</v>
      </c>
      <c r="M56" s="7">
        <v>0.05</v>
      </c>
      <c r="N56" s="7">
        <v>0.05</v>
      </c>
    </row>
    <row r="59" spans="1:14" s="9" customFormat="1" x14ac:dyDescent="0.25">
      <c r="A59" s="9" t="s">
        <v>9</v>
      </c>
      <c r="B59" s="9" t="s">
        <v>33</v>
      </c>
    </row>
    <row r="61" spans="1:14" x14ac:dyDescent="0.25">
      <c r="E61" t="s">
        <v>34</v>
      </c>
      <c r="F61" t="s">
        <v>43</v>
      </c>
      <c r="J61" s="7">
        <v>0.1</v>
      </c>
      <c r="K61" s="7">
        <v>0.1</v>
      </c>
      <c r="L61" s="7">
        <v>0.1</v>
      </c>
      <c r="M61" s="7">
        <v>0.1</v>
      </c>
      <c r="N61" s="7">
        <v>0.1</v>
      </c>
    </row>
    <row r="62" spans="1:14" x14ac:dyDescent="0.25">
      <c r="E62" t="s">
        <v>35</v>
      </c>
      <c r="F62" s="4" t="s">
        <v>1</v>
      </c>
      <c r="G62" s="4" t="s">
        <v>44</v>
      </c>
      <c r="J62" s="8">
        <v>100000</v>
      </c>
      <c r="K62" s="12">
        <f>J62*(1+K$13)</f>
        <v>118000</v>
      </c>
      <c r="L62" s="12">
        <f>K62*(1+L$13)</f>
        <v>136880</v>
      </c>
      <c r="M62" s="12">
        <f t="shared" ref="M62:N63" si="1">L62*(1+M$13)</f>
        <v>156043.20000000001</v>
      </c>
      <c r="N62" s="12">
        <f t="shared" si="1"/>
        <v>174768.38400000002</v>
      </c>
    </row>
    <row r="63" spans="1:14" x14ac:dyDescent="0.25">
      <c r="E63" t="s">
        <v>36</v>
      </c>
      <c r="F63" s="4" t="s">
        <v>1</v>
      </c>
      <c r="G63" s="4" t="s">
        <v>44</v>
      </c>
      <c r="J63" s="8">
        <v>30000</v>
      </c>
      <c r="K63" s="12">
        <f>J63*(1+K$13)</f>
        <v>35400</v>
      </c>
      <c r="L63" s="12">
        <f t="shared" ref="L63" si="2">K63*(1+L$13)</f>
        <v>41064</v>
      </c>
      <c r="M63" s="12">
        <f t="shared" si="1"/>
        <v>46812.960000000006</v>
      </c>
      <c r="N63" s="12">
        <f t="shared" si="1"/>
        <v>52430.515200000009</v>
      </c>
    </row>
    <row r="64" spans="1:14" x14ac:dyDescent="0.25">
      <c r="E64" t="s">
        <v>37</v>
      </c>
      <c r="F64" s="4" t="s">
        <v>1</v>
      </c>
      <c r="G64" s="4" t="s">
        <v>45</v>
      </c>
      <c r="J64" s="8"/>
      <c r="K64" s="12">
        <f>$G$136</f>
        <v>4000000</v>
      </c>
      <c r="L64" s="12">
        <f t="shared" ref="L64:N64" si="3">$G$136</f>
        <v>4000000</v>
      </c>
      <c r="M64" s="12">
        <f t="shared" si="3"/>
        <v>4000000</v>
      </c>
      <c r="N64" s="12">
        <f t="shared" si="3"/>
        <v>4000000</v>
      </c>
    </row>
    <row r="65" spans="1:14" x14ac:dyDescent="0.25">
      <c r="E65" t="s">
        <v>39</v>
      </c>
      <c r="F65" t="s">
        <v>43</v>
      </c>
      <c r="J65" s="7">
        <v>0.05</v>
      </c>
      <c r="K65" s="7">
        <v>0.05</v>
      </c>
      <c r="L65" s="7">
        <v>0.05</v>
      </c>
      <c r="M65" s="7">
        <v>0.05</v>
      </c>
      <c r="N65" s="7">
        <v>0.05</v>
      </c>
    </row>
    <row r="66" spans="1:14" x14ac:dyDescent="0.25">
      <c r="E66" t="s">
        <v>38</v>
      </c>
      <c r="F66" s="4" t="s">
        <v>1</v>
      </c>
      <c r="G66" s="4" t="s">
        <v>46</v>
      </c>
      <c r="J66" s="8">
        <v>1000000</v>
      </c>
      <c r="K66" s="12">
        <f>J66*(1+K13)</f>
        <v>1180000</v>
      </c>
      <c r="L66" s="12">
        <f>K66*(1+L13)</f>
        <v>1368800</v>
      </c>
      <c r="M66" s="12">
        <f>L66*(1+M13)</f>
        <v>1560432.0000000002</v>
      </c>
      <c r="N66" s="12">
        <f>M66*(1+N13)</f>
        <v>1747683.8400000003</v>
      </c>
    </row>
    <row r="67" spans="1:14" x14ac:dyDescent="0.25">
      <c r="E67" t="s">
        <v>40</v>
      </c>
      <c r="F67" s="4" t="s">
        <v>1</v>
      </c>
      <c r="G67" s="4" t="s">
        <v>46</v>
      </c>
      <c r="J67" s="8">
        <v>500000</v>
      </c>
      <c r="K67" s="12">
        <f>J67*(1+K13)</f>
        <v>590000</v>
      </c>
      <c r="L67" s="12">
        <f>K67*(1+L13)</f>
        <v>684400</v>
      </c>
      <c r="M67" s="12">
        <f>L67*(1+M13)</f>
        <v>780216.00000000012</v>
      </c>
      <c r="N67" s="12">
        <f>M67*(1+N13)</f>
        <v>873841.92000000016</v>
      </c>
    </row>
    <row r="68" spans="1:14" x14ac:dyDescent="0.25">
      <c r="F68" s="4"/>
    </row>
    <row r="70" spans="1:14" s="9" customFormat="1" x14ac:dyDescent="0.25">
      <c r="A70" s="9" t="s">
        <v>9</v>
      </c>
      <c r="B70" s="9" t="s">
        <v>47</v>
      </c>
    </row>
    <row r="72" spans="1:14" x14ac:dyDescent="0.25">
      <c r="D72" t="s">
        <v>48</v>
      </c>
    </row>
    <row r="73" spans="1:14" x14ac:dyDescent="0.25">
      <c r="E73" t="s">
        <v>49</v>
      </c>
      <c r="F73" s="4" t="s">
        <v>41</v>
      </c>
      <c r="J73" s="8">
        <v>1</v>
      </c>
      <c r="K73" s="8">
        <v>1</v>
      </c>
      <c r="L73" s="8">
        <v>1</v>
      </c>
      <c r="M73" s="8">
        <v>1</v>
      </c>
      <c r="N73" s="8">
        <v>1</v>
      </c>
    </row>
    <row r="74" spans="1:14" x14ac:dyDescent="0.25">
      <c r="E74" t="s">
        <v>50</v>
      </c>
      <c r="F74" s="4" t="s">
        <v>41</v>
      </c>
      <c r="J74" s="8">
        <v>1</v>
      </c>
      <c r="K74" s="8">
        <v>1</v>
      </c>
      <c r="L74" s="8">
        <v>1</v>
      </c>
      <c r="M74" s="8">
        <v>1</v>
      </c>
      <c r="N74" s="8">
        <v>1</v>
      </c>
    </row>
    <row r="75" spans="1:14" x14ac:dyDescent="0.25">
      <c r="E75" t="s">
        <v>51</v>
      </c>
      <c r="F75" s="4" t="s">
        <v>41</v>
      </c>
      <c r="J75" s="8">
        <v>1</v>
      </c>
      <c r="K75" s="8">
        <v>1</v>
      </c>
      <c r="L75" s="8">
        <v>1</v>
      </c>
      <c r="M75" s="8">
        <v>1</v>
      </c>
      <c r="N75" s="8">
        <v>1</v>
      </c>
    </row>
    <row r="76" spans="1:14" x14ac:dyDescent="0.25">
      <c r="E76" t="s">
        <v>52</v>
      </c>
      <c r="F76" s="4" t="s">
        <v>41</v>
      </c>
      <c r="J76" s="8">
        <v>1</v>
      </c>
      <c r="K76" s="8">
        <v>1</v>
      </c>
      <c r="L76" s="8">
        <v>1</v>
      </c>
      <c r="M76" s="8">
        <v>1</v>
      </c>
      <c r="N76" s="8">
        <v>1</v>
      </c>
    </row>
    <row r="77" spans="1:14" x14ac:dyDescent="0.25">
      <c r="E77" t="s">
        <v>53</v>
      </c>
      <c r="F77" s="4" t="s">
        <v>41</v>
      </c>
      <c r="J77" s="8">
        <v>1</v>
      </c>
      <c r="K77" s="8">
        <v>1</v>
      </c>
      <c r="L77" s="8">
        <v>1</v>
      </c>
      <c r="M77" s="8">
        <v>1</v>
      </c>
      <c r="N77" s="8">
        <v>1</v>
      </c>
    </row>
    <row r="78" spans="1:14" x14ac:dyDescent="0.25">
      <c r="E78" t="s">
        <v>54</v>
      </c>
      <c r="F78" s="4" t="s">
        <v>41</v>
      </c>
      <c r="J78" s="8">
        <v>1</v>
      </c>
      <c r="K78" s="8">
        <v>2</v>
      </c>
      <c r="L78" s="8">
        <v>3</v>
      </c>
      <c r="M78" s="8">
        <v>3</v>
      </c>
      <c r="N78" s="8">
        <v>3</v>
      </c>
    </row>
    <row r="79" spans="1:14" x14ac:dyDescent="0.25">
      <c r="E79" t="s">
        <v>55</v>
      </c>
      <c r="F79" s="4" t="s">
        <v>41</v>
      </c>
      <c r="J79" s="8">
        <v>1</v>
      </c>
      <c r="K79" s="8">
        <v>1</v>
      </c>
      <c r="L79" s="8">
        <v>2</v>
      </c>
      <c r="M79" s="8">
        <v>2</v>
      </c>
      <c r="N79" s="8">
        <v>2</v>
      </c>
    </row>
    <row r="80" spans="1:14" x14ac:dyDescent="0.25">
      <c r="E80" t="s">
        <v>56</v>
      </c>
      <c r="F80" s="4" t="s">
        <v>41</v>
      </c>
      <c r="J80" s="8">
        <v>1</v>
      </c>
      <c r="K80" s="8">
        <v>1</v>
      </c>
      <c r="L80" s="8">
        <v>2</v>
      </c>
      <c r="M80" s="8">
        <v>2</v>
      </c>
      <c r="N80" s="8">
        <v>3</v>
      </c>
    </row>
    <row r="81" spans="4:14" x14ac:dyDescent="0.25">
      <c r="E81" t="s">
        <v>57</v>
      </c>
      <c r="F81" s="4" t="s">
        <v>41</v>
      </c>
      <c r="J81" s="8">
        <v>1</v>
      </c>
      <c r="K81" s="8">
        <v>1</v>
      </c>
      <c r="L81" s="8">
        <v>2</v>
      </c>
      <c r="M81" s="8">
        <v>2</v>
      </c>
      <c r="N81" s="8">
        <v>2</v>
      </c>
    </row>
    <row r="83" spans="4:14" x14ac:dyDescent="0.25">
      <c r="D83" t="s">
        <v>58</v>
      </c>
    </row>
    <row r="84" spans="4:14" x14ac:dyDescent="0.25">
      <c r="E84" t="s">
        <v>49</v>
      </c>
      <c r="F84" s="4" t="s">
        <v>1</v>
      </c>
      <c r="J84" s="8">
        <v>700000</v>
      </c>
      <c r="K84" s="8">
        <v>700000</v>
      </c>
      <c r="L84" s="8">
        <v>700000</v>
      </c>
      <c r="M84" s="8">
        <v>1000000</v>
      </c>
      <c r="N84" s="8">
        <v>1000000</v>
      </c>
    </row>
    <row r="85" spans="4:14" x14ac:dyDescent="0.25">
      <c r="E85" t="s">
        <v>50</v>
      </c>
      <c r="F85" s="4" t="s">
        <v>1</v>
      </c>
      <c r="J85" s="8">
        <v>450000</v>
      </c>
      <c r="K85" s="8">
        <v>450000</v>
      </c>
      <c r="L85" s="8">
        <v>450000</v>
      </c>
      <c r="M85" s="8">
        <v>600000</v>
      </c>
      <c r="N85" s="8">
        <v>600000</v>
      </c>
    </row>
    <row r="86" spans="4:14" x14ac:dyDescent="0.25">
      <c r="E86" t="s">
        <v>51</v>
      </c>
      <c r="F86" s="4" t="s">
        <v>1</v>
      </c>
      <c r="J86" s="8">
        <v>500000</v>
      </c>
      <c r="K86" s="8">
        <v>500000</v>
      </c>
      <c r="L86" s="8">
        <v>500000</v>
      </c>
      <c r="M86" s="8">
        <v>700000</v>
      </c>
      <c r="N86" s="8">
        <v>700000</v>
      </c>
    </row>
    <row r="87" spans="4:14" x14ac:dyDescent="0.25">
      <c r="E87" t="s">
        <v>52</v>
      </c>
      <c r="F87" s="4" t="s">
        <v>1</v>
      </c>
      <c r="J87" s="8">
        <v>300000</v>
      </c>
      <c r="K87" s="8">
        <v>300000</v>
      </c>
      <c r="L87" s="8">
        <v>300000</v>
      </c>
      <c r="M87" s="8">
        <v>400000</v>
      </c>
      <c r="N87" s="8">
        <v>400000</v>
      </c>
    </row>
    <row r="88" spans="4:14" x14ac:dyDescent="0.25">
      <c r="E88" t="s">
        <v>53</v>
      </c>
      <c r="F88" s="4" t="s">
        <v>1</v>
      </c>
      <c r="J88" s="8">
        <v>500000</v>
      </c>
      <c r="K88" s="8">
        <v>500000</v>
      </c>
      <c r="L88" s="8">
        <v>500000</v>
      </c>
      <c r="M88" s="8">
        <v>700000</v>
      </c>
      <c r="N88" s="8">
        <v>700000</v>
      </c>
    </row>
    <row r="89" spans="4:14" x14ac:dyDescent="0.25">
      <c r="E89" t="s">
        <v>54</v>
      </c>
      <c r="F89" s="4" t="s">
        <v>1</v>
      </c>
      <c r="J89" s="8">
        <v>200000</v>
      </c>
      <c r="K89" s="8">
        <v>200000</v>
      </c>
      <c r="L89" s="8">
        <v>200000</v>
      </c>
      <c r="M89" s="8">
        <v>250000</v>
      </c>
      <c r="N89" s="8">
        <v>250000</v>
      </c>
    </row>
    <row r="90" spans="4:14" x14ac:dyDescent="0.25">
      <c r="E90" t="s">
        <v>55</v>
      </c>
      <c r="F90" s="4" t="s">
        <v>1</v>
      </c>
      <c r="J90" s="8">
        <v>150000</v>
      </c>
      <c r="K90" s="8">
        <v>150000</v>
      </c>
      <c r="L90" s="8">
        <v>150000</v>
      </c>
      <c r="M90" s="8">
        <v>200000</v>
      </c>
      <c r="N90" s="8">
        <v>200000</v>
      </c>
    </row>
    <row r="91" spans="4:14" x14ac:dyDescent="0.25">
      <c r="E91" t="s">
        <v>56</v>
      </c>
      <c r="F91" s="4" t="s">
        <v>1</v>
      </c>
      <c r="J91" s="8">
        <v>150000</v>
      </c>
      <c r="K91" s="8">
        <v>150000</v>
      </c>
      <c r="L91" s="8">
        <v>150000</v>
      </c>
      <c r="M91" s="8">
        <v>200000</v>
      </c>
      <c r="N91" s="8">
        <v>200000</v>
      </c>
    </row>
    <row r="92" spans="4:14" x14ac:dyDescent="0.25">
      <c r="E92" t="s">
        <v>57</v>
      </c>
      <c r="F92" s="4" t="s">
        <v>1</v>
      </c>
      <c r="J92" s="8">
        <v>120000</v>
      </c>
      <c r="K92" s="8">
        <v>120000</v>
      </c>
      <c r="L92" s="8">
        <v>120000</v>
      </c>
      <c r="M92" s="8">
        <v>150000</v>
      </c>
      <c r="N92" s="8">
        <v>150000</v>
      </c>
    </row>
    <row r="95" spans="4:14" x14ac:dyDescent="0.25">
      <c r="E95" t="s">
        <v>59</v>
      </c>
      <c r="H95" s="7">
        <v>0.15</v>
      </c>
    </row>
    <row r="99" spans="1:14" s="9" customFormat="1" x14ac:dyDescent="0.25">
      <c r="A99" s="9" t="s">
        <v>9</v>
      </c>
      <c r="B99" s="9" t="s">
        <v>60</v>
      </c>
    </row>
    <row r="101" spans="1:14" x14ac:dyDescent="0.25">
      <c r="C101" s="13" t="s">
        <v>61</v>
      </c>
      <c r="D101" s="13"/>
      <c r="E101" s="13"/>
    </row>
    <row r="102" spans="1:14" x14ac:dyDescent="0.25">
      <c r="C102" s="13"/>
      <c r="D102" s="13" t="s">
        <v>62</v>
      </c>
      <c r="E102" s="13"/>
      <c r="J102" s="8">
        <v>3</v>
      </c>
      <c r="K102" s="8"/>
      <c r="L102" s="8"/>
      <c r="M102" s="8">
        <v>3</v>
      </c>
      <c r="N102" s="8"/>
    </row>
    <row r="103" spans="1:14" x14ac:dyDescent="0.25">
      <c r="E103" t="s">
        <v>63</v>
      </c>
      <c r="J103" s="8">
        <v>2000000</v>
      </c>
      <c r="K103" s="12">
        <f>J103*(1+K$13)</f>
        <v>2360000</v>
      </c>
      <c r="L103" s="12">
        <f>K103*(1+L$13)</f>
        <v>2737600</v>
      </c>
      <c r="M103" s="12">
        <f t="shared" ref="M103:N103" si="4">L103*(1+M$13)</f>
        <v>3120864.0000000005</v>
      </c>
      <c r="N103" s="12">
        <f t="shared" si="4"/>
        <v>3495367.6800000006</v>
      </c>
    </row>
    <row r="104" spans="1:14" x14ac:dyDescent="0.25">
      <c r="E104" t="s">
        <v>64</v>
      </c>
    </row>
    <row r="106" spans="1:14" x14ac:dyDescent="0.25">
      <c r="D106" s="13" t="s">
        <v>65</v>
      </c>
    </row>
    <row r="107" spans="1:14" x14ac:dyDescent="0.25">
      <c r="E107" t="s">
        <v>63</v>
      </c>
      <c r="J107" s="8">
        <v>1</v>
      </c>
      <c r="K107" s="8"/>
      <c r="L107" s="8"/>
      <c r="M107" s="8"/>
      <c r="N107" s="8">
        <v>1</v>
      </c>
    </row>
    <row r="108" spans="1:14" x14ac:dyDescent="0.25">
      <c r="E108" t="s">
        <v>64</v>
      </c>
      <c r="J108" s="8">
        <v>4500000</v>
      </c>
      <c r="K108" s="12">
        <f>J108*(1+K$13)</f>
        <v>5310000</v>
      </c>
      <c r="L108" s="12">
        <f>K108*(1+L$13)</f>
        <v>6159600</v>
      </c>
      <c r="M108" s="12">
        <f t="shared" ref="M108:N108" si="5">L108*(1+M$13)</f>
        <v>7021944.0000000009</v>
      </c>
      <c r="N108" s="12">
        <f t="shared" si="5"/>
        <v>7864577.2800000021</v>
      </c>
    </row>
    <row r="110" spans="1:14" x14ac:dyDescent="0.25">
      <c r="D110" s="13" t="s">
        <v>66</v>
      </c>
    </row>
    <row r="111" spans="1:14" x14ac:dyDescent="0.25">
      <c r="E111" t="s">
        <v>63</v>
      </c>
      <c r="J111" s="8">
        <v>1</v>
      </c>
      <c r="K111" s="8"/>
      <c r="L111" s="8"/>
      <c r="M111" s="8"/>
      <c r="N111" s="8"/>
    </row>
    <row r="112" spans="1:14" x14ac:dyDescent="0.25">
      <c r="E112" t="s">
        <v>64</v>
      </c>
      <c r="J112" s="8">
        <v>2000000</v>
      </c>
      <c r="K112" s="12">
        <f>J112*(1+K$13)</f>
        <v>2360000</v>
      </c>
      <c r="L112" s="12">
        <f>K112*(1+L$13)</f>
        <v>2737600</v>
      </c>
      <c r="M112" s="12">
        <f t="shared" ref="M112:N112" si="6">L112*(1+M$13)</f>
        <v>3120864.0000000005</v>
      </c>
      <c r="N112" s="12">
        <f t="shared" si="6"/>
        <v>3495367.6800000006</v>
      </c>
    </row>
    <row r="114" spans="3:14" x14ac:dyDescent="0.25">
      <c r="D114" s="13" t="s">
        <v>67</v>
      </c>
    </row>
    <row r="115" spans="3:14" x14ac:dyDescent="0.25">
      <c r="E115" t="s">
        <v>63</v>
      </c>
      <c r="J115" s="8">
        <v>1</v>
      </c>
      <c r="K115" s="8">
        <v>1</v>
      </c>
      <c r="L115" s="8"/>
      <c r="M115" s="8">
        <v>1</v>
      </c>
      <c r="N115" s="8">
        <v>1</v>
      </c>
    </row>
    <row r="116" spans="3:14" x14ac:dyDescent="0.25">
      <c r="E116" t="s">
        <v>64</v>
      </c>
      <c r="J116" s="8">
        <v>4000000</v>
      </c>
      <c r="K116" s="12">
        <f>J116*(1+K$13)</f>
        <v>4720000</v>
      </c>
      <c r="L116" s="12">
        <f>K116*(1+L$13)</f>
        <v>5475200</v>
      </c>
      <c r="M116" s="12">
        <f t="shared" ref="M116:N116" si="7">L116*(1+M$13)</f>
        <v>6241728.0000000009</v>
      </c>
      <c r="N116" s="12">
        <f t="shared" si="7"/>
        <v>6990735.3600000013</v>
      </c>
    </row>
    <row r="118" spans="3:14" x14ac:dyDescent="0.25">
      <c r="D118" s="13" t="s">
        <v>68</v>
      </c>
    </row>
    <row r="119" spans="3:14" x14ac:dyDescent="0.25">
      <c r="E119" t="s">
        <v>63</v>
      </c>
      <c r="J119" s="8">
        <v>1</v>
      </c>
      <c r="K119" s="8"/>
      <c r="L119" s="8"/>
      <c r="M119" s="8">
        <v>1</v>
      </c>
      <c r="N119" s="8"/>
    </row>
    <row r="120" spans="3:14" x14ac:dyDescent="0.25">
      <c r="E120" t="s">
        <v>64</v>
      </c>
      <c r="J120" s="8">
        <v>1500000</v>
      </c>
      <c r="K120" s="12">
        <f>J120*(1+K$13)</f>
        <v>1770000</v>
      </c>
      <c r="L120" s="12">
        <f>K120*(1+L$13)</f>
        <v>2053199.9999999998</v>
      </c>
      <c r="M120" s="12">
        <f t="shared" ref="M120:N120" si="8">L120*(1+M$13)</f>
        <v>2340648</v>
      </c>
      <c r="N120" s="12">
        <f t="shared" si="8"/>
        <v>2621525.7600000002</v>
      </c>
    </row>
    <row r="123" spans="3:14" x14ac:dyDescent="0.25">
      <c r="C123" t="s">
        <v>69</v>
      </c>
      <c r="F123" s="4" t="s">
        <v>70</v>
      </c>
      <c r="G123" t="s">
        <v>43</v>
      </c>
    </row>
    <row r="124" spans="3:14" x14ac:dyDescent="0.25">
      <c r="E124" s="13" t="s">
        <v>62</v>
      </c>
      <c r="F124" s="15">
        <v>4</v>
      </c>
      <c r="G124" s="14">
        <f>1/F124</f>
        <v>0.25</v>
      </c>
    </row>
    <row r="125" spans="3:14" x14ac:dyDescent="0.25">
      <c r="E125" s="13" t="s">
        <v>65</v>
      </c>
      <c r="F125" s="15">
        <v>5</v>
      </c>
      <c r="G125" s="14">
        <f t="shared" ref="G125:G128" si="9">1/F125</f>
        <v>0.2</v>
      </c>
    </row>
    <row r="126" spans="3:14" x14ac:dyDescent="0.25">
      <c r="E126" s="13" t="s">
        <v>66</v>
      </c>
      <c r="F126" s="15">
        <v>6</v>
      </c>
      <c r="G126" s="14">
        <f t="shared" si="9"/>
        <v>0.16666666666666666</v>
      </c>
    </row>
    <row r="127" spans="3:14" x14ac:dyDescent="0.25">
      <c r="E127" s="13" t="s">
        <v>67</v>
      </c>
      <c r="F127" s="15">
        <v>4</v>
      </c>
      <c r="G127" s="14">
        <f t="shared" si="9"/>
        <v>0.25</v>
      </c>
    </row>
    <row r="128" spans="3:14" x14ac:dyDescent="0.25">
      <c r="E128" s="13" t="s">
        <v>68</v>
      </c>
      <c r="F128" s="15">
        <v>4</v>
      </c>
      <c r="G128" s="14">
        <f t="shared" si="9"/>
        <v>0.25</v>
      </c>
    </row>
    <row r="131" spans="1:7" s="9" customFormat="1" x14ac:dyDescent="0.25">
      <c r="A131" s="9" t="s">
        <v>9</v>
      </c>
      <c r="B131" s="9" t="s">
        <v>71</v>
      </c>
    </row>
    <row r="133" spans="1:7" x14ac:dyDescent="0.25">
      <c r="E133" t="s">
        <v>72</v>
      </c>
      <c r="G133" s="8">
        <v>1000000</v>
      </c>
    </row>
    <row r="134" spans="1:7" x14ac:dyDescent="0.25">
      <c r="E134" t="s">
        <v>73</v>
      </c>
      <c r="G134" s="8">
        <v>1500000</v>
      </c>
    </row>
    <row r="135" spans="1:7" x14ac:dyDescent="0.25">
      <c r="E135" t="s">
        <v>74</v>
      </c>
      <c r="G135" s="8">
        <v>3000000</v>
      </c>
    </row>
    <row r="136" spans="1:7" x14ac:dyDescent="0.25">
      <c r="E136" t="s">
        <v>37</v>
      </c>
      <c r="G136" s="8">
        <v>4000000</v>
      </c>
    </row>
    <row r="137" spans="1:7" x14ac:dyDescent="0.25">
      <c r="E137" t="s">
        <v>75</v>
      </c>
      <c r="G137" s="8">
        <v>1000000</v>
      </c>
    </row>
    <row r="138" spans="1:7" x14ac:dyDescent="0.25">
      <c r="G138" s="16">
        <f>SUM(G133:G137)</f>
        <v>10500000</v>
      </c>
    </row>
    <row r="141" spans="1:7" s="9" customFormat="1" x14ac:dyDescent="0.25">
      <c r="A141" s="9" t="s">
        <v>9</v>
      </c>
      <c r="B141" s="9" t="s">
        <v>76</v>
      </c>
    </row>
    <row r="143" spans="1:7" x14ac:dyDescent="0.25">
      <c r="E143" t="s">
        <v>77</v>
      </c>
      <c r="G143" s="22">
        <f>Workings!J100</f>
        <v>65341500</v>
      </c>
    </row>
    <row r="144" spans="1:7" x14ac:dyDescent="0.25">
      <c r="E144" t="s">
        <v>78</v>
      </c>
      <c r="G144" s="7">
        <v>0.7</v>
      </c>
    </row>
    <row r="145" spans="5:7" x14ac:dyDescent="0.25">
      <c r="E145" t="s">
        <v>79</v>
      </c>
      <c r="G145" s="14">
        <f>1-G144</f>
        <v>0.30000000000000004</v>
      </c>
    </row>
    <row r="146" spans="5:7" x14ac:dyDescent="0.25">
      <c r="E146" t="s">
        <v>80</v>
      </c>
      <c r="G146" s="7">
        <v>0.2</v>
      </c>
    </row>
    <row r="147" spans="5:7" x14ac:dyDescent="0.25">
      <c r="E147" t="s">
        <v>81</v>
      </c>
      <c r="G147" s="8">
        <v>5000000</v>
      </c>
    </row>
    <row r="148" spans="5:7" x14ac:dyDescent="0.25">
      <c r="E148" t="s">
        <v>82</v>
      </c>
      <c r="G148" s="7">
        <v>0.15</v>
      </c>
    </row>
    <row r="149" spans="5:7" x14ac:dyDescent="0.25">
      <c r="E149" t="s">
        <v>83</v>
      </c>
      <c r="G149" s="7">
        <v>0.2</v>
      </c>
    </row>
    <row r="150" spans="5:7" x14ac:dyDescent="0.25">
      <c r="E150" t="s">
        <v>84</v>
      </c>
      <c r="G150" s="15">
        <v>3</v>
      </c>
    </row>
    <row r="151" spans="5:7" x14ac:dyDescent="0.25">
      <c r="E151" t="s">
        <v>85</v>
      </c>
      <c r="G151" s="6">
        <f>J5+G150-1</f>
        <v>2026</v>
      </c>
    </row>
  </sheetData>
  <hyperlinks>
    <hyperlink ref="L1" location="Guide!A1" display="Menu" xr:uid="{85990418-6A26-426E-BA82-9497EA7AA63F}"/>
  </hyperlinks>
  <pageMargins left="0.7" right="0.7" top="0.75" bottom="0.75" header="0.3" footer="0.3"/>
  <headerFooter>
    <oddFooter>&amp;L_x000D_&amp;1#&amp;"Calibri"&amp;10&amp;K008000 PUBLIC</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3074" r:id="rId3" name="Drop Down 2">
              <controlPr defaultSize="0" autoLine="0" autoPict="0">
                <anchor moveWithCells="1">
                  <from>
                    <xdr:col>6</xdr:col>
                    <xdr:colOff>69850</xdr:colOff>
                    <xdr:row>3</xdr:row>
                    <xdr:rowOff>107950</xdr:rowOff>
                  </from>
                  <to>
                    <xdr:col>7</xdr:col>
                    <xdr:colOff>215900</xdr:colOff>
                    <xdr:row>4</xdr:row>
                    <xdr:rowOff>158750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B1FCF-BEA7-4A9F-A2B5-7BF3665949E0}">
  <sheetPr>
    <tabColor theme="7" tint="-0.249977111117893"/>
  </sheetPr>
  <dimension ref="A1:N157"/>
  <sheetViews>
    <sheetView topLeftCell="A94" workbookViewId="0">
      <selection activeCell="J57" sqref="J57"/>
    </sheetView>
  </sheetViews>
  <sheetFormatPr defaultColWidth="9.1796875" defaultRowHeight="12.5" x14ac:dyDescent="0.25"/>
  <cols>
    <col min="1" max="4" width="3.26953125" customWidth="1"/>
    <col min="5" max="5" width="31.1796875" customWidth="1"/>
    <col min="6" max="6" width="3.26953125" customWidth="1"/>
    <col min="7" max="7" width="9.81640625" bestFit="1" customWidth="1"/>
    <col min="8" max="9" width="3.26953125" customWidth="1"/>
    <col min="10" max="14" width="13.7265625" style="17" bestFit="1" customWidth="1"/>
    <col min="15" max="16384" width="9.1796875" style="17"/>
  </cols>
  <sheetData>
    <row r="1" spans="1:14" s="1" customFormat="1" ht="14.5" x14ac:dyDescent="0.35">
      <c r="A1" s="2" t="s">
        <v>6</v>
      </c>
      <c r="L1" s="53" t="s">
        <v>266</v>
      </c>
    </row>
    <row r="2" spans="1:14" s="2" customFormat="1" ht="13.5" x14ac:dyDescent="0.25">
      <c r="A2" s="2" t="s">
        <v>0</v>
      </c>
    </row>
    <row r="3" spans="1:14" s="2" customFormat="1" ht="13.5" x14ac:dyDescent="0.25">
      <c r="A3" s="2" t="s">
        <v>3</v>
      </c>
    </row>
    <row r="4" spans="1:14" s="2" customFormat="1" ht="13.5" x14ac:dyDescent="0.25"/>
    <row r="5" spans="1:14" s="2" customFormat="1" ht="13.5" x14ac:dyDescent="0.25">
      <c r="A5" s="2" t="s">
        <v>1</v>
      </c>
      <c r="J5" s="2">
        <v>2024</v>
      </c>
      <c r="K5" s="2">
        <v>2025</v>
      </c>
      <c r="L5" s="2">
        <v>2026</v>
      </c>
      <c r="M5" s="2">
        <v>2027</v>
      </c>
      <c r="N5" s="2">
        <v>2028</v>
      </c>
    </row>
    <row r="6" spans="1:14" customFormat="1" x14ac:dyDescent="0.25"/>
    <row r="7" spans="1:14" s="9" customFormat="1" x14ac:dyDescent="0.25">
      <c r="A7" s="9" t="s">
        <v>9</v>
      </c>
      <c r="B7" s="9" t="s">
        <v>90</v>
      </c>
    </row>
    <row r="8" spans="1:14" x14ac:dyDescent="0.25">
      <c r="E8" t="s">
        <v>17</v>
      </c>
      <c r="J8" s="17">
        <f>INDEX(Assumptions!$G$21:$G$23,Assumptions!$G$5)*(Assumptions!J28*Assumptions!J29*Assumptions!J9*Assumptions!J10*Assumptions!J11*Assumptions!J30)</f>
        <v>60000000</v>
      </c>
      <c r="K8" s="17">
        <f>INDEX(Assumptions!$G$21:$G$23,Assumptions!$G$5)*(Assumptions!K28*Assumptions!K29*Assumptions!K9*Assumptions!K10*Assumptions!K11*Assumptions!K30)</f>
        <v>60000000</v>
      </c>
      <c r="L8" s="17">
        <f>INDEX(Assumptions!$G$21:$G$23,Assumptions!$G$5)*(Assumptions!L28*Assumptions!L29*Assumptions!L9*Assumptions!L10*Assumptions!L11*Assumptions!L30)</f>
        <v>90000000</v>
      </c>
      <c r="M8" s="17">
        <f>INDEX(Assumptions!$G$21:$G$23,Assumptions!$G$5)*(Assumptions!M28*Assumptions!M29*Assumptions!M9*Assumptions!M10*Assumptions!M11*Assumptions!M30)</f>
        <v>129600000</v>
      </c>
      <c r="N8" s="17">
        <f>INDEX(Assumptions!$G$21:$G$23,Assumptions!$G$5)*(Assumptions!N28*Assumptions!N29*Assumptions!N9*Assumptions!N10*Assumptions!N11*Assumptions!N30)</f>
        <v>129600000</v>
      </c>
    </row>
    <row r="9" spans="1:14" x14ac:dyDescent="0.25">
      <c r="E9" t="s">
        <v>21</v>
      </c>
      <c r="J9" s="17">
        <f>INDEX(Assumptions!$G$21:$G$23,Assumptions!$G$5)*(Assumptions!J33*Assumptions!J34*Assumptions!J9*Assumptions!J10*Assumptions!J11*Assumptions!J35)</f>
        <v>67200000</v>
      </c>
      <c r="K9" s="17">
        <f>INDEX(Assumptions!$G$21:$G$23,Assumptions!$G$5)*(Assumptions!K33*Assumptions!K34*Assumptions!K9*Assumptions!K10*Assumptions!K11*Assumptions!K35)</f>
        <v>67200000</v>
      </c>
      <c r="L9" s="17">
        <f>INDEX(Assumptions!$G$21:$G$23,Assumptions!$G$5)*(Assumptions!L33*Assumptions!L34*Assumptions!L9*Assumptions!L10*Assumptions!L11*Assumptions!L35)</f>
        <v>84000000</v>
      </c>
      <c r="M9" s="17">
        <f>INDEX(Assumptions!$G$21:$G$23,Assumptions!$G$5)*(Assumptions!M33*Assumptions!M34*Assumptions!M9*Assumptions!M10*Assumptions!M11*Assumptions!M35)</f>
        <v>135000000</v>
      </c>
      <c r="N9" s="17">
        <f>INDEX(Assumptions!$G$21:$G$23,Assumptions!$G$5)*(Assumptions!N33*Assumptions!N34*Assumptions!N9*Assumptions!N10*Assumptions!N11*Assumptions!N35)</f>
        <v>162000000</v>
      </c>
    </row>
    <row r="10" spans="1:14" x14ac:dyDescent="0.25">
      <c r="E10" t="s">
        <v>22</v>
      </c>
      <c r="J10" s="17">
        <f>INDEX(Assumptions!$G$21:$G$23,Assumptions!$G$5)*(Assumptions!J38*Assumptions!J39*Assumptions!J9*Assumptions!J10*Assumptions!J11*Assumptions!J40)</f>
        <v>36000000</v>
      </c>
      <c r="K10" s="17">
        <f>INDEX(Assumptions!$G$21:$G$23,Assumptions!$G$5)*(Assumptions!K38*Assumptions!K39*Assumptions!K9*Assumptions!K10*Assumptions!K11*Assumptions!K40)</f>
        <v>36000000</v>
      </c>
      <c r="L10" s="17">
        <f>INDEX(Assumptions!$G$21:$G$23,Assumptions!$G$5)*(Assumptions!L38*Assumptions!L39*Assumptions!L9*Assumptions!L10*Assumptions!L11*Assumptions!L40)</f>
        <v>54000000</v>
      </c>
      <c r="M10" s="17">
        <f>INDEX(Assumptions!$G$21:$G$23,Assumptions!$G$5)*(Assumptions!M38*Assumptions!M39*Assumptions!M9*Assumptions!M10*Assumptions!M11*Assumptions!M40)</f>
        <v>86400000</v>
      </c>
      <c r="N10" s="17">
        <f>INDEX(Assumptions!$G$21:$G$23,Assumptions!$G$5)*(Assumptions!N38*Assumptions!N39*Assumptions!N9*Assumptions!N10*Assumptions!N11*Assumptions!N40)</f>
        <v>86400000</v>
      </c>
    </row>
    <row r="11" spans="1:14" ht="13" thickBot="1" x14ac:dyDescent="0.3">
      <c r="E11" s="13" t="s">
        <v>86</v>
      </c>
      <c r="J11" s="19">
        <f>SUM(J8:J10)</f>
        <v>163200000</v>
      </c>
      <c r="K11" s="19">
        <f t="shared" ref="K11:N11" si="0">SUM(K8:K10)</f>
        <v>163200000</v>
      </c>
      <c r="L11" s="19">
        <f t="shared" si="0"/>
        <v>228000000</v>
      </c>
      <c r="M11" s="19">
        <f t="shared" si="0"/>
        <v>351000000</v>
      </c>
      <c r="N11" s="19">
        <f t="shared" si="0"/>
        <v>378000000</v>
      </c>
    </row>
    <row r="12" spans="1:14" ht="13" thickTop="1" x14ac:dyDescent="0.25"/>
    <row r="13" spans="1:14" x14ac:dyDescent="0.25">
      <c r="E13" t="s">
        <v>87</v>
      </c>
      <c r="J13" s="17">
        <f>J11*Assumptions!$J$14</f>
        <v>48960000</v>
      </c>
      <c r="K13" s="17">
        <f>K11*Assumptions!$J$14</f>
        <v>48960000</v>
      </c>
      <c r="L13" s="17">
        <f>L11*Assumptions!$J$14</f>
        <v>68400000</v>
      </c>
      <c r="M13" s="17">
        <f>M11*Assumptions!$J$14</f>
        <v>105300000</v>
      </c>
      <c r="N13" s="17">
        <f>N11*Assumptions!$J$14</f>
        <v>113400000</v>
      </c>
    </row>
    <row r="14" spans="1:14" x14ac:dyDescent="0.25">
      <c r="E14" t="s">
        <v>88</v>
      </c>
      <c r="J14" s="17">
        <f>J11-J13</f>
        <v>114240000</v>
      </c>
      <c r="K14" s="17">
        <f t="shared" ref="K14:N14" si="1">K11-K13</f>
        <v>114240000</v>
      </c>
      <c r="L14" s="17">
        <f t="shared" si="1"/>
        <v>159600000</v>
      </c>
      <c r="M14" s="17">
        <f t="shared" si="1"/>
        <v>245700000</v>
      </c>
      <c r="N14" s="17">
        <f t="shared" si="1"/>
        <v>264600000</v>
      </c>
    </row>
    <row r="17" spans="1:14" s="9" customFormat="1" x14ac:dyDescent="0.25">
      <c r="A17" s="9" t="s">
        <v>9</v>
      </c>
      <c r="B17" s="9" t="s">
        <v>89</v>
      </c>
    </row>
    <row r="19" spans="1:14" x14ac:dyDescent="0.25">
      <c r="E19" t="s">
        <v>24</v>
      </c>
      <c r="J19" s="17" cm="1">
        <f t="array" ref="J19">SUM(Assumptions!J46:J49*J11)</f>
        <v>40800000</v>
      </c>
      <c r="K19" s="17" cm="1">
        <f t="array" ref="K19">SUM(Assumptions!K46:K49*K11)</f>
        <v>40800000</v>
      </c>
      <c r="L19" s="17" cm="1">
        <f t="array" ref="L19">SUM(Assumptions!L46:L49*L11)</f>
        <v>57000000</v>
      </c>
      <c r="M19" s="17" cm="1">
        <f t="array" ref="M19">SUM(Assumptions!M46:M49*M11)</f>
        <v>87750000</v>
      </c>
      <c r="N19" s="17" cm="1">
        <f t="array" ref="N19">SUM(Assumptions!N46:N49*N11)</f>
        <v>94500000</v>
      </c>
    </row>
    <row r="20" spans="1:14" x14ac:dyDescent="0.25">
      <c r="E20" t="s">
        <v>29</v>
      </c>
      <c r="J20" s="17">
        <f>INDEX(Assumptions!$G$21:$G$23,Assumptions!$G$5)*(Assumptions!J53*Assumptions!J54*Assumptions!J9*Assumptions!J10*Assumptions!J11)</f>
        <v>24000000</v>
      </c>
      <c r="K20" s="17">
        <f>INDEX(Assumptions!$G$21:$G$23,Assumptions!$G$5)*(Assumptions!K53*Assumptions!K54*Assumptions!K9*Assumptions!K10*Assumptions!K11)</f>
        <v>24000000</v>
      </c>
      <c r="L20" s="17">
        <f>INDEX(Assumptions!$G$21:$G$23,Assumptions!$G$5)*(Assumptions!L53*Assumptions!L54*Assumptions!L9*Assumptions!L10*Assumptions!L11)</f>
        <v>28800000</v>
      </c>
      <c r="M20" s="17">
        <f>INDEX(Assumptions!$G$21:$G$23,Assumptions!$G$5)*(Assumptions!M53*Assumptions!M54*Assumptions!M9*Assumptions!M10*Assumptions!M11)</f>
        <v>36000000</v>
      </c>
      <c r="N20" s="17">
        <f>INDEX(Assumptions!$G$21:$G$23,Assumptions!$G$5)*(Assumptions!N53*Assumptions!N54*Assumptions!N9*Assumptions!N10*Assumptions!N11)</f>
        <v>42000000</v>
      </c>
    </row>
    <row r="21" spans="1:14" x14ac:dyDescent="0.25">
      <c r="E21" t="s">
        <v>31</v>
      </c>
      <c r="J21" s="17">
        <f>Assumptions!J56*J11</f>
        <v>8160000</v>
      </c>
      <c r="K21" s="17">
        <f>Assumptions!K56*K11</f>
        <v>8160000</v>
      </c>
      <c r="L21" s="17">
        <f>Assumptions!L56*L11</f>
        <v>11400000</v>
      </c>
      <c r="M21" s="17">
        <f>Assumptions!M56*M11</f>
        <v>17550000</v>
      </c>
      <c r="N21" s="17">
        <f>Assumptions!N56*N11</f>
        <v>18900000</v>
      </c>
    </row>
    <row r="22" spans="1:14" x14ac:dyDescent="0.25">
      <c r="J22" s="18">
        <f>SUM(J19:J21)</f>
        <v>72960000</v>
      </c>
      <c r="K22" s="18">
        <f t="shared" ref="K22" si="2">SUM(K19:K21)</f>
        <v>72960000</v>
      </c>
      <c r="L22" s="18">
        <f t="shared" ref="L22" si="3">SUM(L19:L21)</f>
        <v>97200000</v>
      </c>
      <c r="M22" s="18">
        <f t="shared" ref="M22" si="4">SUM(M19:M21)</f>
        <v>141300000</v>
      </c>
      <c r="N22" s="18">
        <f t="shared" ref="N22" si="5">SUM(N19:N21)</f>
        <v>155400000</v>
      </c>
    </row>
    <row r="24" spans="1:14" x14ac:dyDescent="0.25">
      <c r="E24" t="s">
        <v>91</v>
      </c>
      <c r="J24" s="17">
        <f>J22*Assumptions!$J$15</f>
        <v>14592000</v>
      </c>
      <c r="K24" s="17">
        <f>K22*Assumptions!$J$15</f>
        <v>14592000</v>
      </c>
      <c r="L24" s="17">
        <f>L22*Assumptions!$J$15</f>
        <v>19440000</v>
      </c>
      <c r="M24" s="17">
        <f>M22*Assumptions!$J$15</f>
        <v>28260000</v>
      </c>
      <c r="N24" s="17">
        <f>N22*Assumptions!$J$15</f>
        <v>31080000</v>
      </c>
    </row>
    <row r="26" spans="1:14" ht="13" thickBot="1" x14ac:dyDescent="0.3">
      <c r="E26" s="13" t="s">
        <v>92</v>
      </c>
      <c r="J26" s="19">
        <f>J22+J24</f>
        <v>87552000</v>
      </c>
      <c r="K26" s="19">
        <f t="shared" ref="K26:N26" si="6">K22+K24</f>
        <v>87552000</v>
      </c>
      <c r="L26" s="19">
        <f t="shared" si="6"/>
        <v>116640000</v>
      </c>
      <c r="M26" s="19">
        <f t="shared" si="6"/>
        <v>169560000</v>
      </c>
      <c r="N26" s="19">
        <f t="shared" si="6"/>
        <v>186480000</v>
      </c>
    </row>
    <row r="27" spans="1:14" ht="13" thickTop="1" x14ac:dyDescent="0.25"/>
    <row r="28" spans="1:14" x14ac:dyDescent="0.25">
      <c r="E28" t="s">
        <v>94</v>
      </c>
      <c r="J28" s="17">
        <f>J26*Assumptions!$J$16</f>
        <v>21888000</v>
      </c>
      <c r="K28" s="17">
        <f>K26*Assumptions!$J$16</f>
        <v>21888000</v>
      </c>
      <c r="L28" s="17">
        <f>L26*Assumptions!$J$16</f>
        <v>29160000</v>
      </c>
      <c r="M28" s="17">
        <f>M26*Assumptions!$J$16</f>
        <v>42390000</v>
      </c>
      <c r="N28" s="17">
        <f>N26*Assumptions!$J$16</f>
        <v>46620000</v>
      </c>
    </row>
    <row r="29" spans="1:14" x14ac:dyDescent="0.25">
      <c r="E29" t="s">
        <v>95</v>
      </c>
      <c r="J29" s="17">
        <f>J26-J28</f>
        <v>65664000</v>
      </c>
      <c r="K29" s="17">
        <f t="shared" ref="K29:N29" si="7">K26-K28</f>
        <v>65664000</v>
      </c>
      <c r="L29" s="17">
        <f t="shared" si="7"/>
        <v>87480000</v>
      </c>
      <c r="M29" s="17">
        <f t="shared" si="7"/>
        <v>127170000</v>
      </c>
      <c r="N29" s="17">
        <f t="shared" si="7"/>
        <v>139860000</v>
      </c>
    </row>
    <row r="32" spans="1:14" s="9" customFormat="1" x14ac:dyDescent="0.25">
      <c r="A32" s="9" t="s">
        <v>9</v>
      </c>
      <c r="B32" s="9" t="s">
        <v>47</v>
      </c>
    </row>
    <row r="34" spans="5:14" x14ac:dyDescent="0.25">
      <c r="E34" t="s">
        <v>49</v>
      </c>
      <c r="J34" s="17">
        <f>Assumptions!J73*Assumptions!J84*Assumptions!J$11</f>
        <v>8400000</v>
      </c>
      <c r="K34" s="17">
        <f>Assumptions!K73*Assumptions!K84*Assumptions!K$11</f>
        <v>8400000</v>
      </c>
      <c r="L34" s="17">
        <f>Assumptions!L73*Assumptions!L84*Assumptions!L$11</f>
        <v>8400000</v>
      </c>
      <c r="M34" s="17">
        <f>Assumptions!M73*Assumptions!M84*Assumptions!M$11</f>
        <v>12000000</v>
      </c>
      <c r="N34" s="17">
        <f>Assumptions!N73*Assumptions!N84*Assumptions!N$11</f>
        <v>12000000</v>
      </c>
    </row>
    <row r="35" spans="5:14" x14ac:dyDescent="0.25">
      <c r="E35" t="s">
        <v>50</v>
      </c>
      <c r="J35" s="17">
        <f>Assumptions!J74*Assumptions!J85*Assumptions!J$11</f>
        <v>5400000</v>
      </c>
      <c r="K35" s="17">
        <f>Assumptions!K74*Assumptions!K85*Assumptions!K$11</f>
        <v>5400000</v>
      </c>
      <c r="L35" s="17">
        <f>Assumptions!L74*Assumptions!L85*Assumptions!L$11</f>
        <v>5400000</v>
      </c>
      <c r="M35" s="17">
        <f>Assumptions!M74*Assumptions!M85*Assumptions!M$11</f>
        <v>7200000</v>
      </c>
      <c r="N35" s="17">
        <f>Assumptions!N74*Assumptions!N85*Assumptions!N$11</f>
        <v>7200000</v>
      </c>
    </row>
    <row r="36" spans="5:14" x14ac:dyDescent="0.25">
      <c r="E36" t="s">
        <v>51</v>
      </c>
      <c r="J36" s="17">
        <f>Assumptions!J75*Assumptions!J86*Assumptions!J$11</f>
        <v>6000000</v>
      </c>
      <c r="K36" s="17">
        <f>Assumptions!K75*Assumptions!K86*Assumptions!K$11</f>
        <v>6000000</v>
      </c>
      <c r="L36" s="17">
        <f>Assumptions!L75*Assumptions!L86*Assumptions!L$11</f>
        <v>6000000</v>
      </c>
      <c r="M36" s="17">
        <f>Assumptions!M75*Assumptions!M86*Assumptions!M$11</f>
        <v>8400000</v>
      </c>
      <c r="N36" s="17">
        <f>Assumptions!N75*Assumptions!N86*Assumptions!N$11</f>
        <v>8400000</v>
      </c>
    </row>
    <row r="37" spans="5:14" x14ac:dyDescent="0.25">
      <c r="E37" t="s">
        <v>52</v>
      </c>
      <c r="J37" s="17">
        <f>Assumptions!J76*Assumptions!J87*Assumptions!J$11</f>
        <v>3600000</v>
      </c>
      <c r="K37" s="17">
        <f>Assumptions!K76*Assumptions!K87*Assumptions!K$11</f>
        <v>3600000</v>
      </c>
      <c r="L37" s="17">
        <f>Assumptions!L76*Assumptions!L87*Assumptions!L$11</f>
        <v>3600000</v>
      </c>
      <c r="M37" s="17">
        <f>Assumptions!M76*Assumptions!M87*Assumptions!M$11</f>
        <v>4800000</v>
      </c>
      <c r="N37" s="17">
        <f>Assumptions!N76*Assumptions!N87*Assumptions!N$11</f>
        <v>4800000</v>
      </c>
    </row>
    <row r="38" spans="5:14" x14ac:dyDescent="0.25">
      <c r="E38" t="s">
        <v>53</v>
      </c>
      <c r="J38" s="17">
        <f>Assumptions!J77*Assumptions!J88*Assumptions!J$11</f>
        <v>6000000</v>
      </c>
      <c r="K38" s="17">
        <f>Assumptions!K77*Assumptions!K88*Assumptions!K$11</f>
        <v>6000000</v>
      </c>
      <c r="L38" s="17">
        <f>Assumptions!L77*Assumptions!L88*Assumptions!L$11</f>
        <v>6000000</v>
      </c>
      <c r="M38" s="17">
        <f>Assumptions!M77*Assumptions!M88*Assumptions!M$11</f>
        <v>8400000</v>
      </c>
      <c r="N38" s="17">
        <f>Assumptions!N77*Assumptions!N88*Assumptions!N$11</f>
        <v>8400000</v>
      </c>
    </row>
    <row r="39" spans="5:14" x14ac:dyDescent="0.25">
      <c r="E39" t="s">
        <v>54</v>
      </c>
      <c r="J39" s="17">
        <f>Assumptions!J78*Assumptions!J89*Assumptions!J$11</f>
        <v>2400000</v>
      </c>
      <c r="K39" s="17">
        <f>Assumptions!K78*Assumptions!K89*Assumptions!K$11</f>
        <v>4800000</v>
      </c>
      <c r="L39" s="17">
        <f>Assumptions!L78*Assumptions!L89*Assumptions!L$11</f>
        <v>7200000</v>
      </c>
      <c r="M39" s="17">
        <f>Assumptions!M78*Assumptions!M89*Assumptions!M$11</f>
        <v>9000000</v>
      </c>
      <c r="N39" s="17">
        <f>Assumptions!N78*Assumptions!N89*Assumptions!N$11</f>
        <v>9000000</v>
      </c>
    </row>
    <row r="40" spans="5:14" x14ac:dyDescent="0.25">
      <c r="E40" t="s">
        <v>55</v>
      </c>
      <c r="J40" s="17">
        <f>Assumptions!J79*Assumptions!J90*Assumptions!J$11</f>
        <v>1800000</v>
      </c>
      <c r="K40" s="17">
        <f>Assumptions!K79*Assumptions!K90*Assumptions!K$11</f>
        <v>1800000</v>
      </c>
      <c r="L40" s="17">
        <f>Assumptions!L79*Assumptions!L90*Assumptions!L$11</f>
        <v>3600000</v>
      </c>
      <c r="M40" s="17">
        <f>Assumptions!M79*Assumptions!M90*Assumptions!M$11</f>
        <v>4800000</v>
      </c>
      <c r="N40" s="17">
        <f>Assumptions!N79*Assumptions!N90*Assumptions!N$11</f>
        <v>4800000</v>
      </c>
    </row>
    <row r="41" spans="5:14" x14ac:dyDescent="0.25">
      <c r="E41" t="s">
        <v>56</v>
      </c>
      <c r="J41" s="17">
        <f>Assumptions!J80*Assumptions!J91*Assumptions!J$11</f>
        <v>1800000</v>
      </c>
      <c r="K41" s="17">
        <f>Assumptions!K80*Assumptions!K91*Assumptions!K$11</f>
        <v>1800000</v>
      </c>
      <c r="L41" s="17">
        <f>Assumptions!L80*Assumptions!L91*Assumptions!L$11</f>
        <v>3600000</v>
      </c>
      <c r="M41" s="17">
        <f>Assumptions!M80*Assumptions!M91*Assumptions!M$11</f>
        <v>4800000</v>
      </c>
      <c r="N41" s="17">
        <f>Assumptions!N80*Assumptions!N91*Assumptions!N$11</f>
        <v>7200000</v>
      </c>
    </row>
    <row r="42" spans="5:14" x14ac:dyDescent="0.25">
      <c r="E42" t="s">
        <v>57</v>
      </c>
      <c r="J42" s="17">
        <f>Assumptions!J81*Assumptions!J92*Assumptions!J$11</f>
        <v>1440000</v>
      </c>
      <c r="K42" s="17">
        <f>Assumptions!K81*Assumptions!K92*Assumptions!K$11</f>
        <v>1440000</v>
      </c>
      <c r="L42" s="17">
        <f>Assumptions!L81*Assumptions!L92*Assumptions!L$11</f>
        <v>2880000</v>
      </c>
      <c r="M42" s="17">
        <f>Assumptions!M81*Assumptions!M92*Assumptions!M$11</f>
        <v>3600000</v>
      </c>
      <c r="N42" s="17">
        <f>Assumptions!N81*Assumptions!N92*Assumptions!N$11</f>
        <v>3600000</v>
      </c>
    </row>
    <row r="43" spans="5:14" x14ac:dyDescent="0.25">
      <c r="J43" s="18">
        <f>SUM(J34:J42)</f>
        <v>36840000</v>
      </c>
      <c r="K43" s="18">
        <f t="shared" ref="K43:N43" si="8">SUM(K34:K42)</f>
        <v>39240000</v>
      </c>
      <c r="L43" s="18">
        <f t="shared" si="8"/>
        <v>46680000</v>
      </c>
      <c r="M43" s="18">
        <f t="shared" si="8"/>
        <v>63000000</v>
      </c>
      <c r="N43" s="18">
        <f t="shared" si="8"/>
        <v>65400000</v>
      </c>
    </row>
    <row r="45" spans="5:14" x14ac:dyDescent="0.25">
      <c r="E45" t="s">
        <v>59</v>
      </c>
      <c r="J45" s="17">
        <f>INDEX(Assumptions!$G$21:$G$23,Assumptions!$G$5)*(J43*Assumptions!$H$95)</f>
        <v>5526000</v>
      </c>
      <c r="K45" s="17">
        <f>INDEX(Assumptions!$G$21:$G$23,Assumptions!$G$5)*(K43*Assumptions!$H$95)</f>
        <v>5886000</v>
      </c>
      <c r="L45" s="17">
        <f>INDEX(Assumptions!$G$21:$G$23,Assumptions!$G$5)*(L43*Assumptions!$H$95)</f>
        <v>7002000</v>
      </c>
      <c r="M45" s="17">
        <f>INDEX(Assumptions!$G$21:$G$23,Assumptions!$G$5)*(M43*Assumptions!$H$95)</f>
        <v>9450000</v>
      </c>
      <c r="N45" s="17">
        <f>INDEX(Assumptions!$G$21:$G$23,Assumptions!$G$5)*(N43*Assumptions!$H$95)</f>
        <v>9810000</v>
      </c>
    </row>
    <row r="47" spans="5:14" ht="13" thickBot="1" x14ac:dyDescent="0.3">
      <c r="E47" s="13" t="s">
        <v>96</v>
      </c>
      <c r="J47" s="19">
        <f>J43+J45</f>
        <v>42366000</v>
      </c>
      <c r="K47" s="19">
        <f t="shared" ref="K47:N47" si="9">K43+K45</f>
        <v>45126000</v>
      </c>
      <c r="L47" s="19">
        <f t="shared" si="9"/>
        <v>53682000</v>
      </c>
      <c r="M47" s="19">
        <f t="shared" si="9"/>
        <v>72450000</v>
      </c>
      <c r="N47" s="19">
        <f t="shared" si="9"/>
        <v>75210000</v>
      </c>
    </row>
    <row r="48" spans="5:14" ht="13" thickTop="1" x14ac:dyDescent="0.25"/>
    <row r="50" spans="1:14" s="9" customFormat="1" x14ac:dyDescent="0.25">
      <c r="A50" s="9" t="s">
        <v>9</v>
      </c>
      <c r="B50" s="9" t="s">
        <v>33</v>
      </c>
    </row>
    <row r="52" spans="1:14" x14ac:dyDescent="0.25">
      <c r="E52" t="s">
        <v>34</v>
      </c>
      <c r="J52" s="17">
        <f>Assumptions!J61*J11</f>
        <v>16320000</v>
      </c>
      <c r="K52" s="17">
        <f>Assumptions!K61*K11</f>
        <v>16320000</v>
      </c>
      <c r="L52" s="17">
        <f>Assumptions!L61*L11</f>
        <v>22800000</v>
      </c>
      <c r="M52" s="17">
        <f>Assumptions!M61*M11</f>
        <v>35100000</v>
      </c>
      <c r="N52" s="17">
        <f>Assumptions!N61*N11</f>
        <v>37800000</v>
      </c>
    </row>
    <row r="53" spans="1:14" x14ac:dyDescent="0.25">
      <c r="E53" t="s">
        <v>35</v>
      </c>
      <c r="J53" s="17">
        <f>INDEX(Assumptions!$G$21:$G$23,Assumptions!$G$5)*(Assumptions!J62*Assumptions!J11)</f>
        <v>1200000</v>
      </c>
      <c r="K53" s="17">
        <f>INDEX(Assumptions!$G$21:$G$23,Assumptions!$G$5)*(Assumptions!K62*Assumptions!K11)</f>
        <v>1416000</v>
      </c>
      <c r="L53" s="17">
        <f>INDEX(Assumptions!$G$21:$G$23,Assumptions!$G$5)*(Assumptions!L62*Assumptions!L11)</f>
        <v>1642560</v>
      </c>
      <c r="M53" s="17">
        <f>INDEX(Assumptions!$G$21:$G$23,Assumptions!$G$5)*(Assumptions!M62*Assumptions!M11)</f>
        <v>1872518.4000000001</v>
      </c>
      <c r="N53" s="17">
        <f>INDEX(Assumptions!$G$21:$G$23,Assumptions!$G$5)*(Assumptions!N62*Assumptions!N11)</f>
        <v>2097220.608</v>
      </c>
    </row>
    <row r="54" spans="1:14" x14ac:dyDescent="0.25">
      <c r="E54" t="s">
        <v>36</v>
      </c>
      <c r="J54" s="17">
        <f>INDEX(Assumptions!$G$21:$G$23,Assumptions!$G$5)*(Assumptions!J63*Assumptions!J11)</f>
        <v>360000</v>
      </c>
      <c r="K54" s="17">
        <f>INDEX(Assumptions!$G$21:$G$23,Assumptions!$G$5)*(Assumptions!K63*Assumptions!K11)</f>
        <v>424800</v>
      </c>
      <c r="L54" s="17">
        <f>INDEX(Assumptions!$G$21:$G$23,Assumptions!$G$5)*(Assumptions!L63*Assumptions!L11)</f>
        <v>492768</v>
      </c>
      <c r="M54" s="17">
        <f>INDEX(Assumptions!$G$21:$G$23,Assumptions!$G$5)*(Assumptions!M63*Assumptions!M11)</f>
        <v>561755.52</v>
      </c>
      <c r="N54" s="17">
        <f>INDEX(Assumptions!$G$21:$G$23,Assumptions!$G$5)*(Assumptions!N63*Assumptions!N11)</f>
        <v>629166.18240000005</v>
      </c>
    </row>
    <row r="55" spans="1:14" x14ac:dyDescent="0.25">
      <c r="E55" t="s">
        <v>37</v>
      </c>
      <c r="J55" s="17">
        <f>Assumptions!J64</f>
        <v>0</v>
      </c>
      <c r="K55" s="17">
        <f>Assumptions!K64</f>
        <v>4000000</v>
      </c>
      <c r="L55" s="17">
        <f>Assumptions!L64</f>
        <v>4000000</v>
      </c>
      <c r="M55" s="17">
        <f>Assumptions!M64</f>
        <v>4000000</v>
      </c>
      <c r="N55" s="17">
        <f>Assumptions!N64</f>
        <v>4000000</v>
      </c>
    </row>
    <row r="56" spans="1:14" x14ac:dyDescent="0.25">
      <c r="E56" t="s">
        <v>39</v>
      </c>
      <c r="J56" s="17">
        <f>Assumptions!J65*J11</f>
        <v>8160000</v>
      </c>
      <c r="K56" s="17">
        <f>Assumptions!K65*K11</f>
        <v>8160000</v>
      </c>
      <c r="L56" s="17">
        <f>Assumptions!L65*L11</f>
        <v>11400000</v>
      </c>
      <c r="M56" s="17">
        <f>Assumptions!M65*M11</f>
        <v>17550000</v>
      </c>
      <c r="N56" s="17">
        <f>Assumptions!N65*N11</f>
        <v>18900000</v>
      </c>
    </row>
    <row r="57" spans="1:14" x14ac:dyDescent="0.25">
      <c r="E57" t="s">
        <v>38</v>
      </c>
      <c r="J57" s="17">
        <f>INDEX(Assumptions!$G$21:$G$23,Assumptions!$G$5)*(Assumptions!J66*Assumptions!J12)</f>
        <v>4000000</v>
      </c>
      <c r="K57" s="17">
        <f>INDEX(Assumptions!$G$21:$G$23,Assumptions!$G$5)*(Assumptions!K66*Assumptions!K12)</f>
        <v>4720000</v>
      </c>
      <c r="L57" s="17">
        <f>INDEX(Assumptions!$G$21:$G$23,Assumptions!$G$5)*(Assumptions!L66*Assumptions!L12)</f>
        <v>5475200</v>
      </c>
      <c r="M57" s="17">
        <f>INDEX(Assumptions!$G$21:$G$23,Assumptions!$G$5)*(Assumptions!M66*Assumptions!M12)</f>
        <v>6241728.0000000009</v>
      </c>
      <c r="N57" s="17">
        <f>INDEX(Assumptions!$G$21:$G$23,Assumptions!$G$5)*(Assumptions!N66*Assumptions!N12)</f>
        <v>6990735.3600000013</v>
      </c>
    </row>
    <row r="58" spans="1:14" x14ac:dyDescent="0.25">
      <c r="E58" t="s">
        <v>40</v>
      </c>
      <c r="J58" s="17">
        <f>INDEX(Assumptions!$G$21:$G$23,Assumptions!$G$5)*(Assumptions!J67*Assumptions!J12)</f>
        <v>2000000</v>
      </c>
      <c r="K58" s="17">
        <f>INDEX(Assumptions!$G$21:$G$23,Assumptions!$G$5)*(Assumptions!K67*Assumptions!K12)</f>
        <v>2360000</v>
      </c>
      <c r="L58" s="17">
        <f>INDEX(Assumptions!$G$21:$G$23,Assumptions!$G$5)*(Assumptions!L67*Assumptions!L12)</f>
        <v>2737600</v>
      </c>
      <c r="M58" s="17">
        <f>INDEX(Assumptions!$G$21:$G$23,Assumptions!$G$5)*(Assumptions!M67*Assumptions!M12)</f>
        <v>3120864.0000000005</v>
      </c>
      <c r="N58" s="17">
        <f>INDEX(Assumptions!$G$21:$G$23,Assumptions!$G$5)*(Assumptions!N67*Assumptions!N12)</f>
        <v>3495367.6800000006</v>
      </c>
    </row>
    <row r="59" spans="1:14" x14ac:dyDescent="0.25">
      <c r="J59" s="18">
        <f>SUM(J52:J58)</f>
        <v>32040000</v>
      </c>
      <c r="K59" s="18">
        <f t="shared" ref="K59:N59" si="10">SUM(K52:K58)</f>
        <v>37400800</v>
      </c>
      <c r="L59" s="18">
        <f t="shared" si="10"/>
        <v>48548128</v>
      </c>
      <c r="M59" s="18">
        <f t="shared" si="10"/>
        <v>68446865.920000002</v>
      </c>
      <c r="N59" s="18">
        <f t="shared" si="10"/>
        <v>73912489.83040002</v>
      </c>
    </row>
    <row r="61" spans="1:14" x14ac:dyDescent="0.25">
      <c r="E61" t="s">
        <v>97</v>
      </c>
      <c r="J61" s="17">
        <f>Assumptions!G138</f>
        <v>10500000</v>
      </c>
    </row>
    <row r="63" spans="1:14" ht="13" thickBot="1" x14ac:dyDescent="0.3">
      <c r="E63" s="13" t="s">
        <v>98</v>
      </c>
      <c r="J63" s="19">
        <f>J59+J61</f>
        <v>42540000</v>
      </c>
      <c r="K63" s="19">
        <f t="shared" ref="K63:N63" si="11">K59+K61</f>
        <v>37400800</v>
      </c>
      <c r="L63" s="19">
        <f t="shared" si="11"/>
        <v>48548128</v>
      </c>
      <c r="M63" s="19">
        <f t="shared" si="11"/>
        <v>68446865.920000002</v>
      </c>
      <c r="N63" s="19">
        <f t="shared" si="11"/>
        <v>73912489.83040002</v>
      </c>
    </row>
    <row r="64" spans="1:14" ht="13" thickTop="1" x14ac:dyDescent="0.25"/>
    <row r="66" spans="1:14" s="9" customFormat="1" x14ac:dyDescent="0.25">
      <c r="A66" s="9" t="s">
        <v>9</v>
      </c>
      <c r="B66" s="9" t="s">
        <v>60</v>
      </c>
    </row>
    <row r="68" spans="1:14" x14ac:dyDescent="0.25">
      <c r="D68" s="13" t="s">
        <v>112</v>
      </c>
    </row>
    <row r="69" spans="1:14" x14ac:dyDescent="0.25">
      <c r="E69" t="s">
        <v>62</v>
      </c>
      <c r="J69" s="22">
        <f>CAPEX!J49</f>
        <v>6000000</v>
      </c>
      <c r="K69" s="22">
        <f>CAPEX!K49</f>
        <v>0</v>
      </c>
      <c r="L69" s="22">
        <f>CAPEX!L49</f>
        <v>0</v>
      </c>
      <c r="M69" s="22">
        <f>CAPEX!M49</f>
        <v>9362592.0000000019</v>
      </c>
      <c r="N69" s="22">
        <f>CAPEX!N49</f>
        <v>0</v>
      </c>
    </row>
    <row r="70" spans="1:14" x14ac:dyDescent="0.25">
      <c r="E70" t="s">
        <v>65</v>
      </c>
      <c r="J70" s="22">
        <f>CAPEX!J50</f>
        <v>4500000</v>
      </c>
      <c r="K70" s="22">
        <f>CAPEX!K50</f>
        <v>0</v>
      </c>
      <c r="L70" s="22">
        <f>CAPEX!L50</f>
        <v>0</v>
      </c>
      <c r="M70" s="22">
        <f>CAPEX!M50</f>
        <v>0</v>
      </c>
      <c r="N70" s="22">
        <f>CAPEX!N50</f>
        <v>7864577.2800000021</v>
      </c>
    </row>
    <row r="71" spans="1:14" x14ac:dyDescent="0.25">
      <c r="E71" t="s">
        <v>66</v>
      </c>
      <c r="J71" s="22">
        <f>CAPEX!J51</f>
        <v>2000000</v>
      </c>
      <c r="K71" s="22">
        <f>CAPEX!K51</f>
        <v>0</v>
      </c>
      <c r="L71" s="22">
        <f>CAPEX!L51</f>
        <v>0</v>
      </c>
      <c r="M71" s="22">
        <f>CAPEX!M51</f>
        <v>0</v>
      </c>
      <c r="N71" s="22">
        <f>CAPEX!N51</f>
        <v>0</v>
      </c>
    </row>
    <row r="72" spans="1:14" x14ac:dyDescent="0.25">
      <c r="E72" t="s">
        <v>67</v>
      </c>
      <c r="J72" s="22">
        <f>CAPEX!J52</f>
        <v>4000000</v>
      </c>
      <c r="K72" s="22">
        <f>CAPEX!K52</f>
        <v>4720000</v>
      </c>
      <c r="L72" s="22">
        <f>CAPEX!L52</f>
        <v>0</v>
      </c>
      <c r="M72" s="22">
        <f>CAPEX!M52</f>
        <v>6241728.0000000009</v>
      </c>
      <c r="N72" s="22">
        <f>CAPEX!N52</f>
        <v>6990735.3600000013</v>
      </c>
    </row>
    <row r="73" spans="1:14" x14ac:dyDescent="0.25">
      <c r="E73" t="s">
        <v>68</v>
      </c>
      <c r="J73" s="22">
        <f>CAPEX!J53</f>
        <v>1500000</v>
      </c>
      <c r="K73" s="22">
        <f>CAPEX!K53</f>
        <v>0</v>
      </c>
      <c r="L73" s="22">
        <f>CAPEX!L53</f>
        <v>0</v>
      </c>
      <c r="M73" s="22">
        <f>CAPEX!M53</f>
        <v>2340648</v>
      </c>
      <c r="N73" s="22">
        <f>CAPEX!N53</f>
        <v>0</v>
      </c>
    </row>
    <row r="74" spans="1:14" ht="13" thickBot="1" x14ac:dyDescent="0.3">
      <c r="E74" s="13" t="s">
        <v>113</v>
      </c>
      <c r="J74" s="19">
        <f>SUM(J69:J73)</f>
        <v>18000000</v>
      </c>
      <c r="K74" s="19">
        <f t="shared" ref="K74:N74" si="12">SUM(K69:K73)</f>
        <v>4720000</v>
      </c>
      <c r="L74" s="19">
        <f t="shared" si="12"/>
        <v>0</v>
      </c>
      <c r="M74" s="19">
        <f t="shared" si="12"/>
        <v>17944968.000000004</v>
      </c>
      <c r="N74" s="19">
        <f t="shared" si="12"/>
        <v>14855312.640000004</v>
      </c>
    </row>
    <row r="75" spans="1:14" ht="13" thickTop="1" x14ac:dyDescent="0.25"/>
    <row r="76" spans="1:14" x14ac:dyDescent="0.25">
      <c r="D76" s="13" t="s">
        <v>109</v>
      </c>
    </row>
    <row r="77" spans="1:14" x14ac:dyDescent="0.25">
      <c r="E77" t="s">
        <v>62</v>
      </c>
      <c r="J77" s="22">
        <f ca="1">CAPEX!J74</f>
        <v>1500000</v>
      </c>
      <c r="K77" s="22">
        <f ca="1">CAPEX!K74</f>
        <v>1500000</v>
      </c>
      <c r="L77" s="22">
        <f ca="1">CAPEX!L74</f>
        <v>1500000</v>
      </c>
      <c r="M77" s="22">
        <f ca="1">CAPEX!M74</f>
        <v>3840648.0000000005</v>
      </c>
      <c r="N77" s="22">
        <f ca="1">CAPEX!N74</f>
        <v>2340648.0000000005</v>
      </c>
    </row>
    <row r="78" spans="1:14" x14ac:dyDescent="0.25">
      <c r="E78" t="s">
        <v>65</v>
      </c>
      <c r="J78" s="22">
        <f ca="1">CAPEX!J75</f>
        <v>900000</v>
      </c>
      <c r="K78" s="22">
        <f ca="1">CAPEX!K75</f>
        <v>900000</v>
      </c>
      <c r="L78" s="22">
        <f ca="1">CAPEX!L75</f>
        <v>900000</v>
      </c>
      <c r="M78" s="22">
        <f ca="1">CAPEX!M75</f>
        <v>900000</v>
      </c>
      <c r="N78" s="22">
        <f ca="1">CAPEX!N75</f>
        <v>2472915.4560000002</v>
      </c>
    </row>
    <row r="79" spans="1:14" x14ac:dyDescent="0.25">
      <c r="E79" t="s">
        <v>66</v>
      </c>
      <c r="J79" s="22">
        <f ca="1">CAPEX!J76</f>
        <v>333333.33333333331</v>
      </c>
      <c r="K79" s="22">
        <f ca="1">CAPEX!K76</f>
        <v>333333.33333333331</v>
      </c>
      <c r="L79" s="22">
        <f ca="1">CAPEX!L76</f>
        <v>333333.33333333331</v>
      </c>
      <c r="M79" s="22">
        <f ca="1">CAPEX!M76</f>
        <v>333333.33333333331</v>
      </c>
      <c r="N79" s="22">
        <f ca="1">CAPEX!N76</f>
        <v>333333.33333333331</v>
      </c>
    </row>
    <row r="80" spans="1:14" x14ac:dyDescent="0.25">
      <c r="E80" t="s">
        <v>67</v>
      </c>
      <c r="J80" s="22">
        <f ca="1">CAPEX!J77</f>
        <v>1000000</v>
      </c>
      <c r="K80" s="22">
        <f ca="1">CAPEX!K77</f>
        <v>2180000</v>
      </c>
      <c r="L80" s="22">
        <f ca="1">CAPEX!L77</f>
        <v>2180000</v>
      </c>
      <c r="M80" s="22">
        <f ca="1">CAPEX!M77</f>
        <v>3740432</v>
      </c>
      <c r="N80" s="22">
        <f ca="1">CAPEX!N77</f>
        <v>4488115.84</v>
      </c>
    </row>
    <row r="81" spans="1:14" x14ac:dyDescent="0.25">
      <c r="E81" t="s">
        <v>68</v>
      </c>
      <c r="J81" s="22">
        <f ca="1">CAPEX!J78</f>
        <v>375000</v>
      </c>
      <c r="K81" s="22">
        <f ca="1">CAPEX!K78</f>
        <v>375000</v>
      </c>
      <c r="L81" s="22">
        <f ca="1">CAPEX!L78</f>
        <v>375000</v>
      </c>
      <c r="M81" s="22">
        <f ca="1">CAPEX!M78</f>
        <v>960162</v>
      </c>
      <c r="N81" s="22">
        <f ca="1">CAPEX!N78</f>
        <v>585162</v>
      </c>
    </row>
    <row r="82" spans="1:14" ht="13" thickBot="1" x14ac:dyDescent="0.3">
      <c r="E82" s="13" t="s">
        <v>113</v>
      </c>
      <c r="J82" s="19">
        <f ca="1">SUM(J77:J81)</f>
        <v>4108333.3333333335</v>
      </c>
      <c r="K82" s="19">
        <f t="shared" ref="K82:N82" ca="1" si="13">SUM(K77:K81)</f>
        <v>5288333.333333334</v>
      </c>
      <c r="L82" s="19">
        <f t="shared" ca="1" si="13"/>
        <v>5288333.333333334</v>
      </c>
      <c r="M82" s="19">
        <f t="shared" ca="1" si="13"/>
        <v>9774575.3333333321</v>
      </c>
      <c r="N82" s="19">
        <f t="shared" ca="1" si="13"/>
        <v>10220174.629333332</v>
      </c>
    </row>
    <row r="83" spans="1:14" ht="13" thickTop="1" x14ac:dyDescent="0.25"/>
    <row r="84" spans="1:14" x14ac:dyDescent="0.25">
      <c r="D84" s="13" t="s">
        <v>110</v>
      </c>
    </row>
    <row r="85" spans="1:14" x14ac:dyDescent="0.25">
      <c r="E85" t="s">
        <v>62</v>
      </c>
      <c r="J85" s="22">
        <f ca="1">CAPEX!J91</f>
        <v>4500000</v>
      </c>
      <c r="K85" s="22">
        <f ca="1">CAPEX!K91</f>
        <v>3000000</v>
      </c>
      <c r="L85" s="22">
        <f ca="1">CAPEX!L91</f>
        <v>1500000</v>
      </c>
      <c r="M85" s="22">
        <f ca="1">CAPEX!M91</f>
        <v>7021944.0000000019</v>
      </c>
      <c r="N85" s="22">
        <f ca="1">CAPEX!N91</f>
        <v>4681296.0000000019</v>
      </c>
    </row>
    <row r="86" spans="1:14" x14ac:dyDescent="0.25">
      <c r="E86" t="s">
        <v>65</v>
      </c>
      <c r="J86" s="22">
        <f ca="1">CAPEX!J92</f>
        <v>3600000</v>
      </c>
      <c r="K86" s="22">
        <f ca="1">CAPEX!K92</f>
        <v>2700000</v>
      </c>
      <c r="L86" s="22">
        <f ca="1">CAPEX!L92</f>
        <v>1800000</v>
      </c>
      <c r="M86" s="22">
        <f ca="1">CAPEX!M92</f>
        <v>900000</v>
      </c>
      <c r="N86" s="22">
        <f ca="1">CAPEX!N92</f>
        <v>6291661.824000001</v>
      </c>
    </row>
    <row r="87" spans="1:14" x14ac:dyDescent="0.25">
      <c r="E87" t="s">
        <v>66</v>
      </c>
      <c r="J87" s="22">
        <f ca="1">CAPEX!J93</f>
        <v>1666666.6666666667</v>
      </c>
      <c r="K87" s="22">
        <f ca="1">CAPEX!K93</f>
        <v>1333333.3333333335</v>
      </c>
      <c r="L87" s="22">
        <f ca="1">CAPEX!L93</f>
        <v>1000000</v>
      </c>
      <c r="M87" s="22">
        <f ca="1">CAPEX!M93</f>
        <v>666666.66666666674</v>
      </c>
      <c r="N87" s="22">
        <f ca="1">CAPEX!N93</f>
        <v>333333.33333333349</v>
      </c>
    </row>
    <row r="88" spans="1:14" x14ac:dyDescent="0.25">
      <c r="E88" t="s">
        <v>67</v>
      </c>
      <c r="J88" s="22">
        <f ca="1">CAPEX!J94</f>
        <v>3000000</v>
      </c>
      <c r="K88" s="22">
        <f ca="1">CAPEX!K94</f>
        <v>5540000</v>
      </c>
      <c r="L88" s="22">
        <f ca="1">CAPEX!L94</f>
        <v>3360000</v>
      </c>
      <c r="M88" s="22">
        <f ca="1">CAPEX!M94</f>
        <v>5861296</v>
      </c>
      <c r="N88" s="22">
        <f ca="1">CAPEX!N94</f>
        <v>8363915.5199999996</v>
      </c>
    </row>
    <row r="89" spans="1:14" x14ac:dyDescent="0.25">
      <c r="E89" t="s">
        <v>68</v>
      </c>
      <c r="J89" s="22">
        <f ca="1">CAPEX!J95</f>
        <v>1125000</v>
      </c>
      <c r="K89" s="22">
        <f ca="1">CAPEX!K95</f>
        <v>750000</v>
      </c>
      <c r="L89" s="22">
        <f ca="1">CAPEX!L95</f>
        <v>375000</v>
      </c>
      <c r="M89" s="22">
        <f ca="1">CAPEX!M95</f>
        <v>1755486</v>
      </c>
      <c r="N89" s="22">
        <f ca="1">CAPEX!N95</f>
        <v>1170324</v>
      </c>
    </row>
    <row r="90" spans="1:14" ht="13" thickBot="1" x14ac:dyDescent="0.3">
      <c r="E90" s="13" t="s">
        <v>113</v>
      </c>
      <c r="J90" s="19">
        <f ca="1">SUM(J85:J89)</f>
        <v>13891666.666666666</v>
      </c>
      <c r="K90" s="19">
        <f t="shared" ref="K90:N90" ca="1" si="14">SUM(K85:K89)</f>
        <v>13323333.333333334</v>
      </c>
      <c r="L90" s="19">
        <f t="shared" ca="1" si="14"/>
        <v>8035000</v>
      </c>
      <c r="M90" s="19">
        <f t="shared" ca="1" si="14"/>
        <v>16205392.666666668</v>
      </c>
      <c r="N90" s="19">
        <f t="shared" ca="1" si="14"/>
        <v>20840530.677333336</v>
      </c>
    </row>
    <row r="91" spans="1:14" ht="13" thickTop="1" x14ac:dyDescent="0.25"/>
    <row r="92" spans="1:14" s="9" customFormat="1" x14ac:dyDescent="0.25">
      <c r="A92" s="9" t="s">
        <v>9</v>
      </c>
      <c r="B92" s="9" t="s">
        <v>147</v>
      </c>
    </row>
    <row r="94" spans="1:14" x14ac:dyDescent="0.25">
      <c r="E94" t="s">
        <v>4</v>
      </c>
      <c r="J94" s="22">
        <f>J74</f>
        <v>18000000</v>
      </c>
    </row>
    <row r="95" spans="1:14" x14ac:dyDescent="0.25">
      <c r="E95" t="s">
        <v>148</v>
      </c>
    </row>
    <row r="96" spans="1:14" x14ac:dyDescent="0.25">
      <c r="E96" t="s">
        <v>71</v>
      </c>
      <c r="G96" s="25">
        <v>3</v>
      </c>
      <c r="J96" s="22">
        <f>J61</f>
        <v>10500000</v>
      </c>
    </row>
    <row r="97" spans="1:14" x14ac:dyDescent="0.25">
      <c r="E97" t="s">
        <v>47</v>
      </c>
      <c r="G97" s="25">
        <v>3</v>
      </c>
      <c r="J97" s="22">
        <f>J47*G97/Assumptions!I11</f>
        <v>10591500</v>
      </c>
    </row>
    <row r="98" spans="1:14" x14ac:dyDescent="0.25">
      <c r="E98" t="s">
        <v>89</v>
      </c>
      <c r="G98" s="25">
        <v>3</v>
      </c>
      <c r="J98" s="22">
        <f>J22*G98/Assumptions!I11</f>
        <v>18240000</v>
      </c>
    </row>
    <row r="99" spans="1:14" x14ac:dyDescent="0.25">
      <c r="E99" t="s">
        <v>33</v>
      </c>
      <c r="G99" s="25">
        <v>3</v>
      </c>
      <c r="J99" s="22">
        <f>J59*G99/Assumptions!I11</f>
        <v>8010000</v>
      </c>
    </row>
    <row r="100" spans="1:14" x14ac:dyDescent="0.25">
      <c r="J100" s="24">
        <f>SUM(J94:J99)</f>
        <v>65341500</v>
      </c>
    </row>
    <row r="102" spans="1:14" x14ac:dyDescent="0.25">
      <c r="E102" s="13" t="s">
        <v>78</v>
      </c>
      <c r="J102" s="22">
        <f>$J$100*Assumptions!G144</f>
        <v>45739050</v>
      </c>
    </row>
    <row r="103" spans="1:14" x14ac:dyDescent="0.25">
      <c r="E103" s="13" t="s">
        <v>79</v>
      </c>
      <c r="J103" s="22">
        <f>$J$100*Assumptions!G145</f>
        <v>19602450.000000004</v>
      </c>
    </row>
    <row r="105" spans="1:14" s="9" customFormat="1" x14ac:dyDescent="0.25">
      <c r="A105" s="9" t="s">
        <v>9</v>
      </c>
      <c r="B105" s="9" t="s">
        <v>149</v>
      </c>
    </row>
    <row r="107" spans="1:14" x14ac:dyDescent="0.25">
      <c r="E107" t="s">
        <v>105</v>
      </c>
      <c r="J107" s="22">
        <f>I112</f>
        <v>0</v>
      </c>
      <c r="K107" s="22">
        <f t="shared" ref="K107:N107" si="15">J112</f>
        <v>18622327.500000004</v>
      </c>
      <c r="L107" s="22">
        <f t="shared" si="15"/>
        <v>17691211.125000004</v>
      </c>
      <c r="M107" s="22">
        <f t="shared" si="15"/>
        <v>0</v>
      </c>
      <c r="N107" s="22">
        <f t="shared" si="15"/>
        <v>0</v>
      </c>
    </row>
    <row r="108" spans="1:14" x14ac:dyDescent="0.25">
      <c r="E108" t="s">
        <v>184</v>
      </c>
      <c r="J108" s="22">
        <f>J103</f>
        <v>19602450.000000004</v>
      </c>
      <c r="K108" s="22">
        <f t="shared" ref="K108:N108" si="16">K103</f>
        <v>0</v>
      </c>
      <c r="L108" s="22">
        <f t="shared" si="16"/>
        <v>0</v>
      </c>
      <c r="M108" s="22">
        <f t="shared" si="16"/>
        <v>0</v>
      </c>
      <c r="N108" s="22">
        <f t="shared" si="16"/>
        <v>0</v>
      </c>
    </row>
    <row r="109" spans="1:14" x14ac:dyDescent="0.25">
      <c r="E109" t="s">
        <v>150</v>
      </c>
      <c r="J109" s="22">
        <f>SUM(J107:J108)*Assumptions!$G$148</f>
        <v>2940367.5000000005</v>
      </c>
      <c r="K109" s="22">
        <f>SUM(K107:K108)*Assumptions!$G$148</f>
        <v>2793349.1250000005</v>
      </c>
      <c r="L109" s="22">
        <f>SUM(L107:L108)*Assumptions!$G$148</f>
        <v>2653681.6687500007</v>
      </c>
      <c r="M109" s="22">
        <f>SUM(M107:M108)*Assumptions!$G$148</f>
        <v>0</v>
      </c>
      <c r="N109" s="22">
        <f>SUM(N107:N108)*Assumptions!$G$148</f>
        <v>0</v>
      </c>
    </row>
    <row r="110" spans="1:14" x14ac:dyDescent="0.25">
      <c r="E110" t="s">
        <v>151</v>
      </c>
      <c r="J110" s="22">
        <f>-SUM(J107:J108)*Assumptions!$G$149</f>
        <v>-3920490.0000000009</v>
      </c>
      <c r="K110" s="22">
        <f>-SUM(K107:K108)*Assumptions!$G$149</f>
        <v>-3724465.5000000009</v>
      </c>
      <c r="L110" s="22">
        <f>-SUM(L107:L108)*Assumptions!$G$149</f>
        <v>-3538242.225000001</v>
      </c>
      <c r="M110" s="22">
        <f>-SUM(M107:M108)*Assumptions!$G$149</f>
        <v>0</v>
      </c>
      <c r="N110" s="22">
        <f>-SUM(N107:N108)*Assumptions!$G$149</f>
        <v>0</v>
      </c>
    </row>
    <row r="111" spans="1:14" x14ac:dyDescent="0.25">
      <c r="E111" t="s">
        <v>152</v>
      </c>
      <c r="J111" s="22">
        <f>IF(Assumptions!$G$151=Workings!J5,-SUM(Workings!J107:J110),0)</f>
        <v>0</v>
      </c>
      <c r="K111" s="22">
        <f>IF(Assumptions!$G$151=Workings!K5,-SUM(Workings!K107:K110),0)</f>
        <v>0</v>
      </c>
      <c r="L111" s="22">
        <f>IF(Assumptions!$G$151=Workings!L5,-SUM(Workings!L107:L110),0)</f>
        <v>-16806650.568750001</v>
      </c>
      <c r="M111" s="22">
        <f>IF(Assumptions!$G$151=Workings!M5,-SUM(Workings!M107:M110),0)</f>
        <v>0</v>
      </c>
      <c r="N111" s="22">
        <f>IF(Assumptions!$G$151=Workings!N5,-SUM(Workings!N107:N110),0)</f>
        <v>0</v>
      </c>
    </row>
    <row r="112" spans="1:14" x14ac:dyDescent="0.25">
      <c r="E112" t="s">
        <v>107</v>
      </c>
      <c r="J112" s="22">
        <f>SUM(J107:J111)</f>
        <v>18622327.500000004</v>
      </c>
      <c r="K112" s="22">
        <f t="shared" ref="K112:N112" si="17">SUM(K107:K111)</f>
        <v>17691211.125000004</v>
      </c>
      <c r="L112" s="22">
        <f t="shared" si="17"/>
        <v>0</v>
      </c>
      <c r="M112" s="22">
        <f t="shared" si="17"/>
        <v>0</v>
      </c>
      <c r="N112" s="22">
        <f t="shared" si="17"/>
        <v>0</v>
      </c>
    </row>
    <row r="115" spans="1:14" s="9" customFormat="1" x14ac:dyDescent="0.25">
      <c r="A115" s="9" t="s">
        <v>9</v>
      </c>
      <c r="B115" s="9" t="s">
        <v>155</v>
      </c>
    </row>
    <row r="116" spans="1:14" x14ac:dyDescent="0.25">
      <c r="E116" t="s">
        <v>119</v>
      </c>
      <c r="J116" s="22">
        <f ca="1">'Financial Statement'!J23</f>
        <v>-1714700.8333333437</v>
      </c>
      <c r="K116" s="22">
        <f ca="1">'Financial Statement'!K23</f>
        <v>-368482.45833334373</v>
      </c>
      <c r="L116" s="22">
        <f ca="1">'Financial Statement'!L23</f>
        <v>20627856.997916657</v>
      </c>
      <c r="M116" s="22">
        <f ca="1">'Financial Statement'!M23</f>
        <v>59028558.74666667</v>
      </c>
      <c r="N116" s="22">
        <f ca="1">'Financial Statement'!N23</f>
        <v>63257335.540266633</v>
      </c>
    </row>
    <row r="118" spans="1:14" x14ac:dyDescent="0.25">
      <c r="E118" t="s">
        <v>156</v>
      </c>
      <c r="J118" s="17" t="b">
        <f ca="1">J116&gt;0</f>
        <v>0</v>
      </c>
      <c r="K118" s="17" t="b">
        <f t="shared" ref="K118:N118" ca="1" si="18">K116&gt;0</f>
        <v>0</v>
      </c>
      <c r="L118" s="17" t="b">
        <f t="shared" ca="1" si="18"/>
        <v>1</v>
      </c>
      <c r="M118" s="17" t="b">
        <f t="shared" ca="1" si="18"/>
        <v>1</v>
      </c>
      <c r="N118" s="17" t="b">
        <f t="shared" ca="1" si="18"/>
        <v>1</v>
      </c>
    </row>
    <row r="120" spans="1:14" x14ac:dyDescent="0.25">
      <c r="E120" t="s">
        <v>105</v>
      </c>
      <c r="J120" s="22">
        <f>I123</f>
        <v>0</v>
      </c>
      <c r="K120" s="22">
        <f t="shared" ref="K120:N120" ca="1" si="19">J123</f>
        <v>0</v>
      </c>
      <c r="L120" s="22">
        <f t="shared" ca="1" si="19"/>
        <v>0</v>
      </c>
      <c r="M120" s="22">
        <f t="shared" ca="1" si="19"/>
        <v>6600914.2393333307</v>
      </c>
      <c r="N120" s="22">
        <f t="shared" ca="1" si="19"/>
        <v>18889138.798933335</v>
      </c>
    </row>
    <row r="121" spans="1:14" x14ac:dyDescent="0.25">
      <c r="E121" t="s">
        <v>120</v>
      </c>
      <c r="J121" s="22">
        <f ca="1">IF(J118=TRUE,J116*Assumptions!$J$17,0)</f>
        <v>0</v>
      </c>
      <c r="K121" s="22">
        <f ca="1">IF(K118=TRUE,K116*Assumptions!$J$17,0)</f>
        <v>0</v>
      </c>
      <c r="L121" s="22">
        <f ca="1">IF(L118=TRUE,L116*Assumptions!$J$17,0)</f>
        <v>6600914.2393333307</v>
      </c>
      <c r="M121" s="22">
        <f ca="1">IF(M118=TRUE,M116*Assumptions!$J$17,0)</f>
        <v>18889138.798933335</v>
      </c>
      <c r="N121" s="22">
        <f ca="1">IF(N118=TRUE,N116*Assumptions!$J$17,0)</f>
        <v>20242347.372885324</v>
      </c>
    </row>
    <row r="122" spans="1:14" x14ac:dyDescent="0.25">
      <c r="E122" t="s">
        <v>157</v>
      </c>
      <c r="J122" s="22">
        <f>-I121</f>
        <v>0</v>
      </c>
      <c r="K122" s="22">
        <f t="shared" ref="K122:N122" ca="1" si="20">-J121</f>
        <v>0</v>
      </c>
      <c r="L122" s="22">
        <f t="shared" ca="1" si="20"/>
        <v>0</v>
      </c>
      <c r="M122" s="22">
        <f t="shared" ca="1" si="20"/>
        <v>-6600914.2393333307</v>
      </c>
      <c r="N122" s="22">
        <f t="shared" ca="1" si="20"/>
        <v>-18889138.798933335</v>
      </c>
    </row>
    <row r="123" spans="1:14" x14ac:dyDescent="0.25">
      <c r="E123" t="s">
        <v>107</v>
      </c>
      <c r="J123" s="22">
        <f ca="1">SUM(J120:J122)</f>
        <v>0</v>
      </c>
      <c r="K123" s="22">
        <f t="shared" ref="K123:N123" ca="1" si="21">SUM(K120:K122)</f>
        <v>0</v>
      </c>
      <c r="L123" s="22">
        <f t="shared" ca="1" si="21"/>
        <v>6600914.2393333307</v>
      </c>
      <c r="M123" s="22">
        <f t="shared" ca="1" si="21"/>
        <v>18889138.798933335</v>
      </c>
      <c r="N123" s="22">
        <f t="shared" ca="1" si="21"/>
        <v>20242347.372885324</v>
      </c>
    </row>
    <row r="126" spans="1:14" s="9" customFormat="1" x14ac:dyDescent="0.25">
      <c r="A126" s="9" t="s">
        <v>9</v>
      </c>
      <c r="B126" s="9" t="s">
        <v>158</v>
      </c>
    </row>
    <row r="127" spans="1:14" x14ac:dyDescent="0.25">
      <c r="E127" t="s">
        <v>121</v>
      </c>
      <c r="J127" s="22">
        <f ca="1">'Financial Statement'!J27</f>
        <v>-1714700.8333333437</v>
      </c>
      <c r="K127" s="22">
        <f ca="1">'Financial Statement'!K27</f>
        <v>-368482.45833334373</v>
      </c>
      <c r="L127" s="22">
        <f ca="1">'Financial Statement'!L27</f>
        <v>14026942.758583326</v>
      </c>
      <c r="M127" s="22">
        <f ca="1">'Financial Statement'!M27</f>
        <v>40139419.947733335</v>
      </c>
      <c r="N127" s="22">
        <f ca="1">'Financial Statement'!N27</f>
        <v>43014988.167381309</v>
      </c>
    </row>
    <row r="129" spans="1:14" x14ac:dyDescent="0.25">
      <c r="E129" t="s">
        <v>159</v>
      </c>
      <c r="J129" s="17" t="b">
        <f ca="1">J127&gt;=Assumptions!$G$147</f>
        <v>0</v>
      </c>
      <c r="K129" s="17" t="b">
        <f ca="1">K127&gt;=Assumptions!$G$147</f>
        <v>0</v>
      </c>
      <c r="L129" s="17" t="b">
        <f ca="1">L127&gt;=Assumptions!$G$147</f>
        <v>1</v>
      </c>
      <c r="M129" s="17" t="b">
        <f ca="1">M127&gt;=Assumptions!$G$147</f>
        <v>1</v>
      </c>
      <c r="N129" s="17" t="b">
        <f ca="1">N127&gt;=Assumptions!$G$147</f>
        <v>1</v>
      </c>
    </row>
    <row r="131" spans="1:14" x14ac:dyDescent="0.25">
      <c r="E131" t="s">
        <v>105</v>
      </c>
      <c r="J131" s="22">
        <f>I134</f>
        <v>0</v>
      </c>
      <c r="K131" s="22">
        <f t="shared" ref="K131:N131" ca="1" si="22">J134</f>
        <v>0</v>
      </c>
      <c r="L131" s="22">
        <f t="shared" ca="1" si="22"/>
        <v>0</v>
      </c>
      <c r="M131" s="22">
        <f t="shared" ca="1" si="22"/>
        <v>2805388.5517166653</v>
      </c>
      <c r="N131" s="22">
        <f t="shared" ca="1" si="22"/>
        <v>8027883.9895466678</v>
      </c>
    </row>
    <row r="132" spans="1:14" x14ac:dyDescent="0.25">
      <c r="E132" t="s">
        <v>122</v>
      </c>
      <c r="J132" s="22">
        <f ca="1">IF(J129=TRUE,J127*Assumptions!$G$146,0)</f>
        <v>0</v>
      </c>
      <c r="K132" s="22">
        <f ca="1">IF(K129=TRUE,K127*Assumptions!$G$146,0)</f>
        <v>0</v>
      </c>
      <c r="L132" s="22">
        <f ca="1">IF(L129=TRUE,L127*Assumptions!$G$146,0)</f>
        <v>2805388.5517166653</v>
      </c>
      <c r="M132" s="22">
        <f ca="1">IF(M129=TRUE,M127*Assumptions!$G$146,0)</f>
        <v>8027883.9895466678</v>
      </c>
      <c r="N132" s="22">
        <f ca="1">IF(N129=TRUE,N127*Assumptions!$G$146,0)</f>
        <v>8602997.6334762629</v>
      </c>
    </row>
    <row r="133" spans="1:14" x14ac:dyDescent="0.25">
      <c r="E133" t="s">
        <v>160</v>
      </c>
      <c r="J133" s="22">
        <f>-I132</f>
        <v>0</v>
      </c>
      <c r="K133" s="22">
        <f t="shared" ref="K133:N133" ca="1" si="23">-J132</f>
        <v>0</v>
      </c>
      <c r="L133" s="22">
        <f t="shared" ca="1" si="23"/>
        <v>0</v>
      </c>
      <c r="M133" s="22">
        <f t="shared" ca="1" si="23"/>
        <v>-2805388.5517166653</v>
      </c>
      <c r="N133" s="22">
        <f t="shared" ca="1" si="23"/>
        <v>-8027883.9895466678</v>
      </c>
    </row>
    <row r="134" spans="1:14" x14ac:dyDescent="0.25">
      <c r="E134" t="s">
        <v>107</v>
      </c>
      <c r="J134" s="22">
        <f ca="1">SUM(J131:J133)</f>
        <v>0</v>
      </c>
      <c r="K134" s="22">
        <f t="shared" ref="K134" ca="1" si="24">SUM(K131:K133)</f>
        <v>0</v>
      </c>
      <c r="L134" s="22">
        <f t="shared" ref="L134" ca="1" si="25">SUM(L131:L133)</f>
        <v>2805388.5517166653</v>
      </c>
      <c r="M134" s="22">
        <f t="shared" ref="M134" ca="1" si="26">SUM(M131:M133)</f>
        <v>8027883.9895466678</v>
      </c>
      <c r="N134" s="22">
        <f t="shared" ref="N134" ca="1" si="27">SUM(N131:N133)</f>
        <v>8602997.6334762629</v>
      </c>
    </row>
    <row r="136" spans="1:14" s="9" customFormat="1" x14ac:dyDescent="0.25">
      <c r="A136" s="9" t="s">
        <v>9</v>
      </c>
      <c r="B136" s="9" t="s">
        <v>163</v>
      </c>
    </row>
    <row r="137" spans="1:14" x14ac:dyDescent="0.25">
      <c r="E137" t="s">
        <v>162</v>
      </c>
      <c r="J137" s="22">
        <f>J13/Assumptions!J11</f>
        <v>4080000</v>
      </c>
      <c r="K137" s="22">
        <f>K13/Assumptions!K11</f>
        <v>4080000</v>
      </c>
      <c r="L137" s="22">
        <f>L13/Assumptions!L11</f>
        <v>5700000</v>
      </c>
      <c r="M137" s="22">
        <f>M13/Assumptions!M11</f>
        <v>8775000</v>
      </c>
      <c r="N137" s="22">
        <f>N13/Assumptions!N11</f>
        <v>9450000</v>
      </c>
    </row>
    <row r="140" spans="1:14" s="9" customFormat="1" x14ac:dyDescent="0.25">
      <c r="A140" s="9" t="s">
        <v>9</v>
      </c>
      <c r="B140" s="9" t="s">
        <v>164</v>
      </c>
    </row>
    <row r="141" spans="1:14" x14ac:dyDescent="0.25">
      <c r="E141" t="s">
        <v>165</v>
      </c>
      <c r="J141" s="22">
        <f>J28/Assumptions!J11</f>
        <v>1824000</v>
      </c>
      <c r="K141" s="22">
        <f>K28/Assumptions!K11</f>
        <v>1824000</v>
      </c>
      <c r="L141" s="22">
        <f>L28/Assumptions!L11</f>
        <v>2430000</v>
      </c>
      <c r="M141" s="22">
        <f>M28/Assumptions!M11</f>
        <v>3532500</v>
      </c>
      <c r="N141" s="22">
        <f>N28/Assumptions!N11</f>
        <v>3885000</v>
      </c>
    </row>
    <row r="146" spans="1:10" s="9" customFormat="1" x14ac:dyDescent="0.25">
      <c r="A146" s="9" t="s">
        <v>9</v>
      </c>
      <c r="B146" s="9" t="s">
        <v>199</v>
      </c>
    </row>
    <row r="147" spans="1:10" x14ac:dyDescent="0.25">
      <c r="E147" t="s">
        <v>200</v>
      </c>
      <c r="J147" s="29">
        <f>Assumptions!G146</f>
        <v>0.2</v>
      </c>
    </row>
    <row r="148" spans="1:10" x14ac:dyDescent="0.25">
      <c r="E148" t="s">
        <v>201</v>
      </c>
      <c r="J148" s="29">
        <f>Assumptions!G144</f>
        <v>0.7</v>
      </c>
    </row>
    <row r="151" spans="1:10" x14ac:dyDescent="0.25">
      <c r="E151" t="s">
        <v>202</v>
      </c>
      <c r="J151" s="29">
        <f>Assumptions!G148</f>
        <v>0.15</v>
      </c>
    </row>
    <row r="152" spans="1:10" x14ac:dyDescent="0.25">
      <c r="E152" t="s">
        <v>205</v>
      </c>
      <c r="J152" s="29">
        <f>Assumptions!J17*Workings!J151</f>
        <v>4.8000000000000001E-2</v>
      </c>
    </row>
    <row r="153" spans="1:10" x14ac:dyDescent="0.25">
      <c r="E153" t="s">
        <v>203</v>
      </c>
      <c r="J153" s="29">
        <f>J151-J152</f>
        <v>0.10199999999999999</v>
      </c>
    </row>
    <row r="154" spans="1:10" x14ac:dyDescent="0.25">
      <c r="E154" t="s">
        <v>204</v>
      </c>
      <c r="J154" s="29">
        <f>Assumptions!G145</f>
        <v>0.30000000000000004</v>
      </c>
    </row>
    <row r="156" spans="1:10" ht="13" thickBot="1" x14ac:dyDescent="0.3">
      <c r="E156" t="s">
        <v>206</v>
      </c>
      <c r="J156" s="30">
        <f>(J148*J147)+(J154*J153)</f>
        <v>0.17059999999999997</v>
      </c>
    </row>
    <row r="157" spans="1:10" ht="13" thickTop="1" x14ac:dyDescent="0.25"/>
  </sheetData>
  <hyperlinks>
    <hyperlink ref="L1" location="Guide!A1" display="Menu" xr:uid="{1ED81E31-979C-4554-9621-3676D3B7F136}"/>
  </hyperlinks>
  <pageMargins left="0.7" right="0.7" top="0.75" bottom="0.75" header="0.3" footer="0.3"/>
  <pageSetup orientation="portrait" r:id="rId1"/>
  <headerFooter>
    <oddFooter>&amp;L_x000D_&amp;1#&amp;"Calibri"&amp;10&amp;K008000 PUBLIC</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Drop Down 1">
              <controlPr defaultSize="0" autoLine="0" autoPict="0">
                <anchor moveWithCells="1">
                  <from>
                    <xdr:col>4</xdr:col>
                    <xdr:colOff>1041400</xdr:colOff>
                    <xdr:row>3</xdr:row>
                    <xdr:rowOff>82550</xdr:rowOff>
                  </from>
                  <to>
                    <xdr:col>4</xdr:col>
                    <xdr:colOff>2127250</xdr:colOff>
                    <xdr:row>4</xdr:row>
                    <xdr:rowOff>120650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E77C-088E-4C7E-A469-0F882C636975}">
  <sheetPr>
    <tabColor theme="7" tint="-0.249977111117893"/>
  </sheetPr>
  <dimension ref="A1:Q95"/>
  <sheetViews>
    <sheetView topLeftCell="A7" workbookViewId="0">
      <selection activeCell="L1" sqref="L1"/>
    </sheetView>
  </sheetViews>
  <sheetFormatPr defaultRowHeight="12.5" x14ac:dyDescent="0.25"/>
  <cols>
    <col min="1" max="4" width="3.26953125" customWidth="1"/>
    <col min="5" max="5" width="27.1796875" customWidth="1"/>
    <col min="6" max="7" width="2.7265625" customWidth="1"/>
    <col min="8" max="8" width="7.26953125" bestFit="1" customWidth="1"/>
    <col min="9" max="9" width="2.7265625" customWidth="1"/>
    <col min="10" max="11" width="11" style="17" customWidth="1"/>
    <col min="12" max="12" width="16" style="17" bestFit="1" customWidth="1"/>
    <col min="13" max="14" width="11" style="17" customWidth="1"/>
    <col min="17" max="17" width="11" bestFit="1" customWidth="1"/>
  </cols>
  <sheetData>
    <row r="1" spans="1:14" s="1" customFormat="1" ht="14.5" x14ac:dyDescent="0.35">
      <c r="A1" s="2" t="s">
        <v>6</v>
      </c>
      <c r="L1" s="53" t="s">
        <v>266</v>
      </c>
    </row>
    <row r="2" spans="1:14" s="2" customFormat="1" ht="13.5" x14ac:dyDescent="0.25">
      <c r="A2" s="2" t="s">
        <v>0</v>
      </c>
    </row>
    <row r="3" spans="1:14" s="2" customFormat="1" ht="13.5" x14ac:dyDescent="0.25">
      <c r="A3" s="2" t="s">
        <v>4</v>
      </c>
    </row>
    <row r="4" spans="1:14" s="2" customFormat="1" ht="13.5" x14ac:dyDescent="0.25"/>
    <row r="5" spans="1:14" s="2" customFormat="1" ht="13.5" x14ac:dyDescent="0.25">
      <c r="A5" s="2" t="s">
        <v>1</v>
      </c>
      <c r="J5" s="2">
        <v>2024</v>
      </c>
      <c r="K5" s="2">
        <v>2025</v>
      </c>
      <c r="L5" s="2">
        <v>2026</v>
      </c>
      <c r="M5" s="2">
        <v>2027</v>
      </c>
      <c r="N5" s="2">
        <v>2028</v>
      </c>
    </row>
    <row r="6" spans="1:14" x14ac:dyDescent="0.25">
      <c r="J6"/>
      <c r="K6"/>
      <c r="L6"/>
      <c r="M6"/>
      <c r="N6"/>
    </row>
    <row r="7" spans="1:14" s="9" customFormat="1" x14ac:dyDescent="0.25">
      <c r="A7" s="9" t="s">
        <v>9</v>
      </c>
      <c r="B7" s="9" t="s">
        <v>62</v>
      </c>
    </row>
    <row r="8" spans="1:14" x14ac:dyDescent="0.25">
      <c r="E8" t="s">
        <v>99</v>
      </c>
      <c r="J8" s="22">
        <f>Assumptions!J102*Assumptions!J103</f>
        <v>6000000</v>
      </c>
      <c r="K8" s="22">
        <f>Assumptions!K102*Assumptions!K103</f>
        <v>0</v>
      </c>
      <c r="L8" s="22">
        <f>Assumptions!L102*Assumptions!L103</f>
        <v>0</v>
      </c>
      <c r="M8" s="22">
        <f>Assumptions!M102*Assumptions!M103</f>
        <v>9362592.0000000019</v>
      </c>
      <c r="N8" s="22">
        <f>Assumptions!N102*Assumptions!N103</f>
        <v>0</v>
      </c>
    </row>
    <row r="9" spans="1:14" x14ac:dyDescent="0.25">
      <c r="E9" t="s">
        <v>100</v>
      </c>
      <c r="H9" s="20">
        <f>Assumptions!F124</f>
        <v>4</v>
      </c>
    </row>
    <row r="10" spans="1:14" x14ac:dyDescent="0.25">
      <c r="E10" t="s">
        <v>101</v>
      </c>
      <c r="J10" s="22">
        <f ca="1">OFFSET(J8,0,-$H$9+1,1,$H$9)/$H$9</f>
        <v>1500000</v>
      </c>
      <c r="K10" s="22">
        <f t="shared" ref="K10:N10" ca="1" si="0">OFFSET(K8,0,-$H$9+1,1,$H$9)/$H$9</f>
        <v>0</v>
      </c>
      <c r="L10" s="22">
        <f t="shared" ca="1" si="0"/>
        <v>0</v>
      </c>
      <c r="M10" s="22">
        <f t="shared" ca="1" si="0"/>
        <v>2340648.0000000005</v>
      </c>
      <c r="N10" s="22">
        <f t="shared" ca="1" si="0"/>
        <v>0</v>
      </c>
    </row>
    <row r="11" spans="1:14" x14ac:dyDescent="0.25">
      <c r="E11" s="13" t="s">
        <v>102</v>
      </c>
      <c r="J11" s="23" cm="1">
        <f t="array" aca="1" ref="J11" ca="1">SUM(OFFSET(J8,0,-$H$9+1,1,$H$9)/$H$9)</f>
        <v>1500000</v>
      </c>
      <c r="K11" s="23" cm="1">
        <f t="array" aca="1" ref="K11" ca="1">SUM(OFFSET(K8,0,-$H$9+1,1,$H$9)/$H$9)</f>
        <v>1500000</v>
      </c>
      <c r="L11" s="23" cm="1">
        <f t="array" aca="1" ref="L11" ca="1">SUM(OFFSET(L8,0,-$H$9+1,1,$H$9)/$H$9)</f>
        <v>1500000</v>
      </c>
      <c r="M11" s="23" cm="1">
        <f t="array" aca="1" ref="M11" ca="1">SUM(OFFSET(M8,0,-$H$9+1,1,$H$9)/$H$9)</f>
        <v>3840648.0000000005</v>
      </c>
      <c r="N11" s="23" cm="1">
        <f t="array" aca="1" ref="N11" ca="1">SUM(OFFSET(N8,0,-$H$9+1,1,$H$9)/$H$9)</f>
        <v>2340648.0000000005</v>
      </c>
    </row>
    <row r="13" spans="1:14" s="9" customFormat="1" x14ac:dyDescent="0.25">
      <c r="A13" s="9" t="s">
        <v>9</v>
      </c>
      <c r="B13" s="9" t="s">
        <v>65</v>
      </c>
    </row>
    <row r="14" spans="1:14" x14ac:dyDescent="0.25">
      <c r="E14" t="s">
        <v>99</v>
      </c>
      <c r="J14" s="22">
        <f>Assumptions!J107*Assumptions!J108</f>
        <v>4500000</v>
      </c>
      <c r="K14" s="22">
        <f>Assumptions!K107*Assumptions!K108</f>
        <v>0</v>
      </c>
      <c r="L14" s="22">
        <f>Assumptions!L107*Assumptions!L108</f>
        <v>0</v>
      </c>
      <c r="M14" s="22">
        <f>Assumptions!M107*Assumptions!M108</f>
        <v>0</v>
      </c>
      <c r="N14" s="22">
        <f>Assumptions!N107*Assumptions!N108</f>
        <v>7864577.2800000021</v>
      </c>
    </row>
    <row r="15" spans="1:14" x14ac:dyDescent="0.25">
      <c r="E15" t="s">
        <v>100</v>
      </c>
      <c r="H15" s="20">
        <f>Assumptions!F125</f>
        <v>5</v>
      </c>
    </row>
    <row r="16" spans="1:14" x14ac:dyDescent="0.25">
      <c r="E16" t="s">
        <v>101</v>
      </c>
      <c r="J16" s="22">
        <f ca="1">OFFSET(J14,0,-$H15+1,1,$H15)/$H15</f>
        <v>900000</v>
      </c>
      <c r="K16" s="22">
        <f t="shared" ref="K16:N16" ca="1" si="1">OFFSET(K14,0,-$H15+1,1,$H15)/$H15</f>
        <v>0</v>
      </c>
      <c r="L16" s="22">
        <f t="shared" ca="1" si="1"/>
        <v>0</v>
      </c>
      <c r="M16" s="22">
        <f t="shared" ca="1" si="1"/>
        <v>0</v>
      </c>
      <c r="N16" s="22">
        <f t="shared" ca="1" si="1"/>
        <v>1572915.4560000005</v>
      </c>
    </row>
    <row r="17" spans="1:17" x14ac:dyDescent="0.25">
      <c r="E17" s="13" t="s">
        <v>102</v>
      </c>
      <c r="J17" s="23" cm="1">
        <f t="array" aca="1" ref="J17" ca="1">SUM(OFFSET(J14,0,-$H15+1,1,$H15)/$H15)</f>
        <v>900000</v>
      </c>
      <c r="K17" s="23" cm="1">
        <f t="array" aca="1" ref="K17" ca="1">SUM(OFFSET(K14,0,-$H15+1,1,$H15)/$H15)</f>
        <v>900000</v>
      </c>
      <c r="L17" s="23" cm="1">
        <f t="array" aca="1" ref="L17" ca="1">SUM(OFFSET(L14,0,-$H15+1,1,$H15)/$H15)</f>
        <v>900000</v>
      </c>
      <c r="M17" s="23" cm="1">
        <f t="array" aca="1" ref="M17" ca="1">SUM(OFFSET(M14,0,-$H15+1,1,$H15)/$H15)</f>
        <v>900000</v>
      </c>
      <c r="N17" s="23" cm="1">
        <f t="array" aca="1" ref="N17" ca="1">SUM(OFFSET(N14,0,-$H15+1,1,$H15)/$H15)</f>
        <v>2472915.4560000002</v>
      </c>
    </row>
    <row r="19" spans="1:17" s="9" customFormat="1" x14ac:dyDescent="0.25">
      <c r="A19" s="9" t="s">
        <v>9</v>
      </c>
      <c r="B19" s="9" t="s">
        <v>66</v>
      </c>
    </row>
    <row r="20" spans="1:17" x14ac:dyDescent="0.25">
      <c r="E20" t="s">
        <v>99</v>
      </c>
      <c r="J20" s="22">
        <f>Assumptions!J111*Assumptions!J112</f>
        <v>2000000</v>
      </c>
      <c r="K20" s="22">
        <f>Assumptions!K113*Assumptions!K114</f>
        <v>0</v>
      </c>
      <c r="L20" s="22">
        <f>Assumptions!L113*Assumptions!L114</f>
        <v>0</v>
      </c>
      <c r="M20" s="22">
        <f>Assumptions!M113*Assumptions!M114</f>
        <v>0</v>
      </c>
      <c r="N20" s="22">
        <f>Assumptions!N113*Assumptions!N114</f>
        <v>0</v>
      </c>
    </row>
    <row r="21" spans="1:17" x14ac:dyDescent="0.25">
      <c r="E21" t="s">
        <v>100</v>
      </c>
      <c r="H21" s="20">
        <f>Assumptions!F126</f>
        <v>6</v>
      </c>
      <c r="Q21" s="21"/>
    </row>
    <row r="22" spans="1:17" x14ac:dyDescent="0.25">
      <c r="E22" t="s">
        <v>101</v>
      </c>
      <c r="J22" s="22">
        <f ca="1">OFFSET(J20,0,-$H21+1,1,$H21)/$H21</f>
        <v>333333.33333333331</v>
      </c>
      <c r="K22" s="22">
        <f t="shared" ref="K22" ca="1" si="2">OFFSET(K20,0,-$H21+1,1,$H21)/$H21</f>
        <v>0</v>
      </c>
      <c r="L22" s="22">
        <f t="shared" ref="L22" ca="1" si="3">OFFSET(L20,0,-$H21+1,1,$H21)/$H21</f>
        <v>0</v>
      </c>
      <c r="M22" s="22">
        <f t="shared" ref="M22" ca="1" si="4">OFFSET(M20,0,-$H21+1,1,$H21)/$H21</f>
        <v>0</v>
      </c>
      <c r="N22" s="22">
        <f t="shared" ref="N22" ca="1" si="5">OFFSET(N20,0,-$H21+1,1,$H21)/$H21</f>
        <v>0</v>
      </c>
    </row>
    <row r="23" spans="1:17" x14ac:dyDescent="0.25">
      <c r="E23" s="13" t="s">
        <v>102</v>
      </c>
      <c r="J23" s="23">
        <f ca="1">SUM(OFFSET(J20,0,-$H21+1,1,$H21)/$H21)</f>
        <v>333333.33333333331</v>
      </c>
      <c r="K23" s="23" cm="1">
        <f t="array" aca="1" ref="K23" ca="1">SUM(OFFSET(K20,0,-$H21+1,1,$H21)/$H21)</f>
        <v>333333.33333333331</v>
      </c>
      <c r="L23" s="23" cm="1">
        <f t="array" aca="1" ref="L23" ca="1">SUM(OFFSET(L20,0,-$H21+1,1,$H21)/$H21)</f>
        <v>333333.33333333331</v>
      </c>
      <c r="M23" s="23" cm="1">
        <f t="array" aca="1" ref="M23" ca="1">SUM(OFFSET(M20,0,-$H21+1,1,$H21)/$H21)</f>
        <v>333333.33333333331</v>
      </c>
      <c r="N23" s="23" cm="1">
        <f t="array" aca="1" ref="N23" ca="1">SUM(OFFSET(N20,0,-$H21+1,1,$H21)/$H21)</f>
        <v>333333.33333333331</v>
      </c>
    </row>
    <row r="25" spans="1:17" s="9" customFormat="1" x14ac:dyDescent="0.25">
      <c r="A25" s="9" t="s">
        <v>9</v>
      </c>
      <c r="B25" s="9" t="s">
        <v>67</v>
      </c>
    </row>
    <row r="26" spans="1:17" x14ac:dyDescent="0.25">
      <c r="E26" t="s">
        <v>99</v>
      </c>
      <c r="J26" s="22">
        <f>Assumptions!J115*Assumptions!J116</f>
        <v>4000000</v>
      </c>
      <c r="K26" s="22">
        <f>Assumptions!K115*Assumptions!K116</f>
        <v>4720000</v>
      </c>
      <c r="L26" s="22">
        <f>Assumptions!L115*Assumptions!L116</f>
        <v>0</v>
      </c>
      <c r="M26" s="22">
        <f>Assumptions!M115*Assumptions!M116</f>
        <v>6241728.0000000009</v>
      </c>
      <c r="N26" s="22">
        <f>Assumptions!N115*Assumptions!N116</f>
        <v>6990735.3600000013</v>
      </c>
    </row>
    <row r="27" spans="1:17" x14ac:dyDescent="0.25">
      <c r="E27" t="s">
        <v>100</v>
      </c>
      <c r="H27" s="20">
        <f>Assumptions!F127</f>
        <v>4</v>
      </c>
    </row>
    <row r="28" spans="1:17" x14ac:dyDescent="0.25">
      <c r="E28" t="s">
        <v>101</v>
      </c>
      <c r="J28" s="22">
        <f ca="1">OFFSET(J26,0,-$H27+1,1,$H27)/$H27</f>
        <v>1000000</v>
      </c>
      <c r="K28" s="22">
        <f t="shared" ref="K28" ca="1" si="6">OFFSET(K26,0,-$H27+1,1,$H27)/$H27</f>
        <v>1180000</v>
      </c>
      <c r="L28" s="22">
        <f t="shared" ref="L28" ca="1" si="7">OFFSET(L26,0,-$H27+1,1,$H27)/$H27</f>
        <v>0</v>
      </c>
      <c r="M28" s="22">
        <f t="shared" ref="M28" ca="1" si="8">OFFSET(M26,0,-$H27+1,1,$H27)/$H27</f>
        <v>1560432.0000000002</v>
      </c>
      <c r="N28" s="22">
        <f t="shared" ref="N28" ca="1" si="9">OFFSET(N26,0,-$H27+1,1,$H27)/$H27</f>
        <v>1747683.8400000003</v>
      </c>
    </row>
    <row r="29" spans="1:17" x14ac:dyDescent="0.25">
      <c r="E29" s="13" t="s">
        <v>102</v>
      </c>
      <c r="J29" s="23" cm="1">
        <f t="array" aca="1" ref="J29" ca="1">SUM(OFFSET(J26,0,-$H27+1,1,$H27)/$H27)</f>
        <v>1000000</v>
      </c>
      <c r="K29" s="23" cm="1">
        <f t="array" aca="1" ref="K29" ca="1">SUM(OFFSET(K26,0,-$H27+1,1,$H27)/$H27)</f>
        <v>2180000</v>
      </c>
      <c r="L29" s="23" cm="1">
        <f t="array" aca="1" ref="L29" ca="1">SUM(OFFSET(L26,0,-$H27+1,1,$H27)/$H27)</f>
        <v>2180000</v>
      </c>
      <c r="M29" s="23" cm="1">
        <f t="array" aca="1" ref="M29" ca="1">SUM(OFFSET(M26,0,-$H27+1,1,$H27)/$H27)</f>
        <v>3740432</v>
      </c>
      <c r="N29" s="23" cm="1">
        <f t="array" aca="1" ref="N29" ca="1">SUM(OFFSET(N26,0,-$H27+1,1,$H27)/$H27)</f>
        <v>4488115.84</v>
      </c>
    </row>
    <row r="31" spans="1:17" s="9" customFormat="1" x14ac:dyDescent="0.25">
      <c r="A31" s="9" t="s">
        <v>9</v>
      </c>
      <c r="B31" s="9" t="s">
        <v>68</v>
      </c>
    </row>
    <row r="32" spans="1:17" x14ac:dyDescent="0.25">
      <c r="E32" t="s">
        <v>99</v>
      </c>
      <c r="J32" s="22">
        <f>Assumptions!J119*Assumptions!J120</f>
        <v>1500000</v>
      </c>
      <c r="K32" s="22">
        <f>Assumptions!K119*Assumptions!K120</f>
        <v>0</v>
      </c>
      <c r="L32" s="22">
        <f>Assumptions!L119*Assumptions!L120</f>
        <v>0</v>
      </c>
      <c r="M32" s="22">
        <f>Assumptions!M119*Assumptions!M120</f>
        <v>2340648</v>
      </c>
      <c r="N32" s="22">
        <f>Assumptions!N119*Assumptions!N120</f>
        <v>0</v>
      </c>
    </row>
    <row r="33" spans="1:14" x14ac:dyDescent="0.25">
      <c r="E33" t="s">
        <v>100</v>
      </c>
      <c r="H33" s="20">
        <f>Assumptions!F128</f>
        <v>4</v>
      </c>
    </row>
    <row r="34" spans="1:14" x14ac:dyDescent="0.25">
      <c r="E34" t="s">
        <v>101</v>
      </c>
      <c r="J34" s="22">
        <f ca="1">OFFSET(J32,0,-$H33+1,1,$H33)/$H33</f>
        <v>375000</v>
      </c>
      <c r="K34" s="22">
        <f t="shared" ref="K34" ca="1" si="10">OFFSET(K32,0,-$H33+1,1,$H33)/$H33</f>
        <v>0</v>
      </c>
      <c r="L34" s="22">
        <f t="shared" ref="L34" ca="1" si="11">OFFSET(L32,0,-$H33+1,1,$H33)/$H33</f>
        <v>0</v>
      </c>
      <c r="M34" s="22">
        <f t="shared" ref="M34" ca="1" si="12">OFFSET(M32,0,-$H33+1,1,$H33)/$H33</f>
        <v>585162</v>
      </c>
      <c r="N34" s="22">
        <f t="shared" ref="N34" ca="1" si="13">OFFSET(N32,0,-$H33+1,1,$H33)/$H33</f>
        <v>0</v>
      </c>
    </row>
    <row r="35" spans="1:14" x14ac:dyDescent="0.25">
      <c r="E35" s="13" t="s">
        <v>102</v>
      </c>
      <c r="J35" s="23" cm="1">
        <f t="array" aca="1" ref="J35" ca="1">SUM(OFFSET(J32,0,-$H33+1,1,$H33)/$H33)</f>
        <v>375000</v>
      </c>
      <c r="K35" s="23" cm="1">
        <f t="array" aca="1" ref="K35" ca="1">SUM(OFFSET(K32,0,-$H33+1,1,$H33)/$H33)</f>
        <v>375000</v>
      </c>
      <c r="L35" s="23" cm="1">
        <f t="array" aca="1" ref="L35" ca="1">SUM(OFFSET(L32,0,-$H33+1,1,$H33)/$H33)</f>
        <v>375000</v>
      </c>
      <c r="M35" s="23" cm="1">
        <f t="array" aca="1" ref="M35" ca="1">SUM(OFFSET(M32,0,-$H33+1,1,$H33)/$H33)</f>
        <v>960162</v>
      </c>
      <c r="N35" s="23" cm="1">
        <f t="array" aca="1" ref="N35" ca="1">SUM(OFFSET(N32,0,-$H33+1,1,$H33)/$H33)</f>
        <v>585162</v>
      </c>
    </row>
    <row r="38" spans="1:14" s="9" customFormat="1" x14ac:dyDescent="0.25">
      <c r="A38" s="9" t="s">
        <v>9</v>
      </c>
      <c r="B38" s="9" t="s">
        <v>103</v>
      </c>
    </row>
    <row r="39" spans="1:14" x14ac:dyDescent="0.25">
      <c r="C39" t="s">
        <v>104</v>
      </c>
    </row>
    <row r="40" spans="1:14" x14ac:dyDescent="0.25">
      <c r="D40" t="s">
        <v>105</v>
      </c>
    </row>
    <row r="41" spans="1:14" x14ac:dyDescent="0.25">
      <c r="E41" s="13" t="s">
        <v>62</v>
      </c>
      <c r="J41" s="22">
        <f>I57</f>
        <v>0</v>
      </c>
      <c r="K41" s="22">
        <f t="shared" ref="K41:N41" si="14">J57</f>
        <v>6000000</v>
      </c>
      <c r="L41" s="22">
        <f t="shared" si="14"/>
        <v>6000000</v>
      </c>
      <c r="M41" s="22">
        <f t="shared" si="14"/>
        <v>6000000</v>
      </c>
      <c r="N41" s="22">
        <f t="shared" si="14"/>
        <v>15362592.000000002</v>
      </c>
    </row>
    <row r="42" spans="1:14" x14ac:dyDescent="0.25">
      <c r="E42" s="13" t="s">
        <v>65</v>
      </c>
      <c r="J42" s="22">
        <f t="shared" ref="J42:N45" si="15">I58</f>
        <v>0</v>
      </c>
      <c r="K42" s="22">
        <f t="shared" si="15"/>
        <v>4500000</v>
      </c>
      <c r="L42" s="22">
        <f t="shared" si="15"/>
        <v>4500000</v>
      </c>
      <c r="M42" s="22">
        <f t="shared" si="15"/>
        <v>4500000</v>
      </c>
      <c r="N42" s="22">
        <f t="shared" si="15"/>
        <v>4500000</v>
      </c>
    </row>
    <row r="43" spans="1:14" x14ac:dyDescent="0.25">
      <c r="E43" s="13" t="s">
        <v>66</v>
      </c>
      <c r="J43" s="22">
        <f t="shared" si="15"/>
        <v>0</v>
      </c>
      <c r="K43" s="22">
        <f t="shared" si="15"/>
        <v>2000000</v>
      </c>
      <c r="L43" s="22">
        <f t="shared" si="15"/>
        <v>2000000</v>
      </c>
      <c r="M43" s="22">
        <f t="shared" si="15"/>
        <v>2000000</v>
      </c>
      <c r="N43" s="22">
        <f t="shared" si="15"/>
        <v>2000000</v>
      </c>
    </row>
    <row r="44" spans="1:14" x14ac:dyDescent="0.25">
      <c r="E44" s="13" t="s">
        <v>67</v>
      </c>
      <c r="J44" s="22">
        <f t="shared" si="15"/>
        <v>0</v>
      </c>
      <c r="K44" s="22">
        <f t="shared" si="15"/>
        <v>4000000</v>
      </c>
      <c r="L44" s="22">
        <f t="shared" si="15"/>
        <v>8720000</v>
      </c>
      <c r="M44" s="22">
        <f t="shared" si="15"/>
        <v>8720000</v>
      </c>
      <c r="N44" s="22">
        <f t="shared" si="15"/>
        <v>14961728</v>
      </c>
    </row>
    <row r="45" spans="1:14" x14ac:dyDescent="0.25">
      <c r="E45" s="13" t="s">
        <v>68</v>
      </c>
      <c r="J45" s="22">
        <f t="shared" si="15"/>
        <v>0</v>
      </c>
      <c r="K45" s="22">
        <f t="shared" si="15"/>
        <v>1500000</v>
      </c>
      <c r="L45" s="22">
        <f t="shared" si="15"/>
        <v>1500000</v>
      </c>
      <c r="M45" s="22">
        <f t="shared" si="15"/>
        <v>1500000</v>
      </c>
      <c r="N45" s="22">
        <f t="shared" si="15"/>
        <v>3840648</v>
      </c>
    </row>
    <row r="48" spans="1:14" x14ac:dyDescent="0.25">
      <c r="D48" t="s">
        <v>106</v>
      </c>
    </row>
    <row r="49" spans="3:14" x14ac:dyDescent="0.25">
      <c r="E49" s="13" t="s">
        <v>62</v>
      </c>
      <c r="J49" s="22">
        <f>J8</f>
        <v>6000000</v>
      </c>
      <c r="K49" s="22">
        <f t="shared" ref="K49:N49" si="16">K8</f>
        <v>0</v>
      </c>
      <c r="L49" s="22">
        <f t="shared" si="16"/>
        <v>0</v>
      </c>
      <c r="M49" s="22">
        <f t="shared" si="16"/>
        <v>9362592.0000000019</v>
      </c>
      <c r="N49" s="22">
        <f t="shared" si="16"/>
        <v>0</v>
      </c>
    </row>
    <row r="50" spans="3:14" x14ac:dyDescent="0.25">
      <c r="E50" s="13" t="s">
        <v>65</v>
      </c>
      <c r="J50" s="22">
        <f>J14</f>
        <v>4500000</v>
      </c>
      <c r="K50" s="22">
        <f t="shared" ref="K50:N50" si="17">K14</f>
        <v>0</v>
      </c>
      <c r="L50" s="22">
        <f t="shared" si="17"/>
        <v>0</v>
      </c>
      <c r="M50" s="22">
        <f t="shared" si="17"/>
        <v>0</v>
      </c>
      <c r="N50" s="22">
        <f t="shared" si="17"/>
        <v>7864577.2800000021</v>
      </c>
    </row>
    <row r="51" spans="3:14" x14ac:dyDescent="0.25">
      <c r="E51" s="13" t="s">
        <v>66</v>
      </c>
      <c r="J51" s="22">
        <f>J20</f>
        <v>2000000</v>
      </c>
      <c r="K51" s="22">
        <f t="shared" ref="K51:N51" si="18">K20</f>
        <v>0</v>
      </c>
      <c r="L51" s="22">
        <f t="shared" si="18"/>
        <v>0</v>
      </c>
      <c r="M51" s="22">
        <f t="shared" si="18"/>
        <v>0</v>
      </c>
      <c r="N51" s="22">
        <f t="shared" si="18"/>
        <v>0</v>
      </c>
    </row>
    <row r="52" spans="3:14" x14ac:dyDescent="0.25">
      <c r="E52" s="13" t="s">
        <v>67</v>
      </c>
      <c r="J52" s="22">
        <f>J26</f>
        <v>4000000</v>
      </c>
      <c r="K52" s="22">
        <f t="shared" ref="K52:N52" si="19">K26</f>
        <v>4720000</v>
      </c>
      <c r="L52" s="22">
        <f t="shared" si="19"/>
        <v>0</v>
      </c>
      <c r="M52" s="22">
        <f t="shared" si="19"/>
        <v>6241728.0000000009</v>
      </c>
      <c r="N52" s="22">
        <f t="shared" si="19"/>
        <v>6990735.3600000013</v>
      </c>
    </row>
    <row r="53" spans="3:14" x14ac:dyDescent="0.25">
      <c r="E53" s="13" t="s">
        <v>68</v>
      </c>
      <c r="J53" s="22">
        <f>J32</f>
        <v>1500000</v>
      </c>
      <c r="K53" s="22">
        <f t="shared" ref="K53:N53" si="20">K32</f>
        <v>0</v>
      </c>
      <c r="L53" s="22">
        <f t="shared" si="20"/>
        <v>0</v>
      </c>
      <c r="M53" s="22">
        <f t="shared" si="20"/>
        <v>2340648</v>
      </c>
      <c r="N53" s="22">
        <f t="shared" si="20"/>
        <v>0</v>
      </c>
    </row>
    <row r="56" spans="3:14" x14ac:dyDescent="0.25">
      <c r="D56" t="s">
        <v>107</v>
      </c>
    </row>
    <row r="57" spans="3:14" x14ac:dyDescent="0.25">
      <c r="E57" s="13" t="s">
        <v>62</v>
      </c>
      <c r="J57" s="22">
        <f>J41+J49</f>
        <v>6000000</v>
      </c>
      <c r="K57" s="22">
        <f t="shared" ref="K57:N57" si="21">K41+K49</f>
        <v>6000000</v>
      </c>
      <c r="L57" s="22">
        <f t="shared" si="21"/>
        <v>6000000</v>
      </c>
      <c r="M57" s="22">
        <f t="shared" si="21"/>
        <v>15362592.000000002</v>
      </c>
      <c r="N57" s="22">
        <f t="shared" si="21"/>
        <v>15362592.000000002</v>
      </c>
    </row>
    <row r="58" spans="3:14" x14ac:dyDescent="0.25">
      <c r="E58" s="13" t="s">
        <v>65</v>
      </c>
      <c r="J58" s="22">
        <f t="shared" ref="J58:N61" si="22">J42+J50</f>
        <v>4500000</v>
      </c>
      <c r="K58" s="22">
        <f t="shared" si="22"/>
        <v>4500000</v>
      </c>
      <c r="L58" s="22">
        <f t="shared" si="22"/>
        <v>4500000</v>
      </c>
      <c r="M58" s="22">
        <f t="shared" si="22"/>
        <v>4500000</v>
      </c>
      <c r="N58" s="22">
        <f t="shared" si="22"/>
        <v>12364577.280000001</v>
      </c>
    </row>
    <row r="59" spans="3:14" x14ac:dyDescent="0.25">
      <c r="E59" s="13" t="s">
        <v>66</v>
      </c>
      <c r="J59" s="22">
        <f t="shared" si="22"/>
        <v>2000000</v>
      </c>
      <c r="K59" s="22">
        <f t="shared" si="22"/>
        <v>2000000</v>
      </c>
      <c r="L59" s="22">
        <f t="shared" si="22"/>
        <v>2000000</v>
      </c>
      <c r="M59" s="22">
        <f t="shared" si="22"/>
        <v>2000000</v>
      </c>
      <c r="N59" s="22">
        <f t="shared" si="22"/>
        <v>2000000</v>
      </c>
    </row>
    <row r="60" spans="3:14" x14ac:dyDescent="0.25">
      <c r="E60" s="13" t="s">
        <v>67</v>
      </c>
      <c r="J60" s="22">
        <f t="shared" si="22"/>
        <v>4000000</v>
      </c>
      <c r="K60" s="22">
        <f t="shared" si="22"/>
        <v>8720000</v>
      </c>
      <c r="L60" s="22">
        <f t="shared" si="22"/>
        <v>8720000</v>
      </c>
      <c r="M60" s="22">
        <f t="shared" si="22"/>
        <v>14961728</v>
      </c>
      <c r="N60" s="22">
        <f t="shared" si="22"/>
        <v>21952463.359999999</v>
      </c>
    </row>
    <row r="61" spans="3:14" x14ac:dyDescent="0.25">
      <c r="E61" s="13" t="s">
        <v>68</v>
      </c>
      <c r="J61" s="22">
        <f t="shared" si="22"/>
        <v>1500000</v>
      </c>
      <c r="K61" s="22">
        <f t="shared" si="22"/>
        <v>1500000</v>
      </c>
      <c r="L61" s="22">
        <f t="shared" si="22"/>
        <v>1500000</v>
      </c>
      <c r="M61" s="22">
        <f t="shared" si="22"/>
        <v>3840648</v>
      </c>
      <c r="N61" s="22">
        <f t="shared" si="22"/>
        <v>3840648</v>
      </c>
    </row>
    <row r="64" spans="3:14" x14ac:dyDescent="0.25">
      <c r="C64" t="s">
        <v>108</v>
      </c>
    </row>
    <row r="65" spans="4:14" x14ac:dyDescent="0.25">
      <c r="D65" t="s">
        <v>105</v>
      </c>
    </row>
    <row r="66" spans="4:14" x14ac:dyDescent="0.25">
      <c r="E66" s="13" t="s">
        <v>62</v>
      </c>
      <c r="J66" s="22">
        <f>I82</f>
        <v>0</v>
      </c>
      <c r="K66" s="22">
        <f ca="1">J82</f>
        <v>1500000</v>
      </c>
      <c r="L66" s="22">
        <f t="shared" ref="L66:N66" ca="1" si="23">K82</f>
        <v>3000000</v>
      </c>
      <c r="M66" s="22">
        <f t="shared" ca="1" si="23"/>
        <v>4500000</v>
      </c>
      <c r="N66" s="22">
        <f t="shared" ca="1" si="23"/>
        <v>8340648</v>
      </c>
    </row>
    <row r="67" spans="4:14" x14ac:dyDescent="0.25">
      <c r="E67" s="13" t="s">
        <v>65</v>
      </c>
      <c r="J67" s="22">
        <f t="shared" ref="J67:N67" si="24">I83</f>
        <v>0</v>
      </c>
      <c r="K67" s="22">
        <f t="shared" ca="1" si="24"/>
        <v>900000</v>
      </c>
      <c r="L67" s="22">
        <f t="shared" ca="1" si="24"/>
        <v>1800000</v>
      </c>
      <c r="M67" s="22">
        <f t="shared" ca="1" si="24"/>
        <v>2700000</v>
      </c>
      <c r="N67" s="22">
        <f t="shared" ca="1" si="24"/>
        <v>3600000</v>
      </c>
    </row>
    <row r="68" spans="4:14" x14ac:dyDescent="0.25">
      <c r="E68" s="13" t="s">
        <v>66</v>
      </c>
      <c r="J68" s="22">
        <f t="shared" ref="J68:N68" si="25">I84</f>
        <v>0</v>
      </c>
      <c r="K68" s="22">
        <f t="shared" ca="1" si="25"/>
        <v>333333.33333333331</v>
      </c>
      <c r="L68" s="22">
        <f t="shared" ca="1" si="25"/>
        <v>666666.66666666663</v>
      </c>
      <c r="M68" s="22">
        <f t="shared" ca="1" si="25"/>
        <v>1000000</v>
      </c>
      <c r="N68" s="22">
        <f t="shared" ca="1" si="25"/>
        <v>1333333.3333333333</v>
      </c>
    </row>
    <row r="69" spans="4:14" x14ac:dyDescent="0.25">
      <c r="E69" s="13" t="s">
        <v>67</v>
      </c>
      <c r="J69" s="22">
        <f t="shared" ref="J69:N69" si="26">I85</f>
        <v>0</v>
      </c>
      <c r="K69" s="22">
        <f t="shared" ca="1" si="26"/>
        <v>1000000</v>
      </c>
      <c r="L69" s="22">
        <f t="shared" ca="1" si="26"/>
        <v>3180000</v>
      </c>
      <c r="M69" s="22">
        <f t="shared" ca="1" si="26"/>
        <v>5360000</v>
      </c>
      <c r="N69" s="22">
        <f t="shared" ca="1" si="26"/>
        <v>9100432</v>
      </c>
    </row>
    <row r="70" spans="4:14" x14ac:dyDescent="0.25">
      <c r="E70" s="13" t="s">
        <v>68</v>
      </c>
      <c r="J70" s="22">
        <f t="shared" ref="J70:N70" si="27">I86</f>
        <v>0</v>
      </c>
      <c r="K70" s="22">
        <f t="shared" ca="1" si="27"/>
        <v>375000</v>
      </c>
      <c r="L70" s="22">
        <f t="shared" ca="1" si="27"/>
        <v>750000</v>
      </c>
      <c r="M70" s="22">
        <f t="shared" ca="1" si="27"/>
        <v>1125000</v>
      </c>
      <c r="N70" s="22">
        <f t="shared" ca="1" si="27"/>
        <v>2085162</v>
      </c>
    </row>
    <row r="73" spans="4:14" x14ac:dyDescent="0.25">
      <c r="D73" t="s">
        <v>109</v>
      </c>
    </row>
    <row r="74" spans="4:14" x14ac:dyDescent="0.25">
      <c r="E74" s="13" t="s">
        <v>62</v>
      </c>
      <c r="J74" s="22">
        <f ca="1">J11</f>
        <v>1500000</v>
      </c>
      <c r="K74" s="22">
        <f t="shared" ref="K74:N74" ca="1" si="28">K11</f>
        <v>1500000</v>
      </c>
      <c r="L74" s="22">
        <f t="shared" ca="1" si="28"/>
        <v>1500000</v>
      </c>
      <c r="M74" s="22">
        <f t="shared" ca="1" si="28"/>
        <v>3840648.0000000005</v>
      </c>
      <c r="N74" s="22">
        <f t="shared" ca="1" si="28"/>
        <v>2340648.0000000005</v>
      </c>
    </row>
    <row r="75" spans="4:14" x14ac:dyDescent="0.25">
      <c r="E75" s="13" t="s">
        <v>65</v>
      </c>
      <c r="J75" s="22">
        <f ca="1">J17</f>
        <v>900000</v>
      </c>
      <c r="K75" s="22">
        <f t="shared" ref="K75:N75" ca="1" si="29">K17</f>
        <v>900000</v>
      </c>
      <c r="L75" s="22">
        <f t="shared" ca="1" si="29"/>
        <v>900000</v>
      </c>
      <c r="M75" s="22">
        <f t="shared" ca="1" si="29"/>
        <v>900000</v>
      </c>
      <c r="N75" s="22">
        <f t="shared" ca="1" si="29"/>
        <v>2472915.4560000002</v>
      </c>
    </row>
    <row r="76" spans="4:14" x14ac:dyDescent="0.25">
      <c r="E76" s="13" t="s">
        <v>66</v>
      </c>
      <c r="J76" s="22">
        <f ca="1">J23</f>
        <v>333333.33333333331</v>
      </c>
      <c r="K76" s="22">
        <f t="shared" ref="K76:N76" ca="1" si="30">K23</f>
        <v>333333.33333333331</v>
      </c>
      <c r="L76" s="22">
        <f t="shared" ca="1" si="30"/>
        <v>333333.33333333331</v>
      </c>
      <c r="M76" s="22">
        <f t="shared" ca="1" si="30"/>
        <v>333333.33333333331</v>
      </c>
      <c r="N76" s="22">
        <f t="shared" ca="1" si="30"/>
        <v>333333.33333333331</v>
      </c>
    </row>
    <row r="77" spans="4:14" x14ac:dyDescent="0.25">
      <c r="E77" s="13" t="s">
        <v>67</v>
      </c>
      <c r="J77" s="22">
        <f ca="1">J29</f>
        <v>1000000</v>
      </c>
      <c r="K77" s="22">
        <f t="shared" ref="K77:N77" ca="1" si="31">K29</f>
        <v>2180000</v>
      </c>
      <c r="L77" s="22">
        <f t="shared" ca="1" si="31"/>
        <v>2180000</v>
      </c>
      <c r="M77" s="22">
        <f t="shared" ca="1" si="31"/>
        <v>3740432</v>
      </c>
      <c r="N77" s="22">
        <f t="shared" ca="1" si="31"/>
        <v>4488115.84</v>
      </c>
    </row>
    <row r="78" spans="4:14" x14ac:dyDescent="0.25">
      <c r="E78" s="13" t="s">
        <v>68</v>
      </c>
      <c r="J78" s="22">
        <f ca="1">J35</f>
        <v>375000</v>
      </c>
      <c r="K78" s="22">
        <f t="shared" ref="K78:N78" ca="1" si="32">K35</f>
        <v>375000</v>
      </c>
      <c r="L78" s="22">
        <f t="shared" ca="1" si="32"/>
        <v>375000</v>
      </c>
      <c r="M78" s="22">
        <f t="shared" ca="1" si="32"/>
        <v>960162</v>
      </c>
      <c r="N78" s="22">
        <f t="shared" ca="1" si="32"/>
        <v>585162</v>
      </c>
    </row>
    <row r="81" spans="3:14" x14ac:dyDescent="0.25">
      <c r="D81" t="s">
        <v>107</v>
      </c>
    </row>
    <row r="82" spans="3:14" x14ac:dyDescent="0.25">
      <c r="E82" s="13" t="s">
        <v>62</v>
      </c>
      <c r="J82" s="22">
        <f ca="1">J66+J74</f>
        <v>1500000</v>
      </c>
      <c r="K82" s="22">
        <f t="shared" ref="K82:N82" ca="1" si="33">K66+K74</f>
        <v>3000000</v>
      </c>
      <c r="L82" s="22">
        <f t="shared" ca="1" si="33"/>
        <v>4500000</v>
      </c>
      <c r="M82" s="22">
        <f t="shared" ca="1" si="33"/>
        <v>8340648</v>
      </c>
      <c r="N82" s="22">
        <f t="shared" ca="1" si="33"/>
        <v>10681296</v>
      </c>
    </row>
    <row r="83" spans="3:14" x14ac:dyDescent="0.25">
      <c r="E83" s="13" t="s">
        <v>65</v>
      </c>
      <c r="J83" s="22">
        <f t="shared" ref="J83:N83" ca="1" si="34">J67+J75</f>
        <v>900000</v>
      </c>
      <c r="K83" s="22">
        <f t="shared" ca="1" si="34"/>
        <v>1800000</v>
      </c>
      <c r="L83" s="22">
        <f t="shared" ca="1" si="34"/>
        <v>2700000</v>
      </c>
      <c r="M83" s="22">
        <f t="shared" ca="1" si="34"/>
        <v>3600000</v>
      </c>
      <c r="N83" s="22">
        <f t="shared" ca="1" si="34"/>
        <v>6072915.4560000002</v>
      </c>
    </row>
    <row r="84" spans="3:14" x14ac:dyDescent="0.25">
      <c r="E84" s="13" t="s">
        <v>66</v>
      </c>
      <c r="J84" s="22">
        <f t="shared" ref="J84:N84" ca="1" si="35">J68+J76</f>
        <v>333333.33333333331</v>
      </c>
      <c r="K84" s="22">
        <f t="shared" ca="1" si="35"/>
        <v>666666.66666666663</v>
      </c>
      <c r="L84" s="22">
        <f t="shared" ca="1" si="35"/>
        <v>1000000</v>
      </c>
      <c r="M84" s="22">
        <f t="shared" ca="1" si="35"/>
        <v>1333333.3333333333</v>
      </c>
      <c r="N84" s="22">
        <f t="shared" ca="1" si="35"/>
        <v>1666666.6666666665</v>
      </c>
    </row>
    <row r="85" spans="3:14" x14ac:dyDescent="0.25">
      <c r="E85" s="13" t="s">
        <v>67</v>
      </c>
      <c r="J85" s="22">
        <f t="shared" ref="J85:N85" ca="1" si="36">J69+J77</f>
        <v>1000000</v>
      </c>
      <c r="K85" s="22">
        <f t="shared" ca="1" si="36"/>
        <v>3180000</v>
      </c>
      <c r="L85" s="22">
        <f t="shared" ca="1" si="36"/>
        <v>5360000</v>
      </c>
      <c r="M85" s="22">
        <f t="shared" ca="1" si="36"/>
        <v>9100432</v>
      </c>
      <c r="N85" s="22">
        <f t="shared" ca="1" si="36"/>
        <v>13588547.84</v>
      </c>
    </row>
    <row r="86" spans="3:14" x14ac:dyDescent="0.25">
      <c r="E86" s="13" t="s">
        <v>68</v>
      </c>
      <c r="J86" s="22">
        <f t="shared" ref="J86:N86" ca="1" si="37">J70+J78</f>
        <v>375000</v>
      </c>
      <c r="K86" s="22">
        <f t="shared" ca="1" si="37"/>
        <v>750000</v>
      </c>
      <c r="L86" s="22">
        <f t="shared" ca="1" si="37"/>
        <v>1125000</v>
      </c>
      <c r="M86" s="22">
        <f t="shared" ca="1" si="37"/>
        <v>2085162</v>
      </c>
      <c r="N86" s="22">
        <f t="shared" ca="1" si="37"/>
        <v>2670324</v>
      </c>
    </row>
    <row r="89" spans="3:14" x14ac:dyDescent="0.25">
      <c r="C89" s="13" t="s">
        <v>110</v>
      </c>
    </row>
    <row r="90" spans="3:14" x14ac:dyDescent="0.25">
      <c r="D90" t="s">
        <v>111</v>
      </c>
    </row>
    <row r="91" spans="3:14" x14ac:dyDescent="0.25">
      <c r="E91" s="13" t="s">
        <v>62</v>
      </c>
      <c r="J91" s="22">
        <f ca="1">J57-J82</f>
        <v>4500000</v>
      </c>
      <c r="K91" s="22">
        <f t="shared" ref="K91:N91" ca="1" si="38">K57-K82</f>
        <v>3000000</v>
      </c>
      <c r="L91" s="22">
        <f t="shared" ca="1" si="38"/>
        <v>1500000</v>
      </c>
      <c r="M91" s="22">
        <f t="shared" ca="1" si="38"/>
        <v>7021944.0000000019</v>
      </c>
      <c r="N91" s="22">
        <f t="shared" ca="1" si="38"/>
        <v>4681296.0000000019</v>
      </c>
    </row>
    <row r="92" spans="3:14" x14ac:dyDescent="0.25">
      <c r="E92" s="13" t="s">
        <v>65</v>
      </c>
      <c r="J92" s="22">
        <f t="shared" ref="J92:N95" ca="1" si="39">J58-J83</f>
        <v>3600000</v>
      </c>
      <c r="K92" s="22">
        <f t="shared" ca="1" si="39"/>
        <v>2700000</v>
      </c>
      <c r="L92" s="22">
        <f t="shared" ca="1" si="39"/>
        <v>1800000</v>
      </c>
      <c r="M92" s="22">
        <f t="shared" ca="1" si="39"/>
        <v>900000</v>
      </c>
      <c r="N92" s="22">
        <f t="shared" ca="1" si="39"/>
        <v>6291661.824000001</v>
      </c>
    </row>
    <row r="93" spans="3:14" x14ac:dyDescent="0.25">
      <c r="E93" s="13" t="s">
        <v>66</v>
      </c>
      <c r="J93" s="22">
        <f t="shared" ca="1" si="39"/>
        <v>1666666.6666666667</v>
      </c>
      <c r="K93" s="22">
        <f t="shared" ca="1" si="39"/>
        <v>1333333.3333333335</v>
      </c>
      <c r="L93" s="22">
        <f t="shared" ca="1" si="39"/>
        <v>1000000</v>
      </c>
      <c r="M93" s="22">
        <f t="shared" ca="1" si="39"/>
        <v>666666.66666666674</v>
      </c>
      <c r="N93" s="22">
        <f t="shared" ca="1" si="39"/>
        <v>333333.33333333349</v>
      </c>
    </row>
    <row r="94" spans="3:14" x14ac:dyDescent="0.25">
      <c r="E94" s="13" t="s">
        <v>67</v>
      </c>
      <c r="J94" s="22">
        <f t="shared" ca="1" si="39"/>
        <v>3000000</v>
      </c>
      <c r="K94" s="22">
        <f t="shared" ca="1" si="39"/>
        <v>5540000</v>
      </c>
      <c r="L94" s="22">
        <f t="shared" ca="1" si="39"/>
        <v>3360000</v>
      </c>
      <c r="M94" s="22">
        <f t="shared" ca="1" si="39"/>
        <v>5861296</v>
      </c>
      <c r="N94" s="22">
        <f t="shared" ca="1" si="39"/>
        <v>8363915.5199999996</v>
      </c>
    </row>
    <row r="95" spans="3:14" x14ac:dyDescent="0.25">
      <c r="E95" s="13" t="s">
        <v>68</v>
      </c>
      <c r="J95" s="22">
        <f t="shared" ca="1" si="39"/>
        <v>1125000</v>
      </c>
      <c r="K95" s="22">
        <f t="shared" ca="1" si="39"/>
        <v>750000</v>
      </c>
      <c r="L95" s="22">
        <f t="shared" ca="1" si="39"/>
        <v>375000</v>
      </c>
      <c r="M95" s="22">
        <f t="shared" ca="1" si="39"/>
        <v>1755486</v>
      </c>
      <c r="N95" s="22">
        <f t="shared" ca="1" si="39"/>
        <v>1170324</v>
      </c>
    </row>
  </sheetData>
  <hyperlinks>
    <hyperlink ref="L1" location="Guide!A1" display="Menu" xr:uid="{6CF2A4B8-D4D2-4EF1-B921-52FFC50DF36B}"/>
  </hyperlinks>
  <pageMargins left="0.7" right="0.7" top="0.75" bottom="0.75" header="0.3" footer="0.3"/>
  <pageSetup orientation="portrait" r:id="rId1"/>
  <headerFooter>
    <oddFooter>&amp;L_x000D_&amp;1#&amp;"Calibri"&amp;10&amp;K008000 PUBLIC</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097" r:id="rId4" name="Drop Down 1">
              <controlPr defaultSize="0" autoLine="0" autoPict="0">
                <anchor moveWithCells="1">
                  <from>
                    <xdr:col>5</xdr:col>
                    <xdr:colOff>0</xdr:colOff>
                    <xdr:row>3</xdr:row>
                    <xdr:rowOff>63500</xdr:rowOff>
                  </from>
                  <to>
                    <xdr:col>9</xdr:col>
                    <xdr:colOff>6350</xdr:colOff>
                    <xdr:row>4</xdr:row>
                    <xdr:rowOff>101600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4ACB0-0733-42D8-A65E-903F2D88C9DF}">
  <sheetPr>
    <tabColor theme="7" tint="-0.249977111117893"/>
  </sheetPr>
  <dimension ref="A1:N135"/>
  <sheetViews>
    <sheetView topLeftCell="A120" workbookViewId="0">
      <selection activeCell="L1" sqref="L1"/>
    </sheetView>
  </sheetViews>
  <sheetFormatPr defaultRowHeight="12.5" x14ac:dyDescent="0.25"/>
  <cols>
    <col min="1" max="4" width="3.36328125" customWidth="1"/>
    <col min="5" max="5" width="39.453125" customWidth="1"/>
    <col min="6" max="9" width="3.36328125" customWidth="1"/>
  </cols>
  <sheetData>
    <row r="1" spans="1:14" s="1" customFormat="1" ht="14.5" x14ac:dyDescent="0.35">
      <c r="A1" s="2" t="s">
        <v>6</v>
      </c>
      <c r="L1" s="53" t="s">
        <v>266</v>
      </c>
    </row>
    <row r="2" spans="1:14" s="2" customFormat="1" ht="13.5" x14ac:dyDescent="0.25">
      <c r="A2" s="2" t="s">
        <v>0</v>
      </c>
    </row>
    <row r="3" spans="1:14" s="2" customFormat="1" ht="13.5" x14ac:dyDescent="0.25">
      <c r="A3" s="2" t="s">
        <v>231</v>
      </c>
    </row>
    <row r="4" spans="1:14" s="2" customFormat="1" ht="13.5" x14ac:dyDescent="0.25"/>
    <row r="5" spans="1:14" s="2" customFormat="1" ht="13.5" x14ac:dyDescent="0.25">
      <c r="A5" s="2" t="s">
        <v>1</v>
      </c>
      <c r="J5" s="2">
        <v>2024</v>
      </c>
      <c r="K5" s="2">
        <v>2025</v>
      </c>
      <c r="L5" s="2">
        <v>2026</v>
      </c>
      <c r="M5" s="2">
        <v>2027</v>
      </c>
      <c r="N5" s="2">
        <v>2028</v>
      </c>
    </row>
    <row r="7" spans="1:14" s="9" customFormat="1" x14ac:dyDescent="0.25">
      <c r="A7" s="9" t="s">
        <v>9</v>
      </c>
      <c r="B7" s="9" t="s">
        <v>214</v>
      </c>
    </row>
    <row r="8" spans="1:14" x14ac:dyDescent="0.25">
      <c r="C8" s="13" t="s">
        <v>215</v>
      </c>
    </row>
    <row r="10" spans="1:14" x14ac:dyDescent="0.25">
      <c r="E10" t="s">
        <v>90</v>
      </c>
      <c r="J10" s="35">
        <f>'Financial Statement'!J8/'Financial Statement'!J$8</f>
        <v>1</v>
      </c>
      <c r="K10" s="35">
        <f>'Financial Statement'!K8/'Financial Statement'!K$8</f>
        <v>1</v>
      </c>
      <c r="L10" s="35">
        <f>'Financial Statement'!L8/'Financial Statement'!L$8</f>
        <v>1</v>
      </c>
      <c r="M10" s="35">
        <f>'Financial Statement'!M8/'Financial Statement'!M$8</f>
        <v>1</v>
      </c>
      <c r="N10" s="35">
        <f>'Financial Statement'!N8/'Financial Statement'!N$8</f>
        <v>1</v>
      </c>
    </row>
    <row r="12" spans="1:14" x14ac:dyDescent="0.25">
      <c r="E12" t="s">
        <v>89</v>
      </c>
      <c r="J12" s="35">
        <f>'Financial Statement'!J10/'Financial Statement'!J$8</f>
        <v>-0.44705882352941179</v>
      </c>
      <c r="K12" s="35">
        <f>'Financial Statement'!K10/'Financial Statement'!K$8</f>
        <v>-0.44705882352941179</v>
      </c>
      <c r="L12" s="35">
        <f>'Financial Statement'!L10/'Financial Statement'!L$8</f>
        <v>-0.4263157894736842</v>
      </c>
      <c r="M12" s="35">
        <f>'Financial Statement'!M10/'Financial Statement'!M$8</f>
        <v>-0.40256410256410258</v>
      </c>
      <c r="N12" s="35">
        <f>'Financial Statement'!N10/'Financial Statement'!N$8</f>
        <v>-0.41111111111111109</v>
      </c>
    </row>
    <row r="14" spans="1:14" x14ac:dyDescent="0.25">
      <c r="E14" s="13" t="s">
        <v>115</v>
      </c>
      <c r="J14" s="36">
        <f>'Financial Statement'!J12/'Financial Statement'!J$8</f>
        <v>0.55294117647058827</v>
      </c>
      <c r="K14" s="36">
        <f>'Financial Statement'!K12/'Financial Statement'!K$8</f>
        <v>0.55294117647058827</v>
      </c>
      <c r="L14" s="36">
        <f>'Financial Statement'!L12/'Financial Statement'!L$8</f>
        <v>0.5736842105263158</v>
      </c>
      <c r="M14" s="36">
        <f>'Financial Statement'!M12/'Financial Statement'!M$8</f>
        <v>0.59743589743589742</v>
      </c>
      <c r="N14" s="36">
        <f>'Financial Statement'!N12/'Financial Statement'!N$8</f>
        <v>0.58888888888888891</v>
      </c>
    </row>
    <row r="16" spans="1:14" x14ac:dyDescent="0.25">
      <c r="E16" s="13" t="s">
        <v>116</v>
      </c>
      <c r="J16" s="36">
        <f ca="1">'Financial Statement'!J14/'Financial Statement'!J$8</f>
        <v>-0.54543096405228764</v>
      </c>
      <c r="K16" s="36">
        <f ca="1">'Financial Statement'!K14/'Financial Statement'!K$8</f>
        <v>-0.53808292483660136</v>
      </c>
      <c r="L16" s="36">
        <f ca="1">'Financial Statement'!L14/'Financial Statement'!L$8</f>
        <v>-0.47157219883040941</v>
      </c>
      <c r="M16" s="36">
        <f ca="1">'Financial Statement'!M14/'Financial Statement'!M$8</f>
        <v>-0.42926336539411203</v>
      </c>
      <c r="N16" s="36">
        <f ca="1">'Financial Statement'!N14/'Financial Statement'!N$8</f>
        <v>-0.42154144036966501</v>
      </c>
    </row>
    <row r="17" spans="5:14" x14ac:dyDescent="0.25">
      <c r="E17" t="s">
        <v>47</v>
      </c>
      <c r="J17" s="35">
        <f>'Financial Statement'!J15/'Financial Statement'!J$8</f>
        <v>-0.25959558823529411</v>
      </c>
      <c r="K17" s="35">
        <f>'Financial Statement'!K15/'Financial Statement'!K$8</f>
        <v>-0.27650735294117645</v>
      </c>
      <c r="L17" s="35">
        <f>'Financial Statement'!L15/'Financial Statement'!L$8</f>
        <v>-0.23544736842105263</v>
      </c>
      <c r="M17" s="35">
        <f>'Financial Statement'!M15/'Financial Statement'!M$8</f>
        <v>-0.2064102564102564</v>
      </c>
      <c r="N17" s="35">
        <f>'Financial Statement'!N15/'Financial Statement'!N$8</f>
        <v>-0.19896825396825396</v>
      </c>
    </row>
    <row r="18" spans="5:14" x14ac:dyDescent="0.25">
      <c r="E18" t="s">
        <v>69</v>
      </c>
      <c r="J18" s="35">
        <f ca="1">'Financial Statement'!J16/'Financial Statement'!J$8</f>
        <v>-2.5173611111111112E-2</v>
      </c>
      <c r="K18" s="35">
        <f ca="1">'Financial Statement'!K16/'Financial Statement'!K$8</f>
        <v>-3.2404003267973859E-2</v>
      </c>
      <c r="L18" s="35">
        <f ca="1">'Financial Statement'!L16/'Financial Statement'!L$8</f>
        <v>-2.3194444444444448E-2</v>
      </c>
      <c r="M18" s="35">
        <f ca="1">'Financial Statement'!M16/'Financial Statement'!M$8</f>
        <v>-2.7847792972459637E-2</v>
      </c>
      <c r="N18" s="35">
        <f ca="1">'Financial Statement'!N16/'Financial Statement'!N$8</f>
        <v>-2.7037499019400349E-2</v>
      </c>
    </row>
    <row r="19" spans="5:14" x14ac:dyDescent="0.25">
      <c r="E19" t="s">
        <v>33</v>
      </c>
      <c r="J19" s="35">
        <f>'Financial Statement'!J17/'Financial Statement'!J$8</f>
        <v>-0.26066176470588237</v>
      </c>
      <c r="K19" s="35">
        <f>'Financial Statement'!K17/'Financial Statement'!K$8</f>
        <v>-0.22917156862745097</v>
      </c>
      <c r="L19" s="35">
        <f>'Financial Statement'!L17/'Financial Statement'!L$8</f>
        <v>-0.21293038596491229</v>
      </c>
      <c r="M19" s="35">
        <f>'Financial Statement'!M17/'Financial Statement'!M$8</f>
        <v>-0.19500531601139601</v>
      </c>
      <c r="N19" s="35">
        <f>'Financial Statement'!N17/'Financial Statement'!N$8</f>
        <v>-0.19553568738201063</v>
      </c>
    </row>
    <row r="21" spans="5:14" x14ac:dyDescent="0.25">
      <c r="E21" s="13" t="s">
        <v>117</v>
      </c>
      <c r="J21" s="36">
        <f ca="1">'Financial Statement'!J19/'Financial Statement'!J$8</f>
        <v>7.5102124183005926E-3</v>
      </c>
      <c r="K21" s="36">
        <f ca="1">'Financial Statement'!K19/'Financial Statement'!K$8</f>
        <v>1.4858251633986868E-2</v>
      </c>
      <c r="L21" s="36">
        <f ca="1">'Financial Statement'!L19/'Financial Statement'!L$8</f>
        <v>0.10211201169590639</v>
      </c>
      <c r="M21" s="36">
        <f ca="1">'Financial Statement'!M19/'Financial Statement'!M$8</f>
        <v>0.16817253204178539</v>
      </c>
      <c r="N21" s="36">
        <f ca="1">'Financial Statement'!N19/'Financial Statement'!N$8</f>
        <v>0.1673474485192239</v>
      </c>
    </row>
    <row r="23" spans="5:14" x14ac:dyDescent="0.25">
      <c r="E23" t="s">
        <v>118</v>
      </c>
      <c r="J23" s="35">
        <f>'Financial Statement'!J21/'Financial Statement'!J$8</f>
        <v>-1.8016957720588238E-2</v>
      </c>
      <c r="K23" s="35">
        <f>'Financial Statement'!K21/'Financial Statement'!K$8</f>
        <v>-1.7116109834558826E-2</v>
      </c>
      <c r="L23" s="35">
        <f>'Financial Statement'!L21/'Financial Statement'!L$8</f>
        <v>-1.1638954687500003E-2</v>
      </c>
      <c r="M23" s="35">
        <f>'Financial Statement'!M21/'Financial Statement'!M$8</f>
        <v>0</v>
      </c>
      <c r="N23" s="35">
        <f>'Financial Statement'!N21/'Financial Statement'!N$8</f>
        <v>0</v>
      </c>
    </row>
    <row r="25" spans="5:14" x14ac:dyDescent="0.25">
      <c r="E25" s="13" t="s">
        <v>119</v>
      </c>
      <c r="J25" s="36">
        <f ca="1">'Financial Statement'!J23/'Financial Statement'!J$8</f>
        <v>-1.0506745302287646E-2</v>
      </c>
      <c r="K25" s="36">
        <f ca="1">'Financial Statement'!K23/'Financial Statement'!K$8</f>
        <v>-2.257858200571959E-3</v>
      </c>
      <c r="L25" s="36">
        <f ca="1">'Financial Statement'!L23/'Financial Statement'!L$8</f>
        <v>9.0473057008406396E-2</v>
      </c>
      <c r="M25" s="36">
        <f ca="1">'Financial Statement'!M23/'Financial Statement'!M$8</f>
        <v>0.16817253204178539</v>
      </c>
      <c r="N25" s="36">
        <f ca="1">'Financial Statement'!N23/'Financial Statement'!N$8</f>
        <v>0.1673474485192239</v>
      </c>
    </row>
    <row r="27" spans="5:14" x14ac:dyDescent="0.25">
      <c r="E27" t="s">
        <v>120</v>
      </c>
      <c r="J27" s="35">
        <f ca="1">'Financial Statement'!J25/'Financial Statement'!J$8</f>
        <v>0</v>
      </c>
      <c r="K27" s="35">
        <f ca="1">'Financial Statement'!K25/'Financial Statement'!K$8</f>
        <v>0</v>
      </c>
      <c r="L27" s="35">
        <f ca="1">'Financial Statement'!L25/'Financial Statement'!L$8</f>
        <v>-2.8951378242690048E-2</v>
      </c>
      <c r="M27" s="35">
        <f ca="1">'Financial Statement'!M25/'Financial Statement'!M$8</f>
        <v>-5.3815210253371326E-2</v>
      </c>
      <c r="N27" s="35">
        <f ca="1">'Financial Statement'!N25/'Financial Statement'!N$8</f>
        <v>-5.3551183526151652E-2</v>
      </c>
    </row>
    <row r="29" spans="5:14" x14ac:dyDescent="0.25">
      <c r="E29" s="13" t="s">
        <v>121</v>
      </c>
      <c r="J29" s="36">
        <f ca="1">'Financial Statement'!J27/'Financial Statement'!J$8</f>
        <v>-1.0506745302287646E-2</v>
      </c>
      <c r="K29" s="36">
        <f ca="1">'Financial Statement'!K27/'Financial Statement'!K$8</f>
        <v>-2.257858200571959E-3</v>
      </c>
      <c r="L29" s="36">
        <f ca="1">'Financial Statement'!L27/'Financial Statement'!L$8</f>
        <v>6.1521678765716341E-2</v>
      </c>
      <c r="M29" s="36">
        <f ca="1">'Financial Statement'!M27/'Financial Statement'!M$8</f>
        <v>0.11435732178841405</v>
      </c>
      <c r="N29" s="36">
        <f ca="1">'Financial Statement'!N27/'Financial Statement'!N$8</f>
        <v>0.11379626499307224</v>
      </c>
    </row>
    <row r="31" spans="5:14" x14ac:dyDescent="0.25">
      <c r="E31" t="s">
        <v>122</v>
      </c>
      <c r="J31" s="35">
        <f ca="1">'Financial Statement'!J29/'Financial Statement'!J$8</f>
        <v>0</v>
      </c>
      <c r="K31" s="35">
        <f ca="1">'Financial Statement'!K29/'Financial Statement'!K$8</f>
        <v>0</v>
      </c>
      <c r="L31" s="35">
        <f ca="1">'Financial Statement'!L29/'Financial Statement'!L$8</f>
        <v>-1.230433575314327E-2</v>
      </c>
      <c r="M31" s="35">
        <f ca="1">'Financial Statement'!M29/'Financial Statement'!M$8</f>
        <v>-2.2871464357682815E-2</v>
      </c>
      <c r="N31" s="35">
        <f ca="1">'Financial Statement'!N29/'Financial Statement'!N$8</f>
        <v>-2.2759252998614452E-2</v>
      </c>
    </row>
    <row r="33" spans="3:14" x14ac:dyDescent="0.25">
      <c r="E33" t="s">
        <v>123</v>
      </c>
      <c r="J33" s="36">
        <f ca="1">'Financial Statement'!J31/'Financial Statement'!J$8</f>
        <v>-1.0506745302287646E-2</v>
      </c>
      <c r="K33" s="36">
        <f ca="1">'Financial Statement'!K31/'Financial Statement'!K$8</f>
        <v>-2.257858200571959E-3</v>
      </c>
      <c r="L33" s="36">
        <f ca="1">'Financial Statement'!L31/'Financial Statement'!L$8</f>
        <v>4.9217343012573078E-2</v>
      </c>
      <c r="M33" s="36">
        <f ca="1">'Financial Statement'!M31/'Financial Statement'!M$8</f>
        <v>9.1485857430731246E-2</v>
      </c>
      <c r="N33" s="36">
        <f ca="1">'Financial Statement'!N31/'Financial Statement'!N$8</f>
        <v>9.1037011994457795E-2</v>
      </c>
    </row>
    <row r="34" spans="3:14" ht="13" thickBot="1" x14ac:dyDescent="0.3">
      <c r="E34" t="s">
        <v>124</v>
      </c>
      <c r="J34" s="37">
        <f ca="1">'Financial Statement'!J32/'Financial Statement'!J$8</f>
        <v>-1.0506745302287646E-2</v>
      </c>
      <c r="K34" s="37">
        <f ca="1">'Financial Statement'!K32/'Financial Statement'!K$8</f>
        <v>-1.2764603502859604E-2</v>
      </c>
      <c r="L34" s="37">
        <f ca="1">'Financial Statement'!L32/'Financial Statement'!L$8</f>
        <v>4.0080574189473563E-2</v>
      </c>
      <c r="M34" s="37">
        <f ca="1">'Financial Statement'!M32/'Financial Statement'!M$8</f>
        <v>0.11752110220338073</v>
      </c>
      <c r="N34" s="37">
        <f ca="1">'Financial Statement'!N32/'Financial Statement'!N$8</f>
        <v>0.20016374975473988</v>
      </c>
    </row>
    <row r="35" spans="3:14" ht="13" thickTop="1" x14ac:dyDescent="0.25"/>
    <row r="37" spans="3:14" x14ac:dyDescent="0.25">
      <c r="C37" s="13" t="s">
        <v>216</v>
      </c>
    </row>
    <row r="39" spans="3:14" x14ac:dyDescent="0.25">
      <c r="C39" s="13" t="s">
        <v>126</v>
      </c>
    </row>
    <row r="40" spans="3:14" x14ac:dyDescent="0.25">
      <c r="D40" s="13" t="s">
        <v>127</v>
      </c>
    </row>
    <row r="41" spans="3:14" x14ac:dyDescent="0.25">
      <c r="E41" t="s">
        <v>62</v>
      </c>
      <c r="J41" s="35">
        <f ca="1">'Financial Statement'!J39/'Financial Statement'!J$51</f>
        <v>6.9799174332641059E-2</v>
      </c>
      <c r="K41" s="35">
        <f ca="1">'Financial Statement'!K39/'Financial Statement'!K$51</f>
        <v>4.7490087281952274E-2</v>
      </c>
      <c r="L41" s="35">
        <f ca="1">'Financial Statement'!L39/'Financial Statement'!L$51</f>
        <v>2.24841294514561E-2</v>
      </c>
      <c r="M41" s="35">
        <f ca="1">'Financial Statement'!M39/'Financial Statement'!M$51</f>
        <v>5.9792531546881827E-2</v>
      </c>
      <c r="N41" s="35">
        <f ca="1">'Financial Statement'!N39/'Financial Statement'!N$51</f>
        <v>3.0372132269133711E-2</v>
      </c>
    </row>
    <row r="42" spans="3:14" x14ac:dyDescent="0.25">
      <c r="E42" t="s">
        <v>65</v>
      </c>
      <c r="J42" s="35">
        <f ca="1">'Financial Statement'!J40/'Financial Statement'!J$51</f>
        <v>5.5839339466112844E-2</v>
      </c>
      <c r="K42" s="35">
        <f ca="1">'Financial Statement'!K40/'Financial Statement'!K$51</f>
        <v>4.2741078553757049E-2</v>
      </c>
      <c r="L42" s="35">
        <f ca="1">'Financial Statement'!L40/'Financial Statement'!L$51</f>
        <v>2.6980955341747322E-2</v>
      </c>
      <c r="M42" s="35">
        <f ca="1">'Financial Statement'!M40/'Financial Statement'!M$51</f>
        <v>7.6635869485990821E-3</v>
      </c>
      <c r="N42" s="35">
        <f ca="1">'Financial Statement'!N40/'Financial Statement'!N$51</f>
        <v>4.0820145769715696E-2</v>
      </c>
    </row>
    <row r="43" spans="3:14" x14ac:dyDescent="0.25">
      <c r="E43" t="s">
        <v>66</v>
      </c>
      <c r="J43" s="35">
        <f ca="1">'Financial Statement'!J41/'Financial Statement'!J$51</f>
        <v>2.5851546049126317E-2</v>
      </c>
      <c r="K43" s="35">
        <f ca="1">'Financial Statement'!K41/'Financial Statement'!K$51</f>
        <v>2.1106705458645458E-2</v>
      </c>
      <c r="L43" s="35">
        <f ca="1">'Financial Statement'!L41/'Financial Statement'!L$51</f>
        <v>1.4989419634304068E-2</v>
      </c>
      <c r="M43" s="35">
        <f ca="1">'Financial Statement'!M41/'Financial Statement'!M$51</f>
        <v>5.6767310730363582E-3</v>
      </c>
      <c r="N43" s="35">
        <f ca="1">'Financial Statement'!N41/'Financial Statement'!N$51</f>
        <v>2.1626583941095024E-3</v>
      </c>
    </row>
    <row r="44" spans="3:14" x14ac:dyDescent="0.25">
      <c r="E44" t="s">
        <v>67</v>
      </c>
      <c r="J44" s="35">
        <f ca="1">'Financial Statement'!J42/'Financial Statement'!J$51</f>
        <v>4.6532782888427368E-2</v>
      </c>
      <c r="K44" s="35">
        <f ca="1">'Financial Statement'!K42/'Financial Statement'!K$51</f>
        <v>8.7698361180671869E-2</v>
      </c>
      <c r="L44" s="35">
        <f ca="1">'Financial Statement'!L42/'Financial Statement'!L$51</f>
        <v>5.0364449971261667E-2</v>
      </c>
      <c r="M44" s="35">
        <f ca="1">'Financial Statement'!M42/'Financial Statement'!M$51</f>
        <v>4.990950169719556E-2</v>
      </c>
      <c r="N44" s="35">
        <f ca="1">'Financial Statement'!N42/'Financial Statement'!N$51</f>
        <v>5.4264876320852203E-2</v>
      </c>
    </row>
    <row r="45" spans="3:14" x14ac:dyDescent="0.25">
      <c r="E45" t="s">
        <v>68</v>
      </c>
      <c r="J45" s="35">
        <f ca="1">'Financial Statement'!J43/'Financial Statement'!J$51</f>
        <v>1.7449793583160265E-2</v>
      </c>
      <c r="K45" s="35">
        <f ca="1">'Financial Statement'!K43/'Financial Statement'!K$51</f>
        <v>1.1872521820488069E-2</v>
      </c>
      <c r="L45" s="35">
        <f ca="1">'Financial Statement'!L43/'Financial Statement'!L$51</f>
        <v>5.6210323628640251E-3</v>
      </c>
      <c r="M45" s="35">
        <f ca="1">'Financial Statement'!M43/'Financial Statement'!M$51</f>
        <v>1.4948132886720453E-2</v>
      </c>
      <c r="N45" s="35">
        <f ca="1">'Financial Statement'!N43/'Financial Statement'!N$51</f>
        <v>7.5930330672834244E-3</v>
      </c>
    </row>
    <row r="46" spans="3:14" x14ac:dyDescent="0.25">
      <c r="J46" s="36">
        <f ca="1">'Financial Statement'!J44/'Financial Statement'!J$51</f>
        <v>0.21547263631946784</v>
      </c>
      <c r="K46" s="36">
        <f ca="1">'Financial Statement'!K44/'Financial Statement'!K$51</f>
        <v>0.21090875429551473</v>
      </c>
      <c r="L46" s="36">
        <f ca="1">'Financial Statement'!L44/'Financial Statement'!L$51</f>
        <v>0.12043998676163319</v>
      </c>
      <c r="M46" s="36">
        <f ca="1">'Financial Statement'!M44/'Financial Statement'!M$51</f>
        <v>0.13799048415243328</v>
      </c>
      <c r="N46" s="36">
        <f ca="1">'Financial Statement'!N44/'Financial Statement'!N$51</f>
        <v>0.13521284582109455</v>
      </c>
    </row>
    <row r="47" spans="3:14" x14ac:dyDescent="0.25">
      <c r="D47" s="13" t="s">
        <v>128</v>
      </c>
    </row>
    <row r="48" spans="3:14" x14ac:dyDescent="0.25">
      <c r="E48" t="s">
        <v>91</v>
      </c>
      <c r="J48" s="35">
        <f ca="1">'Financial Statement'!J46/'Financial Statement'!J$51</f>
        <v>0.22633545596931073</v>
      </c>
      <c r="K48" s="35">
        <f ca="1">'Financial Statement'!K46/'Financial Statement'!K$51</f>
        <v>0.23099178453941585</v>
      </c>
      <c r="L48" s="35">
        <f ca="1">'Financial Statement'!L46/'Financial Statement'!L$51</f>
        <v>0.2913943176908711</v>
      </c>
      <c r="M48" s="35">
        <f ca="1">'Financial Statement'!M46/'Financial Statement'!M$51</f>
        <v>0.24063663018601117</v>
      </c>
      <c r="N48" s="35">
        <f ca="1">'Financial Statement'!N46/'Financial Statement'!N$51</f>
        <v>0.20164626866676991</v>
      </c>
    </row>
    <row r="49" spans="3:14" x14ac:dyDescent="0.25">
      <c r="E49" t="s">
        <v>129</v>
      </c>
      <c r="J49" s="35">
        <f ca="1">'Financial Statement'!J47/'Financial Statement'!J$51</f>
        <v>6.328458472826122E-2</v>
      </c>
      <c r="K49" s="35">
        <f ca="1">'Financial Statement'!K47/'Financial Statement'!K$51</f>
        <v>6.4586518703455095E-2</v>
      </c>
      <c r="L49" s="35">
        <f ca="1">'Financial Statement'!L47/'Financial Statement'!L$51</f>
        <v>8.5439691915533189E-2</v>
      </c>
      <c r="M49" s="35">
        <f ca="1">'Financial Statement'!M47/'Financial Statement'!M$51</f>
        <v>7.4719972748841054E-2</v>
      </c>
      <c r="N49" s="35">
        <f ca="1">'Financial Statement'!N47/'Financial Statement'!N$51</f>
        <v>6.1311365473004364E-2</v>
      </c>
    </row>
    <row r="50" spans="3:14" x14ac:dyDescent="0.25">
      <c r="E50" t="s">
        <v>130</v>
      </c>
      <c r="J50" s="35">
        <f ca="1">'Financial Statement'!J48/'Financial Statement'!J$51</f>
        <v>0.49490732298296025</v>
      </c>
      <c r="K50" s="35">
        <f ca="1">'Financial Statement'!K48/'Financial Statement'!K$51</f>
        <v>0.49351294246161426</v>
      </c>
      <c r="L50" s="35">
        <f ca="1">'Financial Statement'!L48/'Financial Statement'!L$51</f>
        <v>0.50272600363196251</v>
      </c>
      <c r="M50" s="35">
        <f ca="1">'Financial Statement'!M48/'Financial Statement'!M$51</f>
        <v>0.54665291291271445</v>
      </c>
      <c r="N50" s="35">
        <f ca="1">'Financial Statement'!N48/'Financial Statement'!N$51</f>
        <v>0.60182952003913126</v>
      </c>
    </row>
    <row r="51" spans="3:14" x14ac:dyDescent="0.25">
      <c r="D51" s="13" t="s">
        <v>131</v>
      </c>
      <c r="J51" s="36">
        <f ca="1">'Financial Statement'!J49/'Financial Statement'!J$51</f>
        <v>0.78452736368053222</v>
      </c>
      <c r="K51" s="36">
        <f ca="1">'Financial Statement'!K49/'Financial Statement'!K$51</f>
        <v>0.7890912457044853</v>
      </c>
      <c r="L51" s="36">
        <f ca="1">'Financial Statement'!L49/'Financial Statement'!L$51</f>
        <v>0.87956001323836686</v>
      </c>
      <c r="M51" s="36">
        <f ca="1">'Financial Statement'!M49/'Financial Statement'!M$51</f>
        <v>0.86200951584756669</v>
      </c>
      <c r="N51" s="36">
        <f ca="1">'Financial Statement'!N49/'Financial Statement'!N$51</f>
        <v>0.8647871541789055</v>
      </c>
    </row>
    <row r="53" spans="3:14" ht="13" thickBot="1" x14ac:dyDescent="0.3">
      <c r="C53" s="13" t="s">
        <v>132</v>
      </c>
      <c r="J53" s="37">
        <f ca="1">'Financial Statement'!J51/'Financial Statement'!J$51</f>
        <v>1</v>
      </c>
      <c r="K53" s="37">
        <f ca="1">'Financial Statement'!K51/'Financial Statement'!K$51</f>
        <v>1</v>
      </c>
      <c r="L53" s="37">
        <f ca="1">'Financial Statement'!L51/'Financial Statement'!L$51</f>
        <v>1</v>
      </c>
      <c r="M53" s="37">
        <f ca="1">'Financial Statement'!M51/'Financial Statement'!M$51</f>
        <v>1</v>
      </c>
      <c r="N53" s="37">
        <f ca="1">'Financial Statement'!N51/'Financial Statement'!N$51</f>
        <v>1</v>
      </c>
    </row>
    <row r="54" spans="3:14" ht="13" thickTop="1" x14ac:dyDescent="0.25"/>
    <row r="56" spans="3:14" x14ac:dyDescent="0.25">
      <c r="C56" s="13" t="s">
        <v>133</v>
      </c>
    </row>
    <row r="57" spans="3:14" x14ac:dyDescent="0.25">
      <c r="D57" s="13" t="s">
        <v>78</v>
      </c>
    </row>
    <row r="58" spans="3:14" x14ac:dyDescent="0.25">
      <c r="E58" t="s">
        <v>153</v>
      </c>
      <c r="J58" s="35">
        <f ca="1">'Financial Statement'!J56/'Financial Statement'!J$51</f>
        <v>0.70945509439097465</v>
      </c>
      <c r="K58" s="35">
        <f ca="1">'Financial Statement'!K56/'Financial Statement'!K$51</f>
        <v>0.72405049223119311</v>
      </c>
      <c r="L58" s="35">
        <f ca="1">'Financial Statement'!L56/'Financial Statement'!L$51</f>
        <v>0.68560181412441545</v>
      </c>
      <c r="M58" s="35">
        <f ca="1">'Financial Statement'!M56/'Financial Statement'!M$51</f>
        <v>0.38947242957924538</v>
      </c>
      <c r="N58" s="35">
        <f ca="1">'Financial Statement'!N56/'Financial Statement'!N$51</f>
        <v>0.29675382126328259</v>
      </c>
    </row>
    <row r="59" spans="3:14" x14ac:dyDescent="0.25">
      <c r="E59" t="s">
        <v>134</v>
      </c>
      <c r="J59" s="35">
        <f ca="1">'Financial Statement'!J57/'Financial Statement'!J$51</f>
        <v>-2.6596600532035324E-2</v>
      </c>
      <c r="K59" s="35">
        <f ca="1">'Financial Statement'!K57/'Financial Statement'!K$51</f>
        <v>-3.297685211518521E-2</v>
      </c>
      <c r="L59" s="35">
        <f ca="1">'Financial Statement'!L57/'Financial Statement'!L$51</f>
        <v>0.13697887642185169</v>
      </c>
      <c r="M59" s="35">
        <f ca="1">'Financial Statement'!M57/'Financial Statement'!M$51</f>
        <v>0.35124694216201491</v>
      </c>
      <c r="N59" s="35">
        <f ca="1">'Financial Statement'!N57/'Financial Statement'!N$51</f>
        <v>0.49089251262639383</v>
      </c>
    </row>
    <row r="60" spans="3:14" x14ac:dyDescent="0.25">
      <c r="D60" s="13" t="s">
        <v>135</v>
      </c>
      <c r="J60" s="36">
        <f ca="1">'Financial Statement'!J58/'Financial Statement'!J$51</f>
        <v>0.68285849385893937</v>
      </c>
      <c r="K60" s="36">
        <f ca="1">'Financial Statement'!K58/'Financial Statement'!K$51</f>
        <v>0.69107364011600791</v>
      </c>
      <c r="L60" s="36">
        <f ca="1">'Financial Statement'!L58/'Financial Statement'!L$51</f>
        <v>0.82258069054626715</v>
      </c>
      <c r="M60" s="36">
        <f ca="1">'Financial Statement'!M58/'Financial Statement'!M$51</f>
        <v>0.74071937174126024</v>
      </c>
      <c r="N60" s="36">
        <f ca="1">'Financial Statement'!N58/'Financial Statement'!N$51</f>
        <v>0.78764633388967642</v>
      </c>
    </row>
    <row r="62" spans="3:14" x14ac:dyDescent="0.25">
      <c r="D62" s="13" t="s">
        <v>136</v>
      </c>
    </row>
    <row r="63" spans="3:14" x14ac:dyDescent="0.25">
      <c r="D63" s="13" t="s">
        <v>137</v>
      </c>
    </row>
    <row r="64" spans="3:14" x14ac:dyDescent="0.25">
      <c r="E64" t="s">
        <v>138</v>
      </c>
      <c r="J64" s="35">
        <f ca="1">'Financial Statement'!J62/'Financial Statement'!J$51</f>
        <v>0.28884957414489687</v>
      </c>
      <c r="K64" s="35">
        <f ca="1">'Financial Statement'!K62/'Financial Statement'!K$51</f>
        <v>0.28005238681656508</v>
      </c>
      <c r="L64" s="35">
        <f ca="1">'Financial Statement'!L62/'Financial Statement'!L$51</f>
        <v>0</v>
      </c>
      <c r="M64" s="35">
        <f ca="1">'Financial Statement'!M62/'Financial Statement'!M$51</f>
        <v>0</v>
      </c>
      <c r="N64" s="35">
        <f ca="1">'Financial Statement'!N62/'Financial Statement'!N$51</f>
        <v>0</v>
      </c>
    </row>
    <row r="65" spans="3:14" x14ac:dyDescent="0.25">
      <c r="D65" s="13" t="s">
        <v>139</v>
      </c>
      <c r="J65" s="36">
        <f ca="1">'Financial Statement'!J63/'Financial Statement'!J$51</f>
        <v>0.28884957414489687</v>
      </c>
      <c r="K65" s="36">
        <f ca="1">'Financial Statement'!K63/'Financial Statement'!K$51</f>
        <v>0.28005238681656508</v>
      </c>
      <c r="L65" s="36">
        <f ca="1">'Financial Statement'!L63/'Financial Statement'!L$51</f>
        <v>0</v>
      </c>
      <c r="M65" s="36">
        <f ca="1">'Financial Statement'!M63/'Financial Statement'!M$51</f>
        <v>0</v>
      </c>
      <c r="N65" s="36">
        <f ca="1">'Financial Statement'!N63/'Financial Statement'!N$51</f>
        <v>0</v>
      </c>
    </row>
    <row r="68" spans="3:14" x14ac:dyDescent="0.25">
      <c r="D68" s="13" t="s">
        <v>140</v>
      </c>
    </row>
    <row r="69" spans="3:14" x14ac:dyDescent="0.25">
      <c r="E69" t="s">
        <v>171</v>
      </c>
      <c r="J69" s="35">
        <f ca="1">'Financial Statement'!J67/'Financial Statement'!J$51</f>
        <v>2.8291931996163842E-2</v>
      </c>
      <c r="K69" s="35">
        <f ca="1">'Financial Statement'!K67/'Financial Statement'!K$51</f>
        <v>2.8873973067426981E-2</v>
      </c>
      <c r="L69" s="35">
        <f ca="1">'Financial Statement'!L67/'Financial Statement'!L$51</f>
        <v>3.6424289711358887E-2</v>
      </c>
      <c r="M69" s="35">
        <f ca="1">'Financial Statement'!M67/'Financial Statement'!M$51</f>
        <v>3.0079578773251396E-2</v>
      </c>
      <c r="N69" s="35">
        <f ca="1">'Financial Statement'!N67/'Financial Statement'!N$51</f>
        <v>2.5205783583346238E-2</v>
      </c>
    </row>
    <row r="70" spans="3:14" x14ac:dyDescent="0.25">
      <c r="E70" t="s">
        <v>141</v>
      </c>
      <c r="J70" s="35">
        <f ca="1">'Financial Statement'!J68/'Financial Statement'!J$51</f>
        <v>0</v>
      </c>
      <c r="K70" s="35">
        <f ca="1">'Financial Statement'!K68/'Financial Statement'!K$51</f>
        <v>0</v>
      </c>
      <c r="L70" s="35">
        <f ca="1">'Financial Statement'!L68/'Financial Statement'!L$51</f>
        <v>4.2051146238953632E-2</v>
      </c>
      <c r="M70" s="35">
        <f ca="1">'Financial Statement'!M68/'Financial Statement'!M$51</f>
        <v>6.8358207741285967E-2</v>
      </c>
      <c r="N70" s="35">
        <f ca="1">'Financial Statement'!N68/'Financial Statement'!N$51</f>
        <v>5.5816035139624846E-2</v>
      </c>
    </row>
    <row r="71" spans="3:14" x14ac:dyDescent="0.25">
      <c r="E71" t="s">
        <v>142</v>
      </c>
      <c r="J71" s="35">
        <f ca="1">'Financial Statement'!J69/'Financial Statement'!J$51</f>
        <v>0</v>
      </c>
      <c r="K71" s="35">
        <f ca="1">'Financial Statement'!K69/'Financial Statement'!K$51</f>
        <v>0</v>
      </c>
      <c r="L71" s="35">
        <f ca="1">'Financial Statement'!L69/'Financial Statement'!L$51</f>
        <v>9.8943873503420321E-2</v>
      </c>
      <c r="M71" s="35">
        <f ca="1">'Financial Statement'!M69/'Financial Statement'!M$51</f>
        <v>0.16084284174420227</v>
      </c>
      <c r="N71" s="35">
        <f ca="1">'Financial Statement'!N69/'Financial Statement'!N$51</f>
        <v>0.1313318473873526</v>
      </c>
    </row>
    <row r="72" spans="3:14" x14ac:dyDescent="0.25">
      <c r="D72" s="13" t="s">
        <v>143</v>
      </c>
      <c r="J72" s="35">
        <f ca="1">'Financial Statement'!J70/'Financial Statement'!J$51</f>
        <v>2.8291931996163842E-2</v>
      </c>
      <c r="K72" s="35">
        <f ca="1">'Financial Statement'!K70/'Financial Statement'!K$51</f>
        <v>2.8873973067426981E-2</v>
      </c>
      <c r="L72" s="35">
        <f ca="1">'Financial Statement'!L70/'Financial Statement'!L$51</f>
        <v>0.17741930945373283</v>
      </c>
      <c r="M72" s="35">
        <f ca="1">'Financial Statement'!M70/'Financial Statement'!M$51</f>
        <v>0.25928062825873965</v>
      </c>
      <c r="N72" s="35">
        <f ca="1">'Financial Statement'!N70/'Financial Statement'!N$51</f>
        <v>0.21235366611032369</v>
      </c>
    </row>
    <row r="74" spans="3:14" x14ac:dyDescent="0.25">
      <c r="D74" s="13" t="s">
        <v>144</v>
      </c>
      <c r="J74" s="36">
        <f ca="1">'Financial Statement'!J72/'Financial Statement'!J$51</f>
        <v>0.31714150614106074</v>
      </c>
      <c r="K74" s="36">
        <f ca="1">'Financial Statement'!K72/'Financial Statement'!K$51</f>
        <v>0.30892635988399209</v>
      </c>
      <c r="L74" s="36">
        <f ca="1">'Financial Statement'!L72/'Financial Statement'!L$51</f>
        <v>0.17741930945373283</v>
      </c>
      <c r="M74" s="36">
        <f ca="1">'Financial Statement'!M72/'Financial Statement'!M$51</f>
        <v>0.25928062825873965</v>
      </c>
      <c r="N74" s="36">
        <f ca="1">'Financial Statement'!N72/'Financial Statement'!N$51</f>
        <v>0.21235366611032369</v>
      </c>
    </row>
    <row r="77" spans="3:14" ht="13" thickBot="1" x14ac:dyDescent="0.3">
      <c r="C77" s="13" t="s">
        <v>145</v>
      </c>
      <c r="J77" s="37">
        <f ca="1">'Financial Statement'!J75/'Financial Statement'!J$51</f>
        <v>1</v>
      </c>
      <c r="K77" s="37">
        <f ca="1">'Financial Statement'!K75/'Financial Statement'!K$51</f>
        <v>0.99999999999999989</v>
      </c>
      <c r="L77" s="37">
        <f ca="1">'Financial Statement'!L75/'Financial Statement'!L$51</f>
        <v>1</v>
      </c>
      <c r="M77" s="37">
        <f ca="1">'Financial Statement'!M75/'Financial Statement'!M$51</f>
        <v>0.99999999999999989</v>
      </c>
      <c r="N77" s="37">
        <f ca="1">'Financial Statement'!N75/'Financial Statement'!N$51</f>
        <v>1</v>
      </c>
    </row>
    <row r="78" spans="3:14" ht="13" thickTop="1" x14ac:dyDescent="0.25"/>
    <row r="81" spans="3:14" x14ac:dyDescent="0.25">
      <c r="C81" s="13" t="s">
        <v>217</v>
      </c>
    </row>
    <row r="82" spans="3:14" x14ac:dyDescent="0.25">
      <c r="D82" s="13" t="s">
        <v>167</v>
      </c>
    </row>
    <row r="83" spans="3:14" x14ac:dyDescent="0.25">
      <c r="E83" t="s">
        <v>121</v>
      </c>
      <c r="J83" s="35">
        <f ca="1">'Financial Statement'!J83/'Financial Statement'!J$8</f>
        <v>-1.0506745302287646E-2</v>
      </c>
      <c r="K83" s="35">
        <f ca="1">'Financial Statement'!K83/'Financial Statement'!K$8</f>
        <v>-2.257858200571959E-3</v>
      </c>
      <c r="L83" s="35">
        <f ca="1">'Financial Statement'!L83/'Financial Statement'!L$8</f>
        <v>6.1521678765716341E-2</v>
      </c>
      <c r="M83" s="35">
        <f ca="1">'Financial Statement'!M83/'Financial Statement'!M$8</f>
        <v>0.11435732178841405</v>
      </c>
      <c r="N83" s="35">
        <f ca="1">'Financial Statement'!N83/'Financial Statement'!N$8</f>
        <v>0.11379626499307224</v>
      </c>
    </row>
    <row r="84" spans="3:14" x14ac:dyDescent="0.25">
      <c r="E84" t="s">
        <v>168</v>
      </c>
      <c r="J84" s="35">
        <f>'Financial Statement'!J84/'Financial Statement'!J$8</f>
        <v>0</v>
      </c>
      <c r="K84" s="35">
        <f>'Financial Statement'!K84/'Financial Statement'!K$8</f>
        <v>0</v>
      </c>
      <c r="L84" s="35">
        <f>'Financial Statement'!L84/'Financial Statement'!L$8</f>
        <v>0</v>
      </c>
      <c r="M84" s="35">
        <f>'Financial Statement'!M84/'Financial Statement'!M$8</f>
        <v>0</v>
      </c>
      <c r="N84" s="35">
        <f>'Financial Statement'!N84/'Financial Statement'!N$8</f>
        <v>0</v>
      </c>
    </row>
    <row r="85" spans="3:14" x14ac:dyDescent="0.25">
      <c r="E85" s="27" t="s">
        <v>69</v>
      </c>
      <c r="J85" s="35">
        <f ca="1">'Financial Statement'!J85/'Financial Statement'!J$8</f>
        <v>2.5173611111111112E-2</v>
      </c>
      <c r="K85" s="35">
        <f ca="1">'Financial Statement'!K85/'Financial Statement'!K$8</f>
        <v>3.2404003267973859E-2</v>
      </c>
      <c r="L85" s="35">
        <f ca="1">'Financial Statement'!L85/'Financial Statement'!L$8</f>
        <v>2.3194444444444448E-2</v>
      </c>
      <c r="M85" s="35">
        <f ca="1">'Financial Statement'!M85/'Financial Statement'!M$8</f>
        <v>2.7847792972459637E-2</v>
      </c>
      <c r="N85" s="35">
        <f ca="1">'Financial Statement'!N85/'Financial Statement'!N$8</f>
        <v>2.7037499019400349E-2</v>
      </c>
    </row>
    <row r="86" spans="3:14" x14ac:dyDescent="0.25">
      <c r="E86" s="27" t="s">
        <v>169</v>
      </c>
      <c r="J86" s="35">
        <f ca="1">'Financial Statement'!J86/'Financial Statement'!J$8</f>
        <v>0</v>
      </c>
      <c r="K86" s="35">
        <f ca="1">'Financial Statement'!K86/'Financial Statement'!K$8</f>
        <v>0</v>
      </c>
      <c r="L86" s="35">
        <f ca="1">'Financial Statement'!L86/'Financial Statement'!L$8</f>
        <v>2.8951378242690048E-2</v>
      </c>
      <c r="M86" s="35">
        <f ca="1">'Financial Statement'!M86/'Financial Statement'!M$8</f>
        <v>5.3815210253371326E-2</v>
      </c>
      <c r="N86" s="35">
        <f ca="1">'Financial Statement'!N86/'Financial Statement'!N$8</f>
        <v>5.3551183526151652E-2</v>
      </c>
    </row>
    <row r="87" spans="3:14" x14ac:dyDescent="0.25">
      <c r="E87" s="27" t="s">
        <v>118</v>
      </c>
      <c r="J87" s="35">
        <f>'Financial Statement'!J87/'Financial Statement'!J$8</f>
        <v>1.8016957720588238E-2</v>
      </c>
      <c r="K87" s="35">
        <f>'Financial Statement'!K87/'Financial Statement'!K$8</f>
        <v>1.7116109834558826E-2</v>
      </c>
      <c r="L87" s="35">
        <f>'Financial Statement'!L87/'Financial Statement'!L$8</f>
        <v>1.1638954687500003E-2</v>
      </c>
      <c r="M87" s="35">
        <f>'Financial Statement'!M87/'Financial Statement'!M$8</f>
        <v>0</v>
      </c>
      <c r="N87" s="35">
        <f>'Financial Statement'!N87/'Financial Statement'!N$8</f>
        <v>0</v>
      </c>
    </row>
    <row r="89" spans="3:14" x14ac:dyDescent="0.25">
      <c r="E89" s="28" t="s">
        <v>173</v>
      </c>
    </row>
    <row r="90" spans="3:14" x14ac:dyDescent="0.25">
      <c r="E90" s="27" t="s">
        <v>91</v>
      </c>
      <c r="J90" s="35">
        <f>'Financial Statement'!J90/'Financial Statement'!J$8</f>
        <v>-8.9411764705882357E-2</v>
      </c>
      <c r="K90" s="35">
        <f>'Financial Statement'!K90/'Financial Statement'!K$8</f>
        <v>0</v>
      </c>
      <c r="L90" s="35">
        <f>'Financial Statement'!L90/'Financial Statement'!L$8</f>
        <v>-2.1263157894736841E-2</v>
      </c>
      <c r="M90" s="35">
        <f>'Financial Statement'!M90/'Financial Statement'!M$8</f>
        <v>-2.5128205128205128E-2</v>
      </c>
      <c r="N90" s="35">
        <f>'Financial Statement'!N90/'Financial Statement'!N$8</f>
        <v>-7.4603174603174605E-3</v>
      </c>
    </row>
    <row r="91" spans="3:14" x14ac:dyDescent="0.25">
      <c r="E91" s="27" t="s">
        <v>161</v>
      </c>
      <c r="J91" s="35">
        <f>'Financial Statement'!J91/'Financial Statement'!J$8</f>
        <v>-2.5000000000000001E-2</v>
      </c>
      <c r="K91" s="35">
        <f>'Financial Statement'!K91/'Financial Statement'!K$8</f>
        <v>0</v>
      </c>
      <c r="L91" s="35">
        <f>'Financial Statement'!L91/'Financial Statement'!L$8</f>
        <v>-7.1052631578947369E-3</v>
      </c>
      <c r="M91" s="35">
        <f>'Financial Statement'!M91/'Financial Statement'!M$8</f>
        <v>-8.7606837606837608E-3</v>
      </c>
      <c r="N91" s="35">
        <f>'Financial Statement'!N91/'Financial Statement'!N$8</f>
        <v>-1.7857142857142857E-3</v>
      </c>
    </row>
    <row r="92" spans="3:14" x14ac:dyDescent="0.25">
      <c r="E92" s="27" t="s">
        <v>170</v>
      </c>
      <c r="J92" s="35">
        <f>'Financial Statement'!J92/'Financial Statement'!J$8</f>
        <v>1.1176470588235295E-2</v>
      </c>
      <c r="K92" s="35">
        <f>'Financial Statement'!K92/'Financial Statement'!K$8</f>
        <v>0</v>
      </c>
      <c r="L92" s="35">
        <f>'Financial Statement'!L92/'Financial Statement'!L$8</f>
        <v>2.6578947368421052E-3</v>
      </c>
      <c r="M92" s="35">
        <f>'Financial Statement'!M92/'Financial Statement'!M$8</f>
        <v>3.141025641025641E-3</v>
      </c>
      <c r="N92" s="35">
        <f>'Financial Statement'!N92/'Financial Statement'!N$8</f>
        <v>9.3253968253968257E-4</v>
      </c>
    </row>
    <row r="93" spans="3:14" x14ac:dyDescent="0.25">
      <c r="D93" t="s">
        <v>172</v>
      </c>
      <c r="J93" s="35">
        <f ca="1">'Financial Statement'!J93/'Financial Statement'!J$8</f>
        <v>-7.0551470588235354E-2</v>
      </c>
      <c r="K93" s="35">
        <f ca="1">'Financial Statement'!K93/'Financial Statement'!K$8</f>
        <v>4.7262254901960725E-2</v>
      </c>
      <c r="L93" s="35">
        <f ca="1">'Financial Statement'!L93/'Financial Statement'!L$8</f>
        <v>9.9595929824561349E-2</v>
      </c>
      <c r="M93" s="35">
        <f ca="1">'Financial Statement'!M93/'Financial Statement'!M$8</f>
        <v>0.1652724617663818</v>
      </c>
      <c r="N93" s="35">
        <f ca="1">'Financial Statement'!N93/'Financial Statement'!N$8</f>
        <v>0.18607145547513218</v>
      </c>
    </row>
    <row r="94" spans="3:14" x14ac:dyDescent="0.25">
      <c r="E94" s="27" t="s">
        <v>174</v>
      </c>
      <c r="J94" s="35">
        <f>'Financial Statement'!J94/'Financial Statement'!J$8</f>
        <v>0</v>
      </c>
      <c r="K94" s="35">
        <f ca="1">'Financial Statement'!K94/'Financial Statement'!K$8</f>
        <v>0</v>
      </c>
      <c r="L94" s="35">
        <f ca="1">'Financial Statement'!L94/'Financial Statement'!L$8</f>
        <v>0</v>
      </c>
      <c r="M94" s="35">
        <f ca="1">'Financial Statement'!M94/'Financial Statement'!M$8</f>
        <v>-1.8806023473884131E-2</v>
      </c>
      <c r="N94" s="35">
        <f ca="1">'Financial Statement'!N94/'Financial Statement'!N$8</f>
        <v>-4.9971266663844799E-2</v>
      </c>
    </row>
    <row r="95" spans="3:14" x14ac:dyDescent="0.25">
      <c r="D95" s="13" t="s">
        <v>195</v>
      </c>
      <c r="J95" s="36">
        <f ca="1">'Financial Statement'!J95/'Financial Statement'!J$8</f>
        <v>-7.0551470588235354E-2</v>
      </c>
      <c r="K95" s="36">
        <f ca="1">'Financial Statement'!K95/'Financial Statement'!K$8</f>
        <v>4.7262254901960725E-2</v>
      </c>
      <c r="L95" s="36">
        <f ca="1">'Financial Statement'!L95/'Financial Statement'!L$8</f>
        <v>9.9595929824561349E-2</v>
      </c>
      <c r="M95" s="36">
        <f ca="1">'Financial Statement'!M95/'Financial Statement'!M$8</f>
        <v>0.14646643829249767</v>
      </c>
      <c r="N95" s="36">
        <f ca="1">'Financial Statement'!N95/'Financial Statement'!N$8</f>
        <v>0.13610018881128738</v>
      </c>
    </row>
    <row r="98" spans="4:14" x14ac:dyDescent="0.25">
      <c r="D98" s="13" t="s">
        <v>175</v>
      </c>
    </row>
    <row r="99" spans="4:14" x14ac:dyDescent="0.25">
      <c r="E99" t="s">
        <v>176</v>
      </c>
      <c r="J99" s="35">
        <f>'Financial Statement'!J99/'Financial Statement'!J$8</f>
        <v>-0.11029411764705882</v>
      </c>
      <c r="K99" s="35">
        <f>'Financial Statement'!K99/'Financial Statement'!K$8</f>
        <v>-2.8921568627450982E-2</v>
      </c>
      <c r="L99" s="35">
        <f>'Financial Statement'!L99/'Financial Statement'!L$8</f>
        <v>0</v>
      </c>
      <c r="M99" s="35">
        <f>'Financial Statement'!M99/'Financial Statement'!M$8</f>
        <v>-5.1125264957264965E-2</v>
      </c>
      <c r="N99" s="35">
        <f>'Financial Statement'!N99/'Financial Statement'!N$8</f>
        <v>-3.9299768888888899E-2</v>
      </c>
    </row>
    <row r="100" spans="4:14" x14ac:dyDescent="0.25">
      <c r="D100" s="13" t="s">
        <v>177</v>
      </c>
      <c r="J100" s="36">
        <f>'Financial Statement'!J100/'Financial Statement'!J$8</f>
        <v>-0.11029411764705882</v>
      </c>
      <c r="K100" s="36">
        <f>'Financial Statement'!K100/'Financial Statement'!K$8</f>
        <v>-2.8921568627450982E-2</v>
      </c>
      <c r="L100" s="36">
        <f>'Financial Statement'!L100/'Financial Statement'!L$8</f>
        <v>0</v>
      </c>
      <c r="M100" s="36">
        <f>'Financial Statement'!M100/'Financial Statement'!M$8</f>
        <v>-5.1125264957264965E-2</v>
      </c>
      <c r="N100" s="36">
        <f>'Financial Statement'!N100/'Financial Statement'!N$8</f>
        <v>-3.9299768888888899E-2</v>
      </c>
    </row>
    <row r="102" spans="4:14" x14ac:dyDescent="0.25">
      <c r="D102" s="13" t="s">
        <v>178</v>
      </c>
    </row>
    <row r="103" spans="4:14" x14ac:dyDescent="0.25">
      <c r="E103" t="s">
        <v>179</v>
      </c>
      <c r="J103" s="35">
        <f>'Financial Statement'!J103/'Financial Statement'!J$8</f>
        <v>0.28026378676470587</v>
      </c>
      <c r="K103" s="35">
        <f>'Financial Statement'!K103/'Financial Statement'!K$8</f>
        <v>0</v>
      </c>
      <c r="L103" s="35">
        <f>'Financial Statement'!L103/'Financial Statement'!L$8</f>
        <v>0</v>
      </c>
      <c r="M103" s="35">
        <f>'Financial Statement'!M103/'Financial Statement'!M$8</f>
        <v>0</v>
      </c>
      <c r="N103" s="35">
        <f>'Financial Statement'!N103/'Financial Statement'!N$8</f>
        <v>0</v>
      </c>
    </row>
    <row r="104" spans="4:14" x14ac:dyDescent="0.25">
      <c r="E104" t="s">
        <v>180</v>
      </c>
      <c r="J104" s="35">
        <f>'Financial Statement'!J104/'Financial Statement'!J$8</f>
        <v>0</v>
      </c>
      <c r="K104" s="35">
        <f ca="1">'Financial Statement'!K104/'Financial Statement'!K$8</f>
        <v>0</v>
      </c>
      <c r="L104" s="35">
        <f ca="1">'Financial Statement'!L104/'Financial Statement'!L$8</f>
        <v>0</v>
      </c>
      <c r="M104" s="35">
        <f ca="1">'Financial Statement'!M104/'Financial Statement'!M$8</f>
        <v>-7.9925599764007552E-3</v>
      </c>
      <c r="N104" s="35">
        <f ca="1">'Financial Statement'!N104/'Financial Statement'!N$8</f>
        <v>-2.1237788332134043E-2</v>
      </c>
    </row>
    <row r="105" spans="4:14" x14ac:dyDescent="0.25">
      <c r="E105" t="s">
        <v>181</v>
      </c>
      <c r="J105" s="35">
        <f>'Financial Statement'!J105/'Financial Statement'!J$8</f>
        <v>0.12011305147058826</v>
      </c>
      <c r="K105" s="35">
        <f>'Financial Statement'!K105/'Financial Statement'!K$8</f>
        <v>0</v>
      </c>
      <c r="L105" s="35">
        <f>'Financial Statement'!L105/'Financial Statement'!L$8</f>
        <v>0</v>
      </c>
      <c r="M105" s="35">
        <f>'Financial Statement'!M105/'Financial Statement'!M$8</f>
        <v>0</v>
      </c>
      <c r="N105" s="35">
        <f>'Financial Statement'!N105/'Financial Statement'!N$8</f>
        <v>0</v>
      </c>
    </row>
    <row r="106" spans="4:14" x14ac:dyDescent="0.25">
      <c r="E106" t="s">
        <v>182</v>
      </c>
      <c r="J106" s="35">
        <f>'Financial Statement'!J106/'Financial Statement'!J$8</f>
        <v>-2.4022610294117654E-2</v>
      </c>
      <c r="K106" s="35">
        <f>'Financial Statement'!K106/'Financial Statement'!K$8</f>
        <v>-2.282147977941177E-2</v>
      </c>
      <c r="L106" s="35">
        <f>'Financial Statement'!L106/'Financial Statement'!L$8</f>
        <v>-1.5518606250000004E-2</v>
      </c>
      <c r="M106" s="35">
        <f>'Financial Statement'!M106/'Financial Statement'!M$8</f>
        <v>0</v>
      </c>
      <c r="N106" s="35">
        <f>'Financial Statement'!N106/'Financial Statement'!N$8</f>
        <v>0</v>
      </c>
    </row>
    <row r="107" spans="4:14" x14ac:dyDescent="0.25">
      <c r="E107" t="s">
        <v>183</v>
      </c>
      <c r="J107" s="35">
        <f>'Financial Statement'!J107/'Financial Statement'!J$8</f>
        <v>0</v>
      </c>
      <c r="K107" s="35">
        <f>'Financial Statement'!K107/'Financial Statement'!K$8</f>
        <v>0</v>
      </c>
      <c r="L107" s="35">
        <f>'Financial Statement'!L107/'Financial Statement'!L$8</f>
        <v>-7.3713379687500011E-2</v>
      </c>
      <c r="M107" s="35">
        <f>'Financial Statement'!M107/'Financial Statement'!M$8</f>
        <v>0</v>
      </c>
      <c r="N107" s="35">
        <f>'Financial Statement'!N107/'Financial Statement'!N$8</f>
        <v>0</v>
      </c>
    </row>
    <row r="108" spans="4:14" x14ac:dyDescent="0.25">
      <c r="D108" s="13" t="s">
        <v>185</v>
      </c>
      <c r="J108" s="36">
        <f>'Financial Statement'!J108/'Financial Statement'!J$8</f>
        <v>0.37635422794117646</v>
      </c>
      <c r="K108" s="36">
        <f ca="1">'Financial Statement'!K108/'Financial Statement'!K$8</f>
        <v>-2.282147977941177E-2</v>
      </c>
      <c r="L108" s="36">
        <f ca="1">'Financial Statement'!L108/'Financial Statement'!L$8</f>
        <v>-8.9231985937500008E-2</v>
      </c>
      <c r="M108" s="36">
        <f ca="1">'Financial Statement'!M108/'Financial Statement'!M$8</f>
        <v>-7.9925599764007552E-3</v>
      </c>
      <c r="N108" s="36">
        <f ca="1">'Financial Statement'!N108/'Financial Statement'!N$8</f>
        <v>-2.1237788332134043E-2</v>
      </c>
    </row>
    <row r="110" spans="4:14" x14ac:dyDescent="0.25">
      <c r="D110" s="13" t="s">
        <v>186</v>
      </c>
      <c r="J110" s="35">
        <f ca="1">'Financial Statement'!J110/'Financial Statement'!J$8</f>
        <v>0.19550863970588231</v>
      </c>
      <c r="K110" s="35">
        <f ca="1">'Financial Statement'!K110/'Financial Statement'!K$8</f>
        <v>-4.4807935049020232E-3</v>
      </c>
      <c r="L110" s="35">
        <f ca="1">'Financial Statement'!L110/'Financial Statement'!L$8</f>
        <v>1.0363943887061342E-2</v>
      </c>
      <c r="M110" s="35">
        <f ca="1">'Financial Statement'!M110/'Financial Statement'!M$8</f>
        <v>8.7348613358831942E-2</v>
      </c>
      <c r="N110" s="35">
        <f ca="1">'Financial Statement'!N110/'Financial Statement'!N$8</f>
        <v>7.5562631590264426E-2</v>
      </c>
    </row>
    <row r="111" spans="4:14" x14ac:dyDescent="0.25">
      <c r="D111" s="13" t="s">
        <v>187</v>
      </c>
      <c r="J111" s="35">
        <f>'Financial Statement'!J111/'Financial Statement'!J$8</f>
        <v>0</v>
      </c>
      <c r="K111" s="35">
        <f ca="1">'Financial Statement'!K111/'Financial Statement'!K$8</f>
        <v>0.19550863970588231</v>
      </c>
      <c r="L111" s="35">
        <f ca="1">'Financial Statement'!L111/'Financial Statement'!L$8</f>
        <v>0.13673572149122798</v>
      </c>
      <c r="M111" s="35">
        <f ca="1">'Financial Statement'!M111/'Financial Statement'!M$8</f>
        <v>9.5551919391025544E-2</v>
      </c>
      <c r="N111" s="35">
        <f ca="1">'Financial Statement'!N111/'Financial Statement'!N$8</f>
        <v>0.16983620898201052</v>
      </c>
    </row>
    <row r="112" spans="4:14" ht="13" thickBot="1" x14ac:dyDescent="0.3">
      <c r="D112" s="13" t="s">
        <v>188</v>
      </c>
      <c r="J112" s="37">
        <f ca="1">'Financial Statement'!J112/'Financial Statement'!J$8</f>
        <v>0.19550863970588231</v>
      </c>
      <c r="K112" s="37">
        <f ca="1">'Financial Statement'!K112/'Financial Statement'!K$8</f>
        <v>0.19102784620098029</v>
      </c>
      <c r="L112" s="37">
        <f ca="1">'Financial Statement'!L112/'Financial Statement'!L$8</f>
        <v>0.14709966537828933</v>
      </c>
      <c r="M112" s="37">
        <f ca="1">'Financial Statement'!M112/'Financial Statement'!M$8</f>
        <v>0.18290053274985749</v>
      </c>
      <c r="N112" s="37">
        <f ca="1">'Financial Statement'!N112/'Financial Statement'!N$8</f>
        <v>0.24539884057227496</v>
      </c>
    </row>
    <row r="113" spans="1:14" ht="13" thickTop="1" x14ac:dyDescent="0.25"/>
    <row r="115" spans="1:14" s="9" customFormat="1" x14ac:dyDescent="0.25">
      <c r="A115" s="9" t="s">
        <v>9</v>
      </c>
      <c r="B115" s="9" t="s">
        <v>218</v>
      </c>
    </row>
    <row r="117" spans="1:14" x14ac:dyDescent="0.25">
      <c r="C117" s="13" t="s">
        <v>221</v>
      </c>
    </row>
    <row r="118" spans="1:14" x14ac:dyDescent="0.25">
      <c r="E118" t="s">
        <v>219</v>
      </c>
      <c r="J118" s="38">
        <f ca="1">'Financial Statement'!J49/'Financial Statement'!J70</f>
        <v>27.729720394736837</v>
      </c>
      <c r="K118" s="38">
        <f ca="1">'Financial Statement'!K49/'Financial Statement'!K70</f>
        <v>27.32880729166666</v>
      </c>
      <c r="L118" s="38">
        <f ca="1">'Financial Statement'!L49/'Financial Statement'!L70</f>
        <v>4.95752134278111</v>
      </c>
      <c r="M118" s="38">
        <f ca="1">'Financial Statement'!M49/'Financial Statement'!M70</f>
        <v>3.3246198207579001</v>
      </c>
      <c r="N118" s="38">
        <f ca="1">'Financial Statement'!N49/'Financial Statement'!N70</f>
        <v>4.0723909787817103</v>
      </c>
    </row>
    <row r="120" spans="1:14" x14ac:dyDescent="0.25">
      <c r="E120" t="s">
        <v>220</v>
      </c>
      <c r="J120" s="38">
        <f ca="1">('Financial Statement'!J49-'Financial Statement'!J46)/'Financial Statement'!J70</f>
        <v>19.729720394736837</v>
      </c>
      <c r="K120" s="38">
        <f ca="1">('Financial Statement'!K49-'Financial Statement'!K46)/'Financial Statement'!K70</f>
        <v>19.32880729166666</v>
      </c>
      <c r="L120" s="38">
        <f ca="1">('Financial Statement'!L49-'Financial Statement'!L46)/'Financial Statement'!L70</f>
        <v>3.3151165865679171</v>
      </c>
      <c r="M120" s="38">
        <f ca="1">('Financial Statement'!M49-'Financial Statement'!M46)/'Financial Statement'!M70</f>
        <v>2.3965264579715502</v>
      </c>
      <c r="N120" s="38">
        <f ca="1">('Financial Statement'!N49-'Financial Statement'!N46)/'Financial Statement'!N70</f>
        <v>3.1228134538897732</v>
      </c>
    </row>
    <row r="122" spans="1:14" x14ac:dyDescent="0.25">
      <c r="C122" s="13" t="s">
        <v>222</v>
      </c>
    </row>
    <row r="123" spans="1:14" x14ac:dyDescent="0.25">
      <c r="E123" t="s">
        <v>223</v>
      </c>
      <c r="J123" s="38">
        <f ca="1">IFERROR('Financial Statement'!J19/-'Financial Statement'!J21,0)</f>
        <v>0.41684131887141879</v>
      </c>
      <c r="K123" s="38">
        <f ca="1">IFERROR('Financial Statement'!K19/-'Financial Statement'!K21,0)</f>
        <v>0.8680857845388934</v>
      </c>
      <c r="L123" s="38">
        <f ca="1">IFERROR('Financial Statement'!L19/-'Financial Statement'!L21,0)</f>
        <v>8.7732974685065646</v>
      </c>
      <c r="M123" s="38">
        <f ca="1">IFERROR('Financial Statement'!M19/-'Financial Statement'!M21,0)</f>
        <v>0</v>
      </c>
      <c r="N123" s="38">
        <f ca="1">IFERROR('Financial Statement'!N19/-'Financial Statement'!N21,0)</f>
        <v>0</v>
      </c>
    </row>
    <row r="125" spans="1:14" x14ac:dyDescent="0.25">
      <c r="C125" s="13" t="s">
        <v>224</v>
      </c>
    </row>
    <row r="126" spans="1:14" x14ac:dyDescent="0.25">
      <c r="E126" t="s">
        <v>225</v>
      </c>
      <c r="J126" s="35">
        <f ca="1">'Financial Statement'!J72/'Financial Statement'!J51</f>
        <v>0.31714150614106074</v>
      </c>
      <c r="K126" s="35">
        <f ca="1">'Financial Statement'!K72/'Financial Statement'!K51</f>
        <v>0.30892635988399209</v>
      </c>
      <c r="L126" s="35">
        <f ca="1">'Financial Statement'!L72/'Financial Statement'!L51</f>
        <v>0.17741930945373283</v>
      </c>
      <c r="M126" s="35">
        <f ca="1">'Financial Statement'!M72/'Financial Statement'!M51</f>
        <v>0.25928062825873965</v>
      </c>
      <c r="N126" s="35">
        <f ca="1">'Financial Statement'!N72/'Financial Statement'!N51</f>
        <v>0.21235366611032369</v>
      </c>
    </row>
    <row r="128" spans="1:14" x14ac:dyDescent="0.25">
      <c r="C128" s="13" t="s">
        <v>226</v>
      </c>
    </row>
    <row r="129" spans="5:14" x14ac:dyDescent="0.25">
      <c r="E129" t="s">
        <v>227</v>
      </c>
      <c r="J129" s="35">
        <f>'Financial Statement'!J12/'Financial Statement'!J8</f>
        <v>0.55294117647058827</v>
      </c>
      <c r="K129" s="35">
        <f>'Financial Statement'!K12/'Financial Statement'!K8</f>
        <v>0.55294117647058827</v>
      </c>
      <c r="L129" s="35">
        <f>'Financial Statement'!L12/'Financial Statement'!L8</f>
        <v>0.5736842105263158</v>
      </c>
      <c r="M129" s="35">
        <f>'Financial Statement'!M12/'Financial Statement'!M8</f>
        <v>0.59743589743589742</v>
      </c>
      <c r="N129" s="35">
        <f>'Financial Statement'!N12/'Financial Statement'!N8</f>
        <v>0.58888888888888891</v>
      </c>
    </row>
    <row r="131" spans="5:14" x14ac:dyDescent="0.25">
      <c r="E131" t="s">
        <v>228</v>
      </c>
      <c r="J131" s="35">
        <f ca="1">'Financial Statement'!J27/'Financial Statement'!J8</f>
        <v>-1.0506745302287646E-2</v>
      </c>
      <c r="K131" s="35">
        <f ca="1">'Financial Statement'!K27/'Financial Statement'!K8</f>
        <v>-2.257858200571959E-3</v>
      </c>
      <c r="L131" s="35">
        <f ca="1">'Financial Statement'!L27/'Financial Statement'!L8</f>
        <v>6.1521678765716341E-2</v>
      </c>
      <c r="M131" s="35">
        <f ca="1">'Financial Statement'!M27/'Financial Statement'!M8</f>
        <v>0.11435732178841405</v>
      </c>
      <c r="N131" s="35">
        <f ca="1">'Financial Statement'!N27/'Financial Statement'!N8</f>
        <v>0.11379626499307224</v>
      </c>
    </row>
    <row r="133" spans="5:14" x14ac:dyDescent="0.25">
      <c r="E133" t="s">
        <v>229</v>
      </c>
      <c r="J133" s="35">
        <f ca="1">'Financial Statement'!J19/'Financial Statement'!J51</f>
        <v>1.9011226964527339E-2</v>
      </c>
      <c r="K133" s="35">
        <f ca="1">'Financial Statement'!K19/'Financial Statement'!K51</f>
        <v>3.83857098823654E-2</v>
      </c>
      <c r="L133" s="35">
        <f ca="1">'Financial Statement'!L19/'Financial Statement'!L51</f>
        <v>0.34897675280694251</v>
      </c>
      <c r="M133" s="35">
        <f ca="1">'Financial Statement'!M19/'Financial Statement'!M51</f>
        <v>0.50263388045063206</v>
      </c>
      <c r="N133" s="35">
        <f ca="1">'Financial Statement'!N19/'Financial Statement'!N51</f>
        <v>0.41041202308547681</v>
      </c>
    </row>
    <row r="135" spans="5:14" x14ac:dyDescent="0.25">
      <c r="E135" t="s">
        <v>230</v>
      </c>
      <c r="J135" s="35">
        <f ca="1">'Financial Statement'!J27/'Financial Statement'!J56</f>
        <v>-3.7488772358265941E-2</v>
      </c>
      <c r="K135" s="35">
        <f ca="1">'Financial Statement'!K27/'Financial Statement'!K56</f>
        <v>-8.0561895870890129E-3</v>
      </c>
      <c r="L135" s="35">
        <f ca="1">'Financial Statement'!L27/'Financial Statement'!L56</f>
        <v>0.30667324219858799</v>
      </c>
      <c r="M135" s="35">
        <f ca="1">'Financial Statement'!M27/'Financial Statement'!M56</f>
        <v>0.87757441284270954</v>
      </c>
      <c r="N135" s="35">
        <f ca="1">'Financial Statement'!N27/'Financial Statement'!N56</f>
        <v>0.9404434103327749</v>
      </c>
    </row>
  </sheetData>
  <hyperlinks>
    <hyperlink ref="L1" location="Guide!A1" display="Menu" xr:uid="{10BB5923-C84C-4664-B48C-2E7C50C624D7}"/>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Drop Down 1">
              <controlPr defaultSize="0" autoLine="0" autoPict="0">
                <anchor moveWithCells="1">
                  <from>
                    <xdr:col>4</xdr:col>
                    <xdr:colOff>2038350</xdr:colOff>
                    <xdr:row>3</xdr:row>
                    <xdr:rowOff>69850</xdr:rowOff>
                  </from>
                  <to>
                    <xdr:col>6</xdr:col>
                    <xdr:colOff>152400</xdr:colOff>
                    <xdr:row>4</xdr:row>
                    <xdr:rowOff>120650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A7EF3-59D8-482F-8C16-7D99BF796405}">
  <sheetPr>
    <tabColor theme="7" tint="-0.249977111117893"/>
  </sheetPr>
  <dimension ref="A1:O28"/>
  <sheetViews>
    <sheetView workbookViewId="0">
      <selection activeCell="L1" sqref="L1"/>
    </sheetView>
  </sheetViews>
  <sheetFormatPr defaultRowHeight="12.5" x14ac:dyDescent="0.25"/>
  <cols>
    <col min="1" max="4" width="3.36328125" customWidth="1"/>
    <col min="5" max="5" width="5.90625" customWidth="1"/>
    <col min="6" max="6" width="7.7265625" bestFit="1" customWidth="1"/>
    <col min="7" max="8" width="12.453125" bestFit="1" customWidth="1"/>
    <col min="9" max="9" width="13.6328125" bestFit="1" customWidth="1"/>
    <col min="10" max="10" width="25.90625" bestFit="1" customWidth="1"/>
    <col min="11" max="11" width="11.453125" bestFit="1" customWidth="1"/>
    <col min="12" max="12" width="15.81640625" bestFit="1" customWidth="1"/>
    <col min="13" max="13" width="20.6328125" bestFit="1" customWidth="1"/>
    <col min="14" max="14" width="18.7265625" bestFit="1" customWidth="1"/>
    <col min="15" max="15" width="7" bestFit="1" customWidth="1"/>
  </cols>
  <sheetData>
    <row r="1" spans="1:15" s="1" customFormat="1" ht="14.5" x14ac:dyDescent="0.35">
      <c r="A1" s="2" t="s">
        <v>6</v>
      </c>
      <c r="L1" s="53" t="s">
        <v>266</v>
      </c>
    </row>
    <row r="2" spans="1:15" s="2" customFormat="1" ht="13.5" x14ac:dyDescent="0.25">
      <c r="A2" s="2" t="s">
        <v>0</v>
      </c>
    </row>
    <row r="3" spans="1:15" s="2" customFormat="1" ht="13.5" x14ac:dyDescent="0.25">
      <c r="A3" s="2" t="s">
        <v>232</v>
      </c>
    </row>
    <row r="4" spans="1:15" s="2" customFormat="1" ht="13.5" x14ac:dyDescent="0.25"/>
    <row r="5" spans="1:15" s="2" customFormat="1" ht="13.5" x14ac:dyDescent="0.25">
      <c r="A5" s="2" t="s">
        <v>1</v>
      </c>
    </row>
    <row r="8" spans="1:15" x14ac:dyDescent="0.25">
      <c r="F8" t="s">
        <v>233</v>
      </c>
      <c r="G8" t="s">
        <v>90</v>
      </c>
      <c r="H8" t="s">
        <v>234</v>
      </c>
      <c r="I8" t="s">
        <v>235</v>
      </c>
      <c r="J8" t="s">
        <v>236</v>
      </c>
      <c r="K8" t="s">
        <v>148</v>
      </c>
      <c r="L8" t="s">
        <v>240</v>
      </c>
      <c r="M8" t="s">
        <v>241</v>
      </c>
      <c r="N8" t="s">
        <v>228</v>
      </c>
      <c r="O8" t="s">
        <v>237</v>
      </c>
    </row>
    <row r="9" spans="1:15" ht="13.5" x14ac:dyDescent="0.25">
      <c r="E9">
        <v>-1</v>
      </c>
      <c r="F9" s="39">
        <v>2024</v>
      </c>
      <c r="G9" s="17">
        <f>'Financial Statement'!J8</f>
        <v>163200000</v>
      </c>
      <c r="H9" s="17">
        <f>('Financial Statement'!J10)*-1</f>
        <v>72960000</v>
      </c>
      <c r="I9" s="17">
        <f>'Financial Statement'!J12</f>
        <v>90240000</v>
      </c>
      <c r="J9" s="17"/>
      <c r="K9" s="17"/>
      <c r="L9" s="17">
        <f ca="1">'Financial Statement'!J27</f>
        <v>-1714700.8333333437</v>
      </c>
      <c r="M9" s="33">
        <f>Analysis!J129</f>
        <v>0.55294117647058827</v>
      </c>
      <c r="N9" s="33">
        <f ca="1">Analysis!J131</f>
        <v>-1.0506745302287646E-2</v>
      </c>
      <c r="O9" s="33">
        <f ca="1">Analysis!J135</f>
        <v>-3.7488772358265941E-2</v>
      </c>
    </row>
    <row r="10" spans="1:15" ht="13.5" x14ac:dyDescent="0.25">
      <c r="F10" s="39">
        <v>2025</v>
      </c>
      <c r="G10" s="17">
        <f>'Financial Statement'!K8</f>
        <v>163200000</v>
      </c>
      <c r="H10" s="17">
        <f>('Financial Statement'!K10)*-1</f>
        <v>72960000</v>
      </c>
      <c r="I10" s="17">
        <f>'Financial Statement'!K12</f>
        <v>90240000</v>
      </c>
      <c r="J10" s="17"/>
      <c r="K10" s="17"/>
      <c r="L10" s="17">
        <f ca="1">'Financial Statement'!K27</f>
        <v>-368482.45833334373</v>
      </c>
      <c r="M10" s="33">
        <f>Analysis!K129</f>
        <v>0.55294117647058827</v>
      </c>
      <c r="N10" s="33">
        <f ca="1">Analysis!K131</f>
        <v>-2.257858200571959E-3</v>
      </c>
      <c r="O10" s="33">
        <f ca="1">Analysis!K135</f>
        <v>-8.0561895870890129E-3</v>
      </c>
    </row>
    <row r="11" spans="1:15" ht="13.5" x14ac:dyDescent="0.25">
      <c r="F11" s="39">
        <v>2026</v>
      </c>
      <c r="G11" s="17">
        <f>'Financial Statement'!L8</f>
        <v>228000000</v>
      </c>
      <c r="H11" s="17">
        <f>('Financial Statement'!L10)*-1</f>
        <v>97200000</v>
      </c>
      <c r="I11" s="17">
        <f>'Financial Statement'!L12</f>
        <v>130800000</v>
      </c>
      <c r="J11" s="17"/>
      <c r="K11" s="17"/>
      <c r="L11" s="17">
        <f ca="1">'Financial Statement'!L27</f>
        <v>14026942.758583326</v>
      </c>
      <c r="M11" s="33">
        <f>Analysis!L129</f>
        <v>0.5736842105263158</v>
      </c>
      <c r="N11" s="33">
        <f ca="1">Analysis!L131</f>
        <v>6.1521678765716341E-2</v>
      </c>
      <c r="O11" s="33">
        <f ca="1">Analysis!L135</f>
        <v>0.30667324219858799</v>
      </c>
    </row>
    <row r="12" spans="1:15" ht="13.5" x14ac:dyDescent="0.25">
      <c r="F12" s="39">
        <v>2027</v>
      </c>
      <c r="G12" s="17">
        <f>'Financial Statement'!M8</f>
        <v>351000000</v>
      </c>
      <c r="H12" s="17">
        <f>('Financial Statement'!M10)*-1</f>
        <v>141300000</v>
      </c>
      <c r="I12" s="17">
        <f>'Financial Statement'!M12</f>
        <v>209700000</v>
      </c>
      <c r="J12" s="17"/>
      <c r="K12" s="17"/>
      <c r="L12" s="17">
        <f ca="1">'Financial Statement'!M27</f>
        <v>40139419.947733335</v>
      </c>
      <c r="M12" s="33">
        <f>Analysis!M129</f>
        <v>0.59743589743589742</v>
      </c>
      <c r="N12" s="33">
        <f ca="1">Analysis!M131</f>
        <v>0.11435732178841405</v>
      </c>
      <c r="O12" s="33">
        <f ca="1">Analysis!M135</f>
        <v>0.87757441284270954</v>
      </c>
    </row>
    <row r="13" spans="1:15" ht="13.5" x14ac:dyDescent="0.25">
      <c r="F13" s="39">
        <v>2028</v>
      </c>
      <c r="G13" s="17">
        <f>'Financial Statement'!N8</f>
        <v>378000000</v>
      </c>
      <c r="H13" s="17">
        <f>('Financial Statement'!N10)*-1</f>
        <v>155400000</v>
      </c>
      <c r="I13" s="17">
        <f>'Financial Statement'!N12</f>
        <v>222600000</v>
      </c>
      <c r="J13" s="17"/>
      <c r="K13" s="17"/>
      <c r="L13" s="17">
        <f ca="1">'Financial Statement'!N27</f>
        <v>43014988.167381309</v>
      </c>
      <c r="M13" s="33">
        <f>Analysis!N129</f>
        <v>0.58888888888888891</v>
      </c>
      <c r="N13" s="33">
        <f ca="1">Analysis!N131</f>
        <v>0.11379626499307224</v>
      </c>
      <c r="O13" s="33">
        <f ca="1">Analysis!N135</f>
        <v>0.9404434103327749</v>
      </c>
    </row>
    <row r="14" spans="1:15" ht="13.5" x14ac:dyDescent="0.25">
      <c r="F14" s="39">
        <v>2024</v>
      </c>
      <c r="G14" s="17"/>
      <c r="H14" s="17"/>
      <c r="I14" s="17"/>
      <c r="J14" s="17" t="s">
        <v>238</v>
      </c>
      <c r="K14" s="17">
        <f>('Financial Statement'!J15)*-1</f>
        <v>42366000</v>
      </c>
      <c r="L14" s="17"/>
    </row>
    <row r="15" spans="1:15" ht="13.5" x14ac:dyDescent="0.25">
      <c r="F15" s="39">
        <v>2024</v>
      </c>
      <c r="G15" s="17"/>
      <c r="H15" s="17"/>
      <c r="I15" s="17"/>
      <c r="J15" s="17" t="s">
        <v>69</v>
      </c>
      <c r="K15" s="17">
        <f ca="1">('Financial Statement'!J16)*-1</f>
        <v>4108333.3333333335</v>
      </c>
      <c r="L15" s="17"/>
    </row>
    <row r="16" spans="1:15" ht="13.5" x14ac:dyDescent="0.25">
      <c r="F16" s="39">
        <v>2024</v>
      </c>
      <c r="G16" s="17"/>
      <c r="H16" s="17"/>
      <c r="I16" s="17"/>
      <c r="J16" s="17" t="s">
        <v>239</v>
      </c>
      <c r="K16" s="17">
        <f>('Financial Statement'!J17)*-1</f>
        <v>42540000</v>
      </c>
      <c r="L16" s="17"/>
    </row>
    <row r="17" spans="6:12" ht="13.5" x14ac:dyDescent="0.25">
      <c r="F17" s="39">
        <v>2025</v>
      </c>
      <c r="G17" s="17"/>
      <c r="H17" s="17"/>
      <c r="I17" s="17"/>
      <c r="J17" s="17" t="s">
        <v>238</v>
      </c>
      <c r="K17" s="17">
        <f>('Financial Statement'!K15)*-1</f>
        <v>45126000</v>
      </c>
      <c r="L17" s="17"/>
    </row>
    <row r="18" spans="6:12" ht="13.5" x14ac:dyDescent="0.25">
      <c r="F18" s="39">
        <v>2025</v>
      </c>
      <c r="G18" s="17"/>
      <c r="H18" s="17"/>
      <c r="I18" s="17"/>
      <c r="J18" s="17" t="s">
        <v>69</v>
      </c>
      <c r="K18" s="17">
        <f ca="1">('Financial Statement'!K16)*-1</f>
        <v>5288333.333333334</v>
      </c>
      <c r="L18" s="17"/>
    </row>
    <row r="19" spans="6:12" ht="13.5" x14ac:dyDescent="0.25">
      <c r="F19" s="39">
        <v>2025</v>
      </c>
      <c r="G19" s="17"/>
      <c r="H19" s="17"/>
      <c r="I19" s="17"/>
      <c r="J19" s="17" t="s">
        <v>239</v>
      </c>
      <c r="K19" s="17">
        <f>('Financial Statement'!K17)*-1</f>
        <v>37400800</v>
      </c>
      <c r="L19" s="17"/>
    </row>
    <row r="20" spans="6:12" ht="13.5" x14ac:dyDescent="0.25">
      <c r="F20" s="39">
        <v>2026</v>
      </c>
      <c r="J20" s="17" t="s">
        <v>238</v>
      </c>
      <c r="K20" s="17">
        <f>('Financial Statement'!L15)*-1</f>
        <v>53682000</v>
      </c>
    </row>
    <row r="21" spans="6:12" ht="13.5" x14ac:dyDescent="0.25">
      <c r="F21" s="39">
        <v>2026</v>
      </c>
      <c r="J21" s="17" t="s">
        <v>69</v>
      </c>
      <c r="K21" s="17">
        <f ca="1">('Financial Statement'!L16)*-1</f>
        <v>5288333.333333334</v>
      </c>
    </row>
    <row r="22" spans="6:12" ht="13.5" x14ac:dyDescent="0.25">
      <c r="F22" s="39">
        <v>2026</v>
      </c>
      <c r="J22" s="17" t="s">
        <v>239</v>
      </c>
      <c r="K22" s="17">
        <f>('Financial Statement'!L17)*-1</f>
        <v>48548128</v>
      </c>
    </row>
    <row r="23" spans="6:12" ht="13.5" x14ac:dyDescent="0.25">
      <c r="F23" s="39">
        <v>2027</v>
      </c>
      <c r="J23" s="17" t="s">
        <v>238</v>
      </c>
      <c r="K23" s="17">
        <f>('Financial Statement'!M15)*-1</f>
        <v>72450000</v>
      </c>
    </row>
    <row r="24" spans="6:12" ht="13.5" x14ac:dyDescent="0.25">
      <c r="F24" s="39">
        <v>2027</v>
      </c>
      <c r="J24" s="17" t="s">
        <v>69</v>
      </c>
      <c r="K24" s="17">
        <f ca="1">('Financial Statement'!M16)*-1</f>
        <v>9774575.3333333321</v>
      </c>
    </row>
    <row r="25" spans="6:12" ht="13.5" x14ac:dyDescent="0.25">
      <c r="F25" s="39">
        <v>2027</v>
      </c>
      <c r="J25" s="17" t="s">
        <v>239</v>
      </c>
      <c r="K25" s="17">
        <f>('Financial Statement'!M17)*-1</f>
        <v>68446865.920000002</v>
      </c>
    </row>
    <row r="26" spans="6:12" ht="13.5" x14ac:dyDescent="0.25">
      <c r="F26" s="39">
        <v>2028</v>
      </c>
      <c r="J26" s="17" t="s">
        <v>238</v>
      </c>
      <c r="K26" s="17">
        <f>('Financial Statement'!N15)*-1</f>
        <v>75210000</v>
      </c>
    </row>
    <row r="27" spans="6:12" ht="13.5" x14ac:dyDescent="0.25">
      <c r="F27" s="39">
        <v>2028</v>
      </c>
      <c r="J27" s="17" t="s">
        <v>69</v>
      </c>
      <c r="K27" s="17">
        <f ca="1">('Financial Statement'!N16)*-1</f>
        <v>10220174.629333332</v>
      </c>
    </row>
    <row r="28" spans="6:12" ht="13.5" x14ac:dyDescent="0.25">
      <c r="F28" s="39">
        <v>2028</v>
      </c>
      <c r="J28" s="17" t="s">
        <v>239</v>
      </c>
      <c r="K28" s="17">
        <f>('Financial Statement'!N17)*-1</f>
        <v>73912489.83040002</v>
      </c>
    </row>
  </sheetData>
  <hyperlinks>
    <hyperlink ref="L1" location="Guide!A1" display="Menu" xr:uid="{87547F6C-7889-4136-8F93-B492C8D1A311}"/>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Drop Down 1">
              <controlPr defaultSize="0" autoLine="0" autoPict="0">
                <anchor moveWithCells="1">
                  <from>
                    <xdr:col>4</xdr:col>
                    <xdr:colOff>2038350</xdr:colOff>
                    <xdr:row>3</xdr:row>
                    <xdr:rowOff>69850</xdr:rowOff>
                  </from>
                  <to>
                    <xdr:col>6</xdr:col>
                    <xdr:colOff>736600</xdr:colOff>
                    <xdr:row>4</xdr:row>
                    <xdr:rowOff>120650</xdr:rowOff>
                  </to>
                </anchor>
              </controlPr>
            </control>
          </mc:Choice>
        </mc:AlternateContent>
      </controls>
    </mc:Choice>
  </mc:AlternateContent>
  <tableParts count="1">
    <tablePart r:id="rId4"/>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72D1-9FD0-4FD9-964E-FB3F906EDDF7}">
  <sheetPr>
    <tabColor theme="7" tint="-0.249977111117893"/>
  </sheetPr>
  <dimension ref="A1:I48"/>
  <sheetViews>
    <sheetView zoomScale="75" zoomScaleNormal="75" workbookViewId="0">
      <selection activeCell="G1" sqref="G1"/>
    </sheetView>
  </sheetViews>
  <sheetFormatPr defaultRowHeight="12.5" x14ac:dyDescent="0.25"/>
  <cols>
    <col min="2" max="2" width="13.81640625" bestFit="1" customWidth="1"/>
    <col min="3" max="3" width="24.1796875" bestFit="1" customWidth="1"/>
    <col min="4" max="4" width="22.453125" bestFit="1" customWidth="1"/>
    <col min="5" max="5" width="10.90625" bestFit="1" customWidth="1"/>
    <col min="6" max="6" width="12.36328125" bestFit="1" customWidth="1"/>
    <col min="7" max="7" width="16.54296875" bestFit="1" customWidth="1"/>
    <col min="8" max="8" width="14.6328125" bestFit="1" customWidth="1"/>
    <col min="9" max="9" width="13.54296875" bestFit="1" customWidth="1"/>
  </cols>
  <sheetData>
    <row r="1" spans="1:7" s="1" customFormat="1" ht="14.5" x14ac:dyDescent="0.35">
      <c r="A1" s="2" t="s">
        <v>6</v>
      </c>
      <c r="G1" s="53" t="s">
        <v>266</v>
      </c>
    </row>
    <row r="2" spans="1:7" s="2" customFormat="1" ht="13.5" x14ac:dyDescent="0.25">
      <c r="A2" s="2" t="s">
        <v>0</v>
      </c>
    </row>
    <row r="3" spans="1:7" s="2" customFormat="1" ht="13.5" x14ac:dyDescent="0.25">
      <c r="A3" s="2" t="s">
        <v>242</v>
      </c>
    </row>
    <row r="4" spans="1:7" s="2" customFormat="1" ht="13.5" x14ac:dyDescent="0.25"/>
    <row r="5" spans="1:7" s="2" customFormat="1" ht="13.5" x14ac:dyDescent="0.25">
      <c r="A5" s="2" t="s">
        <v>1</v>
      </c>
    </row>
    <row r="7" spans="1:7" x14ac:dyDescent="0.25">
      <c r="B7" s="40" t="s">
        <v>243</v>
      </c>
      <c r="C7" s="41" t="s">
        <v>245</v>
      </c>
      <c r="D7" s="41" t="s">
        <v>247</v>
      </c>
      <c r="E7" s="41" t="s">
        <v>246</v>
      </c>
    </row>
    <row r="8" spans="1:7" x14ac:dyDescent="0.25">
      <c r="B8" s="28">
        <v>2024</v>
      </c>
      <c r="C8" s="41">
        <v>163200000</v>
      </c>
      <c r="D8" s="41">
        <v>90240000</v>
      </c>
      <c r="E8" s="41">
        <v>72960000</v>
      </c>
    </row>
    <row r="9" spans="1:7" x14ac:dyDescent="0.25">
      <c r="B9" s="28">
        <v>2025</v>
      </c>
      <c r="C9" s="41">
        <v>163200000</v>
      </c>
      <c r="D9" s="41">
        <v>90240000</v>
      </c>
      <c r="E9" s="41">
        <v>72960000</v>
      </c>
    </row>
    <row r="10" spans="1:7" x14ac:dyDescent="0.25">
      <c r="B10" s="28">
        <v>2026</v>
      </c>
      <c r="C10" s="41">
        <v>228000000</v>
      </c>
      <c r="D10" s="41">
        <v>130800000</v>
      </c>
      <c r="E10" s="41">
        <v>97200000</v>
      </c>
    </row>
    <row r="11" spans="1:7" x14ac:dyDescent="0.25">
      <c r="B11" s="28">
        <v>2027</v>
      </c>
      <c r="C11" s="41">
        <v>351000000</v>
      </c>
      <c r="D11" s="41">
        <v>209700000</v>
      </c>
      <c r="E11" s="41">
        <v>141300000</v>
      </c>
    </row>
    <row r="12" spans="1:7" x14ac:dyDescent="0.25">
      <c r="B12" s="28">
        <v>2028</v>
      </c>
      <c r="C12" s="41">
        <v>378000000</v>
      </c>
      <c r="D12" s="41">
        <v>222600000</v>
      </c>
      <c r="E12" s="41">
        <v>155400000</v>
      </c>
    </row>
    <row r="13" spans="1:7" x14ac:dyDescent="0.25">
      <c r="B13" s="28" t="s">
        <v>244</v>
      </c>
      <c r="C13" s="41">
        <v>1283400000</v>
      </c>
      <c r="D13" s="41">
        <v>743580000</v>
      </c>
      <c r="E13" s="41">
        <v>539820000</v>
      </c>
    </row>
    <row r="16" spans="1:7" x14ac:dyDescent="0.25">
      <c r="B16" s="40" t="s">
        <v>249</v>
      </c>
      <c r="C16" s="40" t="s">
        <v>248</v>
      </c>
    </row>
    <row r="17" spans="2:6" x14ac:dyDescent="0.25">
      <c r="B17" s="40" t="s">
        <v>243</v>
      </c>
      <c r="C17" t="s">
        <v>69</v>
      </c>
      <c r="D17" t="s">
        <v>239</v>
      </c>
      <c r="E17" t="s">
        <v>238</v>
      </c>
      <c r="F17" t="s">
        <v>244</v>
      </c>
    </row>
    <row r="18" spans="2:6" x14ac:dyDescent="0.25">
      <c r="B18" s="28">
        <v>2024</v>
      </c>
      <c r="C18" s="41">
        <v>4108333.3333333335</v>
      </c>
      <c r="D18" s="41">
        <v>42540000</v>
      </c>
      <c r="E18" s="41">
        <v>42366000</v>
      </c>
      <c r="F18" s="41">
        <v>89014333.333333343</v>
      </c>
    </row>
    <row r="19" spans="2:6" x14ac:dyDescent="0.25">
      <c r="B19" s="28">
        <v>2025</v>
      </c>
      <c r="C19" s="41">
        <v>5288333.333333334</v>
      </c>
      <c r="D19" s="41">
        <v>37400800</v>
      </c>
      <c r="E19" s="41">
        <v>45126000</v>
      </c>
      <c r="F19" s="41">
        <v>87815133.333333343</v>
      </c>
    </row>
    <row r="20" spans="2:6" x14ac:dyDescent="0.25">
      <c r="B20" s="28">
        <v>2026</v>
      </c>
      <c r="C20" s="41">
        <v>5288333.333333334</v>
      </c>
      <c r="D20" s="41">
        <v>48548128</v>
      </c>
      <c r="E20" s="41">
        <v>53682000</v>
      </c>
      <c r="F20" s="41">
        <v>107518461.33333334</v>
      </c>
    </row>
    <row r="21" spans="2:6" x14ac:dyDescent="0.25">
      <c r="B21" s="28">
        <v>2027</v>
      </c>
      <c r="C21" s="41">
        <v>9774575.3333333321</v>
      </c>
      <c r="D21" s="41">
        <v>68446865.920000002</v>
      </c>
      <c r="E21" s="41">
        <v>72450000</v>
      </c>
      <c r="F21" s="41">
        <v>150671441.25333333</v>
      </c>
    </row>
    <row r="22" spans="2:6" x14ac:dyDescent="0.25">
      <c r="B22" s="28">
        <v>2028</v>
      </c>
      <c r="C22" s="41">
        <v>10220174.629333332</v>
      </c>
      <c r="D22" s="41">
        <v>73912489.83040002</v>
      </c>
      <c r="E22" s="41">
        <v>75210000</v>
      </c>
      <c r="F22" s="41">
        <v>159342664.45973337</v>
      </c>
    </row>
    <row r="23" spans="2:6" x14ac:dyDescent="0.25">
      <c r="B23" s="28" t="s">
        <v>244</v>
      </c>
      <c r="C23" s="41">
        <v>34679749.962666668</v>
      </c>
      <c r="D23" s="41">
        <v>270848283.75040007</v>
      </c>
      <c r="E23" s="41">
        <v>288834000</v>
      </c>
      <c r="F23" s="41">
        <v>594362033.7130667</v>
      </c>
    </row>
    <row r="25" spans="2:6" x14ac:dyDescent="0.25">
      <c r="B25" s="40" t="s">
        <v>243</v>
      </c>
      <c r="C25" t="s">
        <v>249</v>
      </c>
    </row>
    <row r="26" spans="2:6" x14ac:dyDescent="0.25">
      <c r="B26" s="28" t="s">
        <v>69</v>
      </c>
      <c r="C26" s="41">
        <v>34679749.962666668</v>
      </c>
    </row>
    <row r="27" spans="2:6" x14ac:dyDescent="0.25">
      <c r="B27" s="28" t="s">
        <v>239</v>
      </c>
      <c r="C27" s="41">
        <v>270848283.75040001</v>
      </c>
    </row>
    <row r="28" spans="2:6" x14ac:dyDescent="0.25">
      <c r="B28" s="28" t="s">
        <v>238</v>
      </c>
      <c r="C28" s="41">
        <v>288834000</v>
      </c>
    </row>
    <row r="29" spans="2:6" x14ac:dyDescent="0.25">
      <c r="B29" s="28" t="s">
        <v>244</v>
      </c>
      <c r="C29" s="41">
        <v>594362033.7130667</v>
      </c>
    </row>
    <row r="33" spans="2:9" x14ac:dyDescent="0.25">
      <c r="B33" s="40" t="s">
        <v>243</v>
      </c>
      <c r="C33" s="41" t="s">
        <v>250</v>
      </c>
      <c r="D33" s="41" t="s">
        <v>251</v>
      </c>
      <c r="E33" t="s">
        <v>252</v>
      </c>
    </row>
    <row r="34" spans="2:9" x14ac:dyDescent="0.25">
      <c r="B34" s="28">
        <v>2024</v>
      </c>
      <c r="C34" s="41">
        <v>163200000</v>
      </c>
      <c r="D34" s="41">
        <v>90240000</v>
      </c>
      <c r="E34" s="41">
        <v>-1714700.8333333437</v>
      </c>
    </row>
    <row r="35" spans="2:9" x14ac:dyDescent="0.25">
      <c r="B35" s="28">
        <v>2025</v>
      </c>
      <c r="C35" s="41">
        <v>163200000</v>
      </c>
      <c r="D35" s="41">
        <v>90240000</v>
      </c>
      <c r="E35" s="41">
        <v>-368482.45833334373</v>
      </c>
    </row>
    <row r="36" spans="2:9" x14ac:dyDescent="0.25">
      <c r="B36" s="28">
        <v>2026</v>
      </c>
      <c r="C36" s="41">
        <v>228000000</v>
      </c>
      <c r="D36" s="41">
        <v>130800000</v>
      </c>
      <c r="E36" s="41">
        <v>14026942.758583326</v>
      </c>
    </row>
    <row r="37" spans="2:9" x14ac:dyDescent="0.25">
      <c r="B37" s="28">
        <v>2027</v>
      </c>
      <c r="C37" s="41">
        <v>351000000</v>
      </c>
      <c r="D37" s="41">
        <v>209700000</v>
      </c>
      <c r="E37" s="41">
        <v>40139419.947733335</v>
      </c>
    </row>
    <row r="38" spans="2:9" x14ac:dyDescent="0.25">
      <c r="B38" s="28">
        <v>2028</v>
      </c>
      <c r="C38" s="41">
        <v>378000000</v>
      </c>
      <c r="D38" s="41">
        <v>222600000</v>
      </c>
      <c r="E38" s="41">
        <v>43014988.167381309</v>
      </c>
      <c r="G38" t="s">
        <v>90</v>
      </c>
      <c r="H38" t="s">
        <v>115</v>
      </c>
      <c r="I38" t="s">
        <v>121</v>
      </c>
    </row>
    <row r="39" spans="2:9" x14ac:dyDescent="0.25">
      <c r="B39" s="28" t="s">
        <v>244</v>
      </c>
      <c r="C39" s="41">
        <v>256680000</v>
      </c>
      <c r="D39" s="41">
        <v>148716000</v>
      </c>
      <c r="E39" s="41">
        <v>19019633.516406257</v>
      </c>
      <c r="G39" s="43">
        <f>GETPIVOTDATA("Average of Revenue",$B$33)</f>
        <v>256680000</v>
      </c>
      <c r="H39" s="43">
        <f>GETPIVOTDATA("Average of Gross profit",$B$33)</f>
        <v>148716000</v>
      </c>
      <c r="I39" s="43">
        <f>GETPIVOTDATA("Average of Profit after tax",$B$33)</f>
        <v>19019633.516406257</v>
      </c>
    </row>
    <row r="42" spans="2:9" x14ac:dyDescent="0.25">
      <c r="B42" s="40" t="s">
        <v>243</v>
      </c>
      <c r="C42" t="s">
        <v>253</v>
      </c>
      <c r="D42" t="s">
        <v>254</v>
      </c>
      <c r="E42" t="s">
        <v>255</v>
      </c>
    </row>
    <row r="43" spans="2:9" x14ac:dyDescent="0.25">
      <c r="B43" s="28">
        <v>2024</v>
      </c>
      <c r="C43" s="33">
        <v>0.55294117647058827</v>
      </c>
      <c r="D43" s="33">
        <v>-1.0506745302287646E-2</v>
      </c>
      <c r="E43" s="33">
        <v>-3.7488772358265941E-2</v>
      </c>
    </row>
    <row r="44" spans="2:9" x14ac:dyDescent="0.25">
      <c r="B44" s="28">
        <v>2025</v>
      </c>
      <c r="C44" s="33">
        <v>0.55294117647058827</v>
      </c>
      <c r="D44" s="33">
        <v>-2.257858200571959E-3</v>
      </c>
      <c r="E44" s="33">
        <v>-8.0561895870890129E-3</v>
      </c>
    </row>
    <row r="45" spans="2:9" x14ac:dyDescent="0.25">
      <c r="B45" s="28">
        <v>2026</v>
      </c>
      <c r="C45" s="33">
        <v>0.5736842105263158</v>
      </c>
      <c r="D45" s="33">
        <v>6.1521678765716341E-2</v>
      </c>
      <c r="E45" s="33">
        <v>0.30667324219858799</v>
      </c>
    </row>
    <row r="46" spans="2:9" x14ac:dyDescent="0.25">
      <c r="B46" s="28">
        <v>2027</v>
      </c>
      <c r="C46" s="33">
        <v>0.59743589743589742</v>
      </c>
      <c r="D46" s="33">
        <v>0.11435732178841405</v>
      </c>
      <c r="E46" s="33">
        <v>0.87757441284270954</v>
      </c>
    </row>
    <row r="47" spans="2:9" x14ac:dyDescent="0.25">
      <c r="B47" s="28">
        <v>2028</v>
      </c>
      <c r="C47" s="33">
        <v>0.58888888888888891</v>
      </c>
      <c r="D47" s="33">
        <v>0.11379626499307224</v>
      </c>
      <c r="E47" s="33">
        <v>0.9404434103327749</v>
      </c>
    </row>
    <row r="48" spans="2:9" x14ac:dyDescent="0.25">
      <c r="B48" s="28" t="s">
        <v>244</v>
      </c>
      <c r="C48" s="33">
        <v>2.8658913497922787</v>
      </c>
      <c r="D48" s="33">
        <v>0.276910662044343</v>
      </c>
      <c r="E48" s="33">
        <v>2.0791461034287173</v>
      </c>
    </row>
  </sheetData>
  <hyperlinks>
    <hyperlink ref="G1" location="Guide!A1" display="Menu" xr:uid="{42725EA5-9687-4B42-9B76-3C066CFC4DAD}"/>
  </hyperlinks>
  <pageMargins left="0.7" right="0.7" top="0.75" bottom="0.75" header="0.3" footer="0.3"/>
  <drawing r:id="rId6"/>
  <legacyDrawing r:id="rId7"/>
  <mc:AlternateContent xmlns:mc="http://schemas.openxmlformats.org/markup-compatibility/2006">
    <mc:Choice Requires="x14">
      <controls>
        <mc:AlternateContent xmlns:mc="http://schemas.openxmlformats.org/markup-compatibility/2006">
          <mc:Choice Requires="x14">
            <control shapeId="14337" r:id="rId8" name="Drop Down 1">
              <controlPr defaultSize="0" autoLine="0" autoPict="0">
                <anchor moveWithCells="1">
                  <from>
                    <xdr:col>4</xdr:col>
                    <xdr:colOff>2038350</xdr:colOff>
                    <xdr:row>3</xdr:row>
                    <xdr:rowOff>69850</xdr:rowOff>
                  </from>
                  <to>
                    <xdr:col>6</xdr:col>
                    <xdr:colOff>412750</xdr:colOff>
                    <xdr:row>4</xdr:row>
                    <xdr:rowOff>120650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 Page</vt:lpstr>
      <vt:lpstr>Guide</vt:lpstr>
      <vt:lpstr>Dashboard</vt:lpstr>
      <vt:lpstr>Financial Statement</vt:lpstr>
      <vt:lpstr>Valuation</vt:lpstr>
      <vt:lpstr>Assumptions</vt:lpstr>
      <vt:lpstr>Workings</vt:lpstr>
      <vt:lpstr>CAPEX</vt:lpstr>
      <vt:lpstr>Analysis</vt:lpstr>
      <vt:lpstr>Dataset</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Hafsat Itanola</dc:creator>
  <cp:lastModifiedBy>hp</cp:lastModifiedBy>
  <dcterms:created xsi:type="dcterms:W3CDTF">2023-07-10T08:01:51Z</dcterms:created>
  <dcterms:modified xsi:type="dcterms:W3CDTF">2023-07-28T13:47:38Z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cbb154c-52c2-4555-89e9-1352dce72c8b_Enabled">
    <vt:lpwstr>true</vt:lpwstr>
  </property>
  <property fmtid="{D5CDD505-2E9C-101B-9397-08002B2CF9AE}" pid="3" name="MSIP_Label_dcbb154c-52c2-4555-89e9-1352dce72c8b_SetDate">
    <vt:lpwstr>2023-07-10T08:59:09Z</vt:lpwstr>
  </property>
  <property fmtid="{D5CDD505-2E9C-101B-9397-08002B2CF9AE}" pid="4" name="MSIP_Label_dcbb154c-52c2-4555-89e9-1352dce72c8b_Method">
    <vt:lpwstr>Privileged</vt:lpwstr>
  </property>
  <property fmtid="{D5CDD505-2E9C-101B-9397-08002B2CF9AE}" pid="5" name="MSIP_Label_dcbb154c-52c2-4555-89e9-1352dce72c8b_Name">
    <vt:lpwstr>Public</vt:lpwstr>
  </property>
  <property fmtid="{D5CDD505-2E9C-101B-9397-08002B2CF9AE}" pid="6" name="MSIP_Label_dcbb154c-52c2-4555-89e9-1352dce72c8b_SiteId">
    <vt:lpwstr>4c8a9f7a-11fc-4fc2-9099-0b68f72a197e</vt:lpwstr>
  </property>
  <property fmtid="{D5CDD505-2E9C-101B-9397-08002B2CF9AE}" pid="7" name="MSIP_Label_dcbb154c-52c2-4555-89e9-1352dce72c8b_ActionId">
    <vt:lpwstr>a0139676-700b-46bf-853e-b98bd7c03436</vt:lpwstr>
  </property>
  <property fmtid="{D5CDD505-2E9C-101B-9397-08002B2CF9AE}" pid="8" name="MSIP_Label_dcbb154c-52c2-4555-89e9-1352dce72c8b_ContentBits">
    <vt:lpwstr>2</vt:lpwstr>
  </property>
</Properties>
</file>