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pc\Desktop\My_File\Trading_Final\"/>
    </mc:Choice>
  </mc:AlternateContent>
  <xr:revisionPtr revIDLastSave="0" documentId="13_ncr:1_{639C60C0-5D9F-4B1E-A4B6-4C7388C52E49}" xr6:coauthVersionLast="47" xr6:coauthVersionMax="47" xr10:uidLastSave="{00000000-0000-0000-0000-000000000000}"/>
  <bookViews>
    <workbookView xWindow="-120" yWindow="-120" windowWidth="20640" windowHeight="11160" tabRatio="557" xr2:uid="{AF90AF23-AFA3-487D-BC59-74B4543B4B62}"/>
  </bookViews>
  <sheets>
    <sheet name="Dashboard" sheetId="26" r:id="rId1"/>
    <sheet name="My_Journal" sheetId="18" r:id="rId2"/>
    <sheet name="Chart_Data" sheetId="21" r:id="rId3"/>
    <sheet name="Working" sheetId="20" r:id="rId4"/>
    <sheet name="List Variable" sheetId="19" r:id="rId5"/>
  </sheets>
  <definedNames>
    <definedName name="Curpair">#REF!</definedName>
    <definedName name="Currency_Pair">#REF!</definedName>
    <definedName name="Date">#REF!</definedName>
    <definedName name="Direction">#REF!</definedName>
    <definedName name="Signal">#REF!</definedName>
    <definedName name="Slicer_Currency_Pair">#N/A</definedName>
    <definedName name="Slicer_Date">#N/A</definedName>
    <definedName name="Slicer_Trade_Month">#N/A</definedName>
  </definedNames>
  <calcPr calcId="191029" calcMode="autoNoTable"/>
  <pivotCaches>
    <pivotCache cacheId="11" r:id="rId6"/>
    <pivotCache cacheId="1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46" i="18" l="1"/>
  <c r="AA46" i="18"/>
  <c r="Y46" i="18"/>
  <c r="AB45" i="18" s="1"/>
  <c r="X46" i="18"/>
  <c r="V46" i="18"/>
  <c r="Z46" i="18" s="1"/>
  <c r="U46" i="18"/>
  <c r="N46" i="18"/>
  <c r="M46" i="18"/>
  <c r="AA45" i="18"/>
  <c r="Y45" i="18"/>
  <c r="X45" i="18"/>
  <c r="V45" i="18"/>
  <c r="Z45" i="18" s="1"/>
  <c r="U45" i="18"/>
  <c r="N45" i="18"/>
  <c r="M45" i="18"/>
  <c r="Z44" i="18"/>
  <c r="Y44" i="18"/>
  <c r="X44" i="18"/>
  <c r="V44" i="18"/>
  <c r="AA44" i="18" s="1"/>
  <c r="R44" i="18" s="1"/>
  <c r="S44" i="18" s="1"/>
  <c r="AD44" i="18" s="1"/>
  <c r="U44" i="18"/>
  <c r="T44" i="18"/>
  <c r="N44" i="18"/>
  <c r="M44" i="18"/>
  <c r="AA43" i="18"/>
  <c r="Y43" i="18"/>
  <c r="X43" i="18"/>
  <c r="V43" i="18"/>
  <c r="Z43" i="18" s="1"/>
  <c r="U43" i="18"/>
  <c r="N43" i="18"/>
  <c r="M43" i="18"/>
  <c r="AA42" i="18"/>
  <c r="Y42" i="18"/>
  <c r="X42" i="18"/>
  <c r="V42" i="18"/>
  <c r="Z42" i="18" s="1"/>
  <c r="U42" i="18"/>
  <c r="N42" i="18"/>
  <c r="M42" i="18"/>
  <c r="AA41" i="18"/>
  <c r="Y41" i="18"/>
  <c r="X41" i="18"/>
  <c r="V41" i="18"/>
  <c r="Z41" i="18" s="1"/>
  <c r="U41" i="18"/>
  <c r="N41" i="18"/>
  <c r="M41" i="18"/>
  <c r="AA40" i="18"/>
  <c r="Y40" i="18"/>
  <c r="X40" i="18"/>
  <c r="V40" i="18"/>
  <c r="Z40" i="18" s="1"/>
  <c r="U40" i="18"/>
  <c r="N40" i="18"/>
  <c r="M40" i="18"/>
  <c r="AA22" i="18"/>
  <c r="Y22" i="18"/>
  <c r="X22" i="18"/>
  <c r="V22" i="18"/>
  <c r="Z22" i="18" s="1"/>
  <c r="U22" i="18"/>
  <c r="N22" i="18"/>
  <c r="M22" i="18"/>
  <c r="AA21" i="18"/>
  <c r="Y21" i="18"/>
  <c r="X21" i="18"/>
  <c r="V21" i="18"/>
  <c r="Z21" i="18" s="1"/>
  <c r="U21" i="18"/>
  <c r="N21" i="18"/>
  <c r="M21" i="18"/>
  <c r="AA20" i="18"/>
  <c r="Y20" i="18"/>
  <c r="X20" i="18"/>
  <c r="V20" i="18"/>
  <c r="Z20" i="18" s="1"/>
  <c r="U20" i="18"/>
  <c r="N20" i="18"/>
  <c r="M20" i="18"/>
  <c r="AA19" i="18"/>
  <c r="Y19" i="18"/>
  <c r="X19" i="18"/>
  <c r="V19" i="18"/>
  <c r="Z19" i="18" s="1"/>
  <c r="U19" i="18"/>
  <c r="N19" i="18"/>
  <c r="M19" i="18"/>
  <c r="AA18" i="18"/>
  <c r="Y18" i="18"/>
  <c r="AB12" i="18" s="1"/>
  <c r="X18" i="18"/>
  <c r="V18" i="18"/>
  <c r="Z18" i="18" s="1"/>
  <c r="U18" i="18"/>
  <c r="N18" i="18"/>
  <c r="M18" i="18"/>
  <c r="AA12" i="18"/>
  <c r="Y12" i="18"/>
  <c r="X12" i="18"/>
  <c r="V12" i="18"/>
  <c r="Z12" i="18" s="1"/>
  <c r="U12" i="18"/>
  <c r="N12" i="18"/>
  <c r="M12" i="18"/>
  <c r="Z11" i="18"/>
  <c r="Y11" i="18"/>
  <c r="X11" i="18"/>
  <c r="V11" i="18"/>
  <c r="AA11" i="18" s="1"/>
  <c r="R11" i="18" s="1"/>
  <c r="S11" i="18" s="1"/>
  <c r="AD11" i="18" s="1"/>
  <c r="U11" i="18"/>
  <c r="T11" i="18"/>
  <c r="N11" i="18"/>
  <c r="M11" i="18"/>
  <c r="Z10" i="18"/>
  <c r="Y10" i="18"/>
  <c r="X10" i="18"/>
  <c r="V10" i="18"/>
  <c r="AA10" i="18" s="1"/>
  <c r="R10" i="18" s="1"/>
  <c r="S10" i="18" s="1"/>
  <c r="AD10" i="18" s="1"/>
  <c r="U10" i="18"/>
  <c r="T10" i="18"/>
  <c r="N10" i="18"/>
  <c r="M10" i="18"/>
  <c r="AB9" i="18"/>
  <c r="Z9" i="18"/>
  <c r="Y9" i="18"/>
  <c r="X9" i="18"/>
  <c r="V9" i="18"/>
  <c r="AA9" i="18" s="1"/>
  <c r="R9" i="18" s="1"/>
  <c r="S9" i="18" s="1"/>
  <c r="AD9" i="18" s="1"/>
  <c r="U9" i="18"/>
  <c r="T9" i="18"/>
  <c r="N9" i="18"/>
  <c r="M9" i="18"/>
  <c r="Z8" i="18"/>
  <c r="Y8" i="18"/>
  <c r="X8" i="18"/>
  <c r="V8" i="18"/>
  <c r="AA8" i="18" s="1"/>
  <c r="R8" i="18" s="1"/>
  <c r="S8" i="18" s="1"/>
  <c r="AD8" i="18" s="1"/>
  <c r="AE8" i="18" s="1"/>
  <c r="AE9" i="18" s="1"/>
  <c r="AE10" i="18" s="1"/>
  <c r="AE11" i="18" s="1"/>
  <c r="U8" i="18"/>
  <c r="T8" i="18"/>
  <c r="N8" i="18"/>
  <c r="M8" i="18"/>
  <c r="C40" i="18"/>
  <c r="C41" i="18"/>
  <c r="C42" i="18"/>
  <c r="C43" i="18"/>
  <c r="C44" i="18"/>
  <c r="C45" i="18"/>
  <c r="C46" i="18"/>
  <c r="A40" i="18"/>
  <c r="A41" i="18"/>
  <c r="A42" i="18"/>
  <c r="A43" i="18"/>
  <c r="A44" i="18"/>
  <c r="A45" i="18"/>
  <c r="A46" i="18"/>
  <c r="T46" i="18" l="1"/>
  <c r="R46" i="18"/>
  <c r="S46" i="18" s="1"/>
  <c r="AD46" i="18" s="1"/>
  <c r="AE46" i="18" s="1"/>
  <c r="AB8" i="18"/>
  <c r="AB18" i="18"/>
  <c r="AB19" i="18"/>
  <c r="AB20" i="18"/>
  <c r="AB21" i="18"/>
  <c r="AB22" i="18"/>
  <c r="AB40" i="18"/>
  <c r="AB41" i="18"/>
  <c r="AB42" i="18"/>
  <c r="AB43" i="18"/>
  <c r="AB44" i="18"/>
  <c r="R40" i="18"/>
  <c r="S40" i="18" s="1"/>
  <c r="AD40" i="18" s="1"/>
  <c r="AE40" i="18" s="1"/>
  <c r="T40" i="18"/>
  <c r="R41" i="18"/>
  <c r="S41" i="18" s="1"/>
  <c r="AD41" i="18" s="1"/>
  <c r="T41" i="18"/>
  <c r="R43" i="18"/>
  <c r="S43" i="18" s="1"/>
  <c r="AD43" i="18" s="1"/>
  <c r="T43" i="18"/>
  <c r="R45" i="18"/>
  <c r="S45" i="18" s="1"/>
  <c r="AD45" i="18" s="1"/>
  <c r="T45" i="18"/>
  <c r="R42" i="18"/>
  <c r="S42" i="18" s="1"/>
  <c r="AD42" i="18" s="1"/>
  <c r="T42" i="18"/>
  <c r="R18" i="18"/>
  <c r="S18" i="18" s="1"/>
  <c r="AD18" i="18" s="1"/>
  <c r="AE18" i="18" s="1"/>
  <c r="T18" i="18"/>
  <c r="R19" i="18"/>
  <c r="S19" i="18" s="1"/>
  <c r="AD19" i="18" s="1"/>
  <c r="T19" i="18"/>
  <c r="R20" i="18"/>
  <c r="S20" i="18" s="1"/>
  <c r="AD20" i="18" s="1"/>
  <c r="T20" i="18"/>
  <c r="R21" i="18"/>
  <c r="S21" i="18" s="1"/>
  <c r="AD21" i="18" s="1"/>
  <c r="T21" i="18"/>
  <c r="R22" i="18"/>
  <c r="S22" i="18" s="1"/>
  <c r="AD22" i="18" s="1"/>
  <c r="T22" i="18"/>
  <c r="AB10" i="18"/>
  <c r="AB11" i="18"/>
  <c r="R12" i="18"/>
  <c r="S12" i="18" s="1"/>
  <c r="AD12" i="18" s="1"/>
  <c r="AE12" i="18" s="1"/>
  <c r="T1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Q14" i="20"/>
  <c r="C39" i="18"/>
  <c r="M39" i="18"/>
  <c r="N39" i="18"/>
  <c r="U39" i="18"/>
  <c r="V39" i="18"/>
  <c r="Z39" i="18" s="1"/>
  <c r="T39" i="18" s="1"/>
  <c r="X39" i="18"/>
  <c r="Y39" i="18"/>
  <c r="AA39" i="18"/>
  <c r="C38" i="18"/>
  <c r="M38" i="18"/>
  <c r="N38" i="18"/>
  <c r="U38" i="18"/>
  <c r="V38" i="18"/>
  <c r="AA38" i="18" s="1"/>
  <c r="X38" i="18"/>
  <c r="Y38" i="18"/>
  <c r="Z38" i="18"/>
  <c r="T38" i="18" s="1"/>
  <c r="AE41" i="18" l="1"/>
  <c r="AE42" i="18" s="1"/>
  <c r="AE43" i="18" s="1"/>
  <c r="AE44" i="18" s="1"/>
  <c r="AE45" i="18" s="1"/>
  <c r="AE19" i="18"/>
  <c r="AE20" i="18" s="1"/>
  <c r="AE21" i="18" s="1"/>
  <c r="AE22" i="18" s="1"/>
  <c r="R39" i="18"/>
  <c r="S39" i="18" s="1"/>
  <c r="AD39" i="18" s="1"/>
  <c r="R38" i="18"/>
  <c r="S38" i="18" s="1"/>
  <c r="AD38" i="18" s="1"/>
  <c r="V35" i="18"/>
  <c r="Z35" i="18" s="1"/>
  <c r="T35" i="18" s="1"/>
  <c r="C37" i="18"/>
  <c r="M37" i="18"/>
  <c r="N37" i="18"/>
  <c r="U37" i="18"/>
  <c r="V37" i="18"/>
  <c r="Z37" i="18" s="1"/>
  <c r="X37" i="18"/>
  <c r="Y37" i="18"/>
  <c r="AA37" i="18"/>
  <c r="C36" i="18"/>
  <c r="M36" i="18"/>
  <c r="N36" i="18"/>
  <c r="U36" i="18"/>
  <c r="V36" i="18"/>
  <c r="Z36" i="18" s="1"/>
  <c r="T36" i="18" s="1"/>
  <c r="X36" i="18"/>
  <c r="Y36" i="18"/>
  <c r="AA36" i="18"/>
  <c r="C35" i="18"/>
  <c r="M35" i="18"/>
  <c r="N35" i="18"/>
  <c r="U35" i="18"/>
  <c r="X35" i="18"/>
  <c r="Y35" i="18"/>
  <c r="AA35" i="18"/>
  <c r="C34" i="18"/>
  <c r="M34" i="18"/>
  <c r="N34" i="18"/>
  <c r="U34" i="18"/>
  <c r="V34" i="18"/>
  <c r="Z34" i="18" s="1"/>
  <c r="X34" i="18"/>
  <c r="Y34" i="18"/>
  <c r="AA34" i="18"/>
  <c r="C33" i="18"/>
  <c r="M33" i="18"/>
  <c r="N33" i="18"/>
  <c r="U33" i="18"/>
  <c r="V33" i="18"/>
  <c r="Z33" i="18" s="1"/>
  <c r="T33" i="18" s="1"/>
  <c r="X33" i="18"/>
  <c r="Y33" i="18"/>
  <c r="AA33" i="18"/>
  <c r="C32" i="18"/>
  <c r="M32" i="18"/>
  <c r="N32" i="18"/>
  <c r="U32" i="18"/>
  <c r="V32" i="18"/>
  <c r="Z32" i="18" s="1"/>
  <c r="T32" i="18" s="1"/>
  <c r="X32" i="18"/>
  <c r="Y32" i="18"/>
  <c r="AA32" i="18"/>
  <c r="C31" i="18"/>
  <c r="M31" i="18"/>
  <c r="N31" i="18"/>
  <c r="U31" i="18"/>
  <c r="V31" i="18"/>
  <c r="Z31" i="18" s="1"/>
  <c r="X31" i="18"/>
  <c r="Y31" i="18"/>
  <c r="AA31" i="18"/>
  <c r="C30" i="18"/>
  <c r="M30" i="18"/>
  <c r="N30" i="18"/>
  <c r="U30" i="18"/>
  <c r="V30" i="18"/>
  <c r="Z30" i="18" s="1"/>
  <c r="X30" i="18"/>
  <c r="Y30" i="18"/>
  <c r="AA30" i="18"/>
  <c r="C29" i="18"/>
  <c r="M29" i="18"/>
  <c r="N29" i="18"/>
  <c r="U29" i="18"/>
  <c r="V29" i="18"/>
  <c r="AA29" i="18" s="1"/>
  <c r="X29" i="18"/>
  <c r="Y29" i="18"/>
  <c r="Z29" i="18"/>
  <c r="T29" i="18" s="1"/>
  <c r="C28" i="18"/>
  <c r="M28" i="18"/>
  <c r="N28" i="18"/>
  <c r="U28" i="18"/>
  <c r="V28" i="18"/>
  <c r="AA28" i="18" s="1"/>
  <c r="X28" i="18"/>
  <c r="Y28" i="18"/>
  <c r="Z28" i="18"/>
  <c r="T28" i="18" s="1"/>
  <c r="C27" i="18"/>
  <c r="M27" i="18"/>
  <c r="N27" i="18"/>
  <c r="U27" i="18"/>
  <c r="V27" i="18"/>
  <c r="AA27" i="18" s="1"/>
  <c r="X27" i="18"/>
  <c r="Y27" i="18"/>
  <c r="Z27" i="18"/>
  <c r="T27" i="18" s="1"/>
  <c r="C26" i="18"/>
  <c r="M26" i="18"/>
  <c r="N26" i="18"/>
  <c r="U26" i="18"/>
  <c r="V26" i="18"/>
  <c r="Z26" i="18" s="1"/>
  <c r="T26" i="18" s="1"/>
  <c r="X26" i="18"/>
  <c r="Y26" i="18"/>
  <c r="AA26" i="18"/>
  <c r="C25" i="18"/>
  <c r="M25" i="18"/>
  <c r="N25" i="18"/>
  <c r="U25" i="18"/>
  <c r="V25" i="18"/>
  <c r="Z25" i="18" s="1"/>
  <c r="T25" i="18" s="1"/>
  <c r="X25" i="18"/>
  <c r="Y25" i="18"/>
  <c r="AA25" i="18"/>
  <c r="C24" i="18"/>
  <c r="M24" i="18"/>
  <c r="N24" i="18"/>
  <c r="U24" i="18"/>
  <c r="V24" i="18"/>
  <c r="Z24" i="18" s="1"/>
  <c r="T24" i="18" s="1"/>
  <c r="X24" i="18"/>
  <c r="Y24" i="18"/>
  <c r="AA24" i="18"/>
  <c r="V3" i="18"/>
  <c r="V4" i="18"/>
  <c r="AA4" i="18" s="1"/>
  <c r="V5" i="18"/>
  <c r="AA5" i="18" s="1"/>
  <c r="V6" i="18"/>
  <c r="AA6" i="18" s="1"/>
  <c r="V7" i="18"/>
  <c r="Z7" i="18" s="1"/>
  <c r="T7" i="18" s="1"/>
  <c r="V13" i="18"/>
  <c r="Z13" i="18" s="1"/>
  <c r="T13" i="18" s="1"/>
  <c r="V14" i="18"/>
  <c r="Z14" i="18" s="1"/>
  <c r="V15" i="18"/>
  <c r="Z15" i="18" s="1"/>
  <c r="V16" i="18"/>
  <c r="Z16" i="18" s="1"/>
  <c r="T16" i="18" s="1"/>
  <c r="V17" i="18"/>
  <c r="Z17" i="18" s="1"/>
  <c r="V23" i="18"/>
  <c r="Z23" i="18" s="1"/>
  <c r="C23" i="18"/>
  <c r="M23" i="18"/>
  <c r="N23" i="18"/>
  <c r="U23" i="18"/>
  <c r="X23" i="18"/>
  <c r="Y23" i="18"/>
  <c r="AA23" i="18"/>
  <c r="C22" i="18"/>
  <c r="C21" i="18"/>
  <c r="C20" i="18"/>
  <c r="C19" i="18"/>
  <c r="C18" i="18"/>
  <c r="C17" i="18"/>
  <c r="M17" i="18"/>
  <c r="N17" i="18"/>
  <c r="U17" i="18"/>
  <c r="X17" i="18"/>
  <c r="Y17" i="18"/>
  <c r="AA17" i="18"/>
  <c r="X7" i="18"/>
  <c r="X2" i="18"/>
  <c r="X3" i="18"/>
  <c r="X4" i="18"/>
  <c r="X5" i="18"/>
  <c r="X6" i="18"/>
  <c r="X13" i="18"/>
  <c r="X14" i="18"/>
  <c r="X15" i="18"/>
  <c r="X16" i="18"/>
  <c r="M4" i="19"/>
  <c r="C16" i="18"/>
  <c r="M16" i="18"/>
  <c r="N16" i="18"/>
  <c r="U16" i="18"/>
  <c r="Y16" i="18"/>
  <c r="AA16" i="18"/>
  <c r="C15" i="18"/>
  <c r="M15" i="18"/>
  <c r="N15" i="18"/>
  <c r="U15" i="18"/>
  <c r="Y15" i="18"/>
  <c r="AA15" i="18"/>
  <c r="C14" i="18"/>
  <c r="M14" i="18"/>
  <c r="N14" i="18"/>
  <c r="U14" i="18"/>
  <c r="Y14" i="18"/>
  <c r="AA14" i="18"/>
  <c r="C13" i="18"/>
  <c r="M13" i="18"/>
  <c r="N13" i="18"/>
  <c r="U13" i="18"/>
  <c r="Y13" i="18"/>
  <c r="AA13" i="18"/>
  <c r="C12" i="18"/>
  <c r="C11" i="18"/>
  <c r="C10" i="18"/>
  <c r="C9" i="18"/>
  <c r="C8" i="18"/>
  <c r="C7" i="18"/>
  <c r="M7" i="18"/>
  <c r="N7" i="18"/>
  <c r="U7" i="18"/>
  <c r="Y7" i="18"/>
  <c r="AA7" i="18"/>
  <c r="C6" i="18"/>
  <c r="M6" i="18"/>
  <c r="N6" i="18"/>
  <c r="U6" i="18"/>
  <c r="Y6" i="18"/>
  <c r="Z6" i="18"/>
  <c r="T6" i="18" s="1"/>
  <c r="C5" i="18"/>
  <c r="M5" i="18"/>
  <c r="N5" i="18"/>
  <c r="U5" i="18"/>
  <c r="Y5" i="18"/>
  <c r="Z5" i="18"/>
  <c r="T5" i="18" s="1"/>
  <c r="C4" i="18"/>
  <c r="M4" i="18"/>
  <c r="N4" i="18"/>
  <c r="U4" i="18"/>
  <c r="Y4" i="18"/>
  <c r="Z4" i="18"/>
  <c r="T4" i="18" s="1"/>
  <c r="M2" i="18"/>
  <c r="M3" i="18"/>
  <c r="C3" i="18"/>
  <c r="N2" i="18"/>
  <c r="N3" i="18"/>
  <c r="T37" i="18" l="1"/>
  <c r="R37" i="18"/>
  <c r="S37" i="18" s="1"/>
  <c r="AD37" i="18" s="1"/>
  <c r="R36" i="18"/>
  <c r="S36" i="18" s="1"/>
  <c r="AD36" i="18" s="1"/>
  <c r="R35" i="18"/>
  <c r="S35" i="18" s="1"/>
  <c r="AD35" i="18" s="1"/>
  <c r="R34" i="18"/>
  <c r="S34" i="18" s="1"/>
  <c r="AD34" i="18" s="1"/>
  <c r="T34" i="18"/>
  <c r="R23" i="18"/>
  <c r="S23" i="18" s="1"/>
  <c r="AD23" i="18" s="1"/>
  <c r="R33" i="18"/>
  <c r="S33" i="18" s="1"/>
  <c r="AD33" i="18" s="1"/>
  <c r="R32" i="18"/>
  <c r="S32" i="18" s="1"/>
  <c r="AD32" i="18" s="1"/>
  <c r="R31" i="18"/>
  <c r="S31" i="18" s="1"/>
  <c r="AD31" i="18" s="1"/>
  <c r="T31" i="18"/>
  <c r="R30" i="18"/>
  <c r="S30" i="18" s="1"/>
  <c r="AD30" i="18" s="1"/>
  <c r="T30" i="18"/>
  <c r="R29" i="18"/>
  <c r="S29" i="18" s="1"/>
  <c r="AD29" i="18" s="1"/>
  <c r="R28" i="18"/>
  <c r="S28" i="18" s="1"/>
  <c r="AD28" i="18" s="1"/>
  <c r="R27" i="18"/>
  <c r="S27" i="18" s="1"/>
  <c r="AD27" i="18" s="1"/>
  <c r="R26" i="18"/>
  <c r="S26" i="18" s="1"/>
  <c r="AD26" i="18" s="1"/>
  <c r="R25" i="18"/>
  <c r="S25" i="18" s="1"/>
  <c r="AD25" i="18" s="1"/>
  <c r="R17" i="18"/>
  <c r="S17" i="18" s="1"/>
  <c r="AD17" i="18" s="1"/>
  <c r="R24" i="18"/>
  <c r="S24" i="18" s="1"/>
  <c r="AD24" i="18" s="1"/>
  <c r="R15" i="18"/>
  <c r="S15" i="18" s="1"/>
  <c r="AD15" i="18" s="1"/>
  <c r="R14" i="18"/>
  <c r="S14" i="18" s="1"/>
  <c r="AD14" i="18" s="1"/>
  <c r="R16" i="18"/>
  <c r="S16" i="18" s="1"/>
  <c r="AD16" i="18" s="1"/>
  <c r="R7" i="18"/>
  <c r="S7" i="18" s="1"/>
  <c r="AD7" i="18" s="1"/>
  <c r="R6" i="18"/>
  <c r="S6" i="18" s="1"/>
  <c r="AD6" i="18" s="1"/>
  <c r="R13" i="18"/>
  <c r="S13" i="18" s="1"/>
  <c r="AD13" i="18" s="1"/>
  <c r="R5" i="18"/>
  <c r="S5" i="18" s="1"/>
  <c r="AD5" i="18" s="1"/>
  <c r="R4" i="18"/>
  <c r="S4" i="18" s="1"/>
  <c r="AD4" i="18" s="1"/>
  <c r="T23" i="18"/>
  <c r="T17" i="18"/>
  <c r="T15" i="18"/>
  <c r="T14" i="18"/>
  <c r="U3" i="18" l="1"/>
  <c r="AA3" i="18"/>
  <c r="Y3" i="18"/>
  <c r="Z3" i="18"/>
  <c r="A2" i="18"/>
  <c r="C2" i="18"/>
  <c r="U2" i="18"/>
  <c r="V2" i="18"/>
  <c r="W2" i="18" s="1"/>
  <c r="W3" i="18" s="1"/>
  <c r="W4" i="18" s="1"/>
  <c r="W5" i="18" s="1"/>
  <c r="W6" i="18" s="1"/>
  <c r="W7" i="18" s="1"/>
  <c r="Y2" i="18"/>
  <c r="Z2" i="18"/>
  <c r="T2" i="18" s="1"/>
  <c r="W8" i="18" l="1"/>
  <c r="W9" i="18" s="1"/>
  <c r="W10" i="18" s="1"/>
  <c r="W11" i="18" s="1"/>
  <c r="W12" i="18" s="1"/>
  <c r="AB38" i="18"/>
  <c r="AB39" i="18"/>
  <c r="AB37" i="18"/>
  <c r="AB34" i="18"/>
  <c r="AB36" i="18"/>
  <c r="AB35" i="18"/>
  <c r="AB33" i="18"/>
  <c r="AB32" i="18"/>
  <c r="AB31" i="18"/>
  <c r="AB30" i="18"/>
  <c r="AB27" i="18"/>
  <c r="AB28" i="18"/>
  <c r="AB29" i="18"/>
  <c r="AB25" i="18"/>
  <c r="AB26" i="18"/>
  <c r="AB23" i="18"/>
  <c r="AB24" i="18"/>
  <c r="T3" i="18"/>
  <c r="R3" i="18"/>
  <c r="S3" i="18" s="1"/>
  <c r="AD3" i="18" s="1"/>
  <c r="AB17" i="18"/>
  <c r="AB3" i="18"/>
  <c r="AB13" i="18"/>
  <c r="AB4" i="18"/>
  <c r="AB14" i="18"/>
  <c r="AB15" i="18"/>
  <c r="AB5" i="18"/>
  <c r="AB7" i="18"/>
  <c r="AB16" i="18"/>
  <c r="AB6" i="18"/>
  <c r="AB2" i="18"/>
  <c r="AC2" i="18" s="1"/>
  <c r="AA2" i="18"/>
  <c r="R2" i="18" s="1"/>
  <c r="S2" i="18" s="1"/>
  <c r="AD2" i="18" s="1"/>
  <c r="Q19" i="20"/>
  <c r="Q20" i="20" s="1"/>
  <c r="Q9" i="20"/>
  <c r="I17" i="20"/>
  <c r="E17" i="20"/>
  <c r="B17" i="20"/>
  <c r="AS7" i="21"/>
  <c r="AU7" i="21" s="1"/>
  <c r="AS8" i="21"/>
  <c r="AU8" i="21" s="1"/>
  <c r="AS9" i="21"/>
  <c r="AU9" i="21" s="1"/>
  <c r="AS10" i="21"/>
  <c r="AU10" i="21" s="1"/>
  <c r="AS11" i="21"/>
  <c r="AU11" i="21" s="1"/>
  <c r="AS12" i="21"/>
  <c r="AU12" i="21" s="1"/>
  <c r="AS13" i="21"/>
  <c r="AU13" i="21" s="1"/>
  <c r="AS14" i="21"/>
  <c r="AU14" i="21" s="1"/>
  <c r="AS15" i="21"/>
  <c r="AU15" i="21" s="1"/>
  <c r="AS6" i="21"/>
  <c r="AU6" i="21" s="1"/>
  <c r="AQ5" i="21"/>
  <c r="AQ6" i="21"/>
  <c r="AQ7" i="21"/>
  <c r="AQ8" i="21"/>
  <c r="AQ9" i="21"/>
  <c r="AQ10" i="21"/>
  <c r="AQ11" i="21"/>
  <c r="AQ12" i="21"/>
  <c r="AQ13" i="21"/>
  <c r="AQ14" i="21"/>
  <c r="AQ15" i="21"/>
  <c r="AQ16" i="21"/>
  <c r="AQ17" i="21"/>
  <c r="AQ18" i="21"/>
  <c r="AC10" i="18" l="1"/>
  <c r="AC12" i="18"/>
  <c r="AC8" i="18"/>
  <c r="AC11" i="18"/>
  <c r="AC9" i="18"/>
  <c r="W13" i="18"/>
  <c r="W14" i="18" s="1"/>
  <c r="W15" i="18" s="1"/>
  <c r="W16" i="18" s="1"/>
  <c r="W17" i="18" s="1"/>
  <c r="Q13" i="20"/>
  <c r="AC6" i="18"/>
  <c r="AC5" i="18"/>
  <c r="AC7" i="18"/>
  <c r="AC4" i="18"/>
  <c r="AC3" i="18"/>
  <c r="B9" i="20"/>
  <c r="I9" i="20" s="1"/>
  <c r="Q12" i="20" s="1"/>
  <c r="M5" i="19"/>
  <c r="Q22" i="20"/>
  <c r="F13" i="20"/>
  <c r="D13" i="20"/>
  <c r="E9" i="20"/>
  <c r="Q5" i="20"/>
  <c r="W18" i="18" l="1"/>
  <c r="W19" i="18" s="1"/>
  <c r="W20" i="18" s="1"/>
  <c r="W21" i="18" s="1"/>
  <c r="W22" i="18" s="1"/>
  <c r="W23" i="18" s="1"/>
  <c r="W24" i="18" s="1"/>
  <c r="W25" i="18" s="1"/>
  <c r="W26" i="18" s="1"/>
  <c r="W27" i="18" s="1"/>
  <c r="W28" i="18" s="1"/>
  <c r="W29" i="18" s="1"/>
  <c r="W30" i="18" s="1"/>
  <c r="Q11" i="20"/>
  <c r="M6" i="19"/>
  <c r="M7" i="19" s="1"/>
  <c r="M8" i="19" s="1"/>
  <c r="M9" i="19" s="1"/>
  <c r="M10" i="19" s="1"/>
  <c r="M11" i="19" s="1"/>
  <c r="M12" i="19" s="1"/>
  <c r="M13" i="19" s="1"/>
  <c r="M14" i="19" s="1"/>
  <c r="M15" i="19" s="1"/>
  <c r="M16" i="19" s="1"/>
  <c r="M17" i="19" s="1"/>
  <c r="M18" i="19" s="1"/>
  <c r="M19" i="19" s="1"/>
  <c r="M20" i="19" s="1"/>
  <c r="M21" i="19" s="1"/>
  <c r="M22" i="19" s="1"/>
  <c r="M23" i="19" s="1"/>
  <c r="M24" i="19" s="1"/>
  <c r="M25" i="19" s="1"/>
  <c r="M26" i="19" s="1"/>
  <c r="M27" i="19" s="1"/>
  <c r="U8" i="20"/>
  <c r="Q10" i="20"/>
  <c r="AE2" i="18" s="1"/>
  <c r="AT10" i="21"/>
  <c r="AV10" i="21" s="1"/>
  <c r="Q24" i="20"/>
  <c r="U10" i="20" s="1"/>
  <c r="V10" i="20" s="1"/>
  <c r="Q23" i="20"/>
  <c r="AT14" i="21"/>
  <c r="AV14" i="21" s="1"/>
  <c r="AT8" i="21"/>
  <c r="AV8" i="21" s="1"/>
  <c r="AT7" i="21"/>
  <c r="AV7" i="21" s="1"/>
  <c r="AT6" i="21"/>
  <c r="AV6" i="21" s="1"/>
  <c r="AT15" i="21"/>
  <c r="AV15" i="21" s="1"/>
  <c r="AT9" i="21"/>
  <c r="AV9" i="21" s="1"/>
  <c r="AT13" i="21"/>
  <c r="AV13" i="21" s="1"/>
  <c r="AT11" i="21"/>
  <c r="AV11" i="21" s="1"/>
  <c r="AT12" i="21"/>
  <c r="AV12" i="21" s="1"/>
  <c r="AN15" i="21"/>
  <c r="AO15" i="21" s="1"/>
  <c r="AN16" i="21"/>
  <c r="AO16" i="21" s="1"/>
  <c r="AN13" i="21"/>
  <c r="AO13" i="21" s="1"/>
  <c r="AN18" i="21"/>
  <c r="AO18" i="21" s="1"/>
  <c r="AN17" i="21"/>
  <c r="AO17" i="21" s="1"/>
  <c r="AN6" i="21"/>
  <c r="AO6" i="21" s="1"/>
  <c r="AN7" i="21"/>
  <c r="AO7" i="21" s="1"/>
  <c r="AN8" i="21"/>
  <c r="AO8" i="21" s="1"/>
  <c r="AN5" i="21"/>
  <c r="AO5" i="21" s="1"/>
  <c r="AN10" i="21"/>
  <c r="AO10" i="21" s="1"/>
  <c r="AN11" i="21"/>
  <c r="AO11" i="21" s="1"/>
  <c r="AN12" i="21"/>
  <c r="AO12" i="21" s="1"/>
  <c r="AN9" i="21"/>
  <c r="AO9" i="21" s="1"/>
  <c r="AN14" i="21"/>
  <c r="AO14" i="21" s="1"/>
  <c r="AK5" i="21"/>
  <c r="AK18" i="21"/>
  <c r="AJ5" i="21"/>
  <c r="AJ9" i="21"/>
  <c r="AJ13" i="21"/>
  <c r="AJ17" i="21"/>
  <c r="AJ6" i="21"/>
  <c r="AJ10" i="21"/>
  <c r="AJ14" i="21"/>
  <c r="AJ18" i="21"/>
  <c r="AJ7" i="21"/>
  <c r="AJ11" i="21"/>
  <c r="AJ15" i="21"/>
  <c r="AJ8" i="21"/>
  <c r="AJ12" i="21"/>
  <c r="AJ16" i="21"/>
  <c r="AK8" i="21"/>
  <c r="AK12" i="21"/>
  <c r="AK16" i="21"/>
  <c r="AK9" i="21"/>
  <c r="AK13" i="21"/>
  <c r="AK17" i="21"/>
  <c r="AK6" i="21"/>
  <c r="AK10" i="21"/>
  <c r="AK14" i="21"/>
  <c r="AK7" i="21"/>
  <c r="AK11" i="21"/>
  <c r="AK15" i="21"/>
  <c r="Q21" i="20"/>
  <c r="Q7" i="20"/>
  <c r="H13" i="20"/>
  <c r="B13" i="20"/>
  <c r="J13" i="20"/>
  <c r="Q6" i="20"/>
  <c r="W31" i="18" l="1"/>
  <c r="AE3" i="18"/>
  <c r="AL9" i="21"/>
  <c r="AM9" i="21" s="1"/>
  <c r="AL15" i="21"/>
  <c r="AM15" i="21" s="1"/>
  <c r="AL10" i="21"/>
  <c r="AM10" i="21" s="1"/>
  <c r="AP8" i="21"/>
  <c r="AP7" i="21"/>
  <c r="AP6" i="21"/>
  <c r="AP9" i="21"/>
  <c r="AL16" i="21"/>
  <c r="AM16" i="21" s="1"/>
  <c r="AL11" i="21"/>
  <c r="AM11" i="21" s="1"/>
  <c r="AL6" i="21"/>
  <c r="AM6" i="21" s="1"/>
  <c r="AL5" i="21"/>
  <c r="AM5" i="21" s="1"/>
  <c r="AP18" i="21"/>
  <c r="AL18" i="21"/>
  <c r="AM18" i="21" s="1"/>
  <c r="AP5" i="21"/>
  <c r="AL17" i="21"/>
  <c r="AM17" i="21" s="1"/>
  <c r="AL12" i="21"/>
  <c r="AM12" i="21" s="1"/>
  <c r="AL7" i="21"/>
  <c r="AM7" i="21" s="1"/>
  <c r="AP16" i="21"/>
  <c r="AP15" i="21"/>
  <c r="AP14" i="21"/>
  <c r="AP17" i="21"/>
  <c r="AL13" i="21"/>
  <c r="AM13" i="21" s="1"/>
  <c r="AL8" i="21"/>
  <c r="AM8" i="21" s="1"/>
  <c r="AL14" i="21"/>
  <c r="AM14" i="21" s="1"/>
  <c r="AP12" i="21"/>
  <c r="AP11" i="21"/>
  <c r="AP10" i="21"/>
  <c r="AP13" i="21"/>
  <c r="W32" i="18" l="1"/>
  <c r="W33" i="18" s="1"/>
  <c r="W34" i="18" s="1"/>
  <c r="AE4" i="18"/>
  <c r="W35" i="18" l="1"/>
  <c r="AE5" i="18"/>
  <c r="W36" i="18" l="1"/>
  <c r="W37" i="18" s="1"/>
  <c r="AE6" i="18"/>
  <c r="W38" i="18" l="1"/>
  <c r="W39" i="18" s="1"/>
  <c r="W40" i="18" s="1"/>
  <c r="AE7" i="18"/>
  <c r="W41" i="18" l="1"/>
  <c r="W42" i="18" s="1"/>
  <c r="W43" i="18" s="1"/>
  <c r="W44" i="18" s="1"/>
  <c r="W45" i="18" s="1"/>
  <c r="W46" i="18" s="1"/>
  <c r="AC46" i="18" s="1"/>
  <c r="AC40" i="18"/>
  <c r="AC39" i="18"/>
  <c r="AC38" i="18"/>
  <c r="AC35" i="18"/>
  <c r="AC15" i="18"/>
  <c r="AC17" i="18"/>
  <c r="AC14" i="18"/>
  <c r="AC30" i="18"/>
  <c r="AC31" i="18"/>
  <c r="AC28" i="18"/>
  <c r="AC13" i="18"/>
  <c r="AC23" i="18"/>
  <c r="AC16" i="18"/>
  <c r="AC20" i="18" l="1"/>
  <c r="AC21" i="18"/>
  <c r="AC19" i="18"/>
  <c r="AC18" i="18"/>
  <c r="AC22" i="18"/>
  <c r="AC37" i="18"/>
  <c r="AC26" i="18"/>
  <c r="AC25" i="18"/>
  <c r="AC29" i="18"/>
  <c r="AC32" i="18"/>
  <c r="AC36" i="18"/>
  <c r="AC33" i="18"/>
  <c r="AC24" i="18"/>
  <c r="AC34" i="18"/>
  <c r="AC27" i="18"/>
  <c r="AE13" i="18"/>
  <c r="AC41" i="18" l="1"/>
  <c r="AC42" i="18"/>
  <c r="AC45" i="18"/>
  <c r="AC44" i="18"/>
  <c r="AC43" i="18"/>
  <c r="AE14" i="18"/>
  <c r="AE15" i="18" l="1"/>
  <c r="AE16" i="18" s="1"/>
  <c r="AE17" i="18" s="1"/>
  <c r="AE23" i="18" s="1"/>
  <c r="AE24" i="18" s="1"/>
  <c r="AE25" i="18" s="1"/>
  <c r="AE26" i="18" s="1"/>
  <c r="AE27" i="18" s="1"/>
  <c r="AE28" i="18" s="1"/>
  <c r="AE29" i="18" s="1"/>
  <c r="AE30" i="18" s="1"/>
  <c r="AE31" i="18" s="1"/>
  <c r="AE32" i="18" s="1"/>
  <c r="AE33" i="18" l="1"/>
  <c r="AE34" i="18" s="1"/>
  <c r="AE35" i="18" s="1"/>
  <c r="AE36" i="18" s="1"/>
  <c r="AE37" i="18" s="1"/>
  <c r="AE38" i="18" s="1"/>
  <c r="AE39" i="18" s="1"/>
  <c r="U6" i="20"/>
  <c r="V6" i="20" s="1"/>
  <c r="Q15" i="20" l="1"/>
  <c r="U4" i="20"/>
  <c r="V4"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C081F8-1CCF-4484-8FA4-BB77667E3131}" keepAlive="1" name="Query - My­_Journal" description="Connection to the 'My­_Journal' query in the workbook." type="5" refreshedVersion="0" background="1">
    <dbPr connection="Provider=Microsoft.Mashup.OleDb.1;Data Source=$Workbook$;Location=My­_Journal;Extended Properties=&quot;&quot;" command="SELECT * FROM [My­_Journal]"/>
  </connection>
</connections>
</file>

<file path=xl/sharedStrings.xml><?xml version="1.0" encoding="utf-8"?>
<sst xmlns="http://schemas.openxmlformats.org/spreadsheetml/2006/main" count="415" uniqueCount="176">
  <si>
    <t>`</t>
  </si>
  <si>
    <t>#</t>
  </si>
  <si>
    <t>Date</t>
  </si>
  <si>
    <t>Trade Month</t>
  </si>
  <si>
    <t>Date Close</t>
  </si>
  <si>
    <t>Currency Pair</t>
  </si>
  <si>
    <t>Position Size</t>
  </si>
  <si>
    <t>Time Frame</t>
  </si>
  <si>
    <t>Direction</t>
  </si>
  <si>
    <t>Entry Price</t>
  </si>
  <si>
    <t>Stop Loss</t>
  </si>
  <si>
    <t>Take Profit</t>
  </si>
  <si>
    <t>Exit Price</t>
  </si>
  <si>
    <t>Risk/Reward_New</t>
  </si>
  <si>
    <t>Win / Loss</t>
  </si>
  <si>
    <t>$ Loss</t>
  </si>
  <si>
    <t>$ Profit</t>
  </si>
  <si>
    <t>Commison</t>
  </si>
  <si>
    <t>Net P&amp;L</t>
  </si>
  <si>
    <t>Net P&amp;L %</t>
  </si>
  <si>
    <t>% Net_Profit</t>
  </si>
  <si>
    <t>% Net_Loss</t>
  </si>
  <si>
    <t>Comission_1</t>
  </si>
  <si>
    <t>Balance</t>
  </si>
  <si>
    <t>Date-Month</t>
  </si>
  <si>
    <t>Month-Year</t>
  </si>
  <si>
    <t>Net_Profit</t>
  </si>
  <si>
    <t>Net_Loss</t>
  </si>
  <si>
    <t>End Trade of month</t>
  </si>
  <si>
    <t>End Month equity</t>
  </si>
  <si>
    <t>Achieved Target</t>
  </si>
  <si>
    <t>Capacity_Days Finding</t>
  </si>
  <si>
    <t>Signal</t>
  </si>
  <si>
    <t>USD/CAD</t>
  </si>
  <si>
    <t>5 minutes</t>
  </si>
  <si>
    <t>Long</t>
  </si>
  <si>
    <t>Cambist</t>
  </si>
  <si>
    <t>US30</t>
  </si>
  <si>
    <t>Short</t>
  </si>
  <si>
    <t>XAUUSD</t>
  </si>
  <si>
    <t>15 minutes</t>
  </si>
  <si>
    <t>USD/CHF</t>
  </si>
  <si>
    <t>AUD/USD</t>
  </si>
  <si>
    <t>NZD/USD</t>
  </si>
  <si>
    <t>USD/JPY</t>
  </si>
  <si>
    <t>S&amp;P500</t>
  </si>
  <si>
    <t>Net_P&amp;L % By Trade</t>
  </si>
  <si>
    <t>Equity Line &amp; Bar Chart</t>
  </si>
  <si>
    <t>Average Balance by Month</t>
  </si>
  <si>
    <t>P&amp;L by trades</t>
  </si>
  <si>
    <t>P&amp;L by Month</t>
  </si>
  <si>
    <t>P&amp;L by Time Frame</t>
  </si>
  <si>
    <t>P&amp;L by Direction</t>
  </si>
  <si>
    <t>P&amp;L by Currency Pair</t>
  </si>
  <si>
    <t>Important KPI's</t>
  </si>
  <si>
    <t>Win/Loss</t>
  </si>
  <si>
    <t>End Month Equity</t>
  </si>
  <si>
    <t>Average of Balance</t>
  </si>
  <si>
    <t>Row Labels</t>
  </si>
  <si>
    <t>Sum of New Net_Profit</t>
  </si>
  <si>
    <t>Sum of New_Net_Loss</t>
  </si>
  <si>
    <t>Sum of Net P&amp;L %</t>
  </si>
  <si>
    <t>Sum of % Net_Profit</t>
  </si>
  <si>
    <t>Sum of % Net_Loss</t>
  </si>
  <si>
    <t>Average of $ Loss</t>
  </si>
  <si>
    <t>Average of $ Profit</t>
  </si>
  <si>
    <t>Sum of Net P&amp;L</t>
  </si>
  <si>
    <t>Count of Win / Loss</t>
  </si>
  <si>
    <t>Max of End Month equity</t>
  </si>
  <si>
    <t>Net_Profit%</t>
  </si>
  <si>
    <t>New Net_Profit</t>
  </si>
  <si>
    <t>New_Net_Loss</t>
  </si>
  <si>
    <t>Current Balance</t>
  </si>
  <si>
    <t>Starting Balance</t>
  </si>
  <si>
    <t>June</t>
  </si>
  <si>
    <t>Jul-2025</t>
  </si>
  <si>
    <t>Loss</t>
  </si>
  <si>
    <t>Jun-2025</t>
  </si>
  <si>
    <t>Column1</t>
  </si>
  <si>
    <t>Column2</t>
  </si>
  <si>
    <t>July</t>
  </si>
  <si>
    <t>Win</t>
  </si>
  <si>
    <t>Grand Total</t>
  </si>
  <si>
    <t>Equity Invested</t>
  </si>
  <si>
    <t>Total Target</t>
  </si>
  <si>
    <t>Plan</t>
  </si>
  <si>
    <t>Total Months</t>
  </si>
  <si>
    <t>DayCapacity Donut</t>
  </si>
  <si>
    <t>Trading days in a month</t>
  </si>
  <si>
    <t>Total Days</t>
  </si>
  <si>
    <t>TP Required Donut</t>
  </si>
  <si>
    <t xml:space="preserve">Profit &amp; Loss </t>
  </si>
  <si>
    <t>Profit &amp;Loss %</t>
  </si>
  <si>
    <t>Target Balance</t>
  </si>
  <si>
    <t>Daily Target</t>
  </si>
  <si>
    <t>TP Required</t>
  </si>
  <si>
    <t>Target Plan</t>
  </si>
  <si>
    <t>Total Days Capacity</t>
  </si>
  <si>
    <t>Days Capacity Now</t>
  </si>
  <si>
    <t>#  of Total Trades</t>
  </si>
  <si>
    <t># of Long Trades</t>
  </si>
  <si>
    <t># of Short Trades</t>
  </si>
  <si>
    <t>Long Trades Win</t>
  </si>
  <si>
    <t>Short Trades Win</t>
  </si>
  <si>
    <t>TP Required Now</t>
  </si>
  <si>
    <t>Hit TP Days</t>
  </si>
  <si>
    <t>Average Profitable Traid</t>
  </si>
  <si>
    <t>Average Losing Trade</t>
  </si>
  <si>
    <t>Average Reward/Risk</t>
  </si>
  <si>
    <t xml:space="preserve">Target </t>
  </si>
  <si>
    <t>Minimum</t>
  </si>
  <si>
    <t>Not Allowed below</t>
  </si>
  <si>
    <t>Achieved %</t>
  </si>
  <si>
    <t>Currency Pairs</t>
  </si>
  <si>
    <t>Signals</t>
  </si>
  <si>
    <t>Win /  Loss</t>
  </si>
  <si>
    <t>AUD/CAD</t>
  </si>
  <si>
    <t>AUD/CHF</t>
  </si>
  <si>
    <t xml:space="preserve">Price Action </t>
  </si>
  <si>
    <t>AUD/JPY</t>
  </si>
  <si>
    <t>Supoort Rasistence</t>
  </si>
  <si>
    <t>AUD/NZD</t>
  </si>
  <si>
    <t>Alligator</t>
  </si>
  <si>
    <t>EMA</t>
  </si>
  <si>
    <t>CAD/CHF</t>
  </si>
  <si>
    <t>CWT</t>
  </si>
  <si>
    <t>CAD/JPY</t>
  </si>
  <si>
    <t>Fmo/gambling</t>
  </si>
  <si>
    <t>EUR/AUD</t>
  </si>
  <si>
    <t>extra</t>
  </si>
  <si>
    <t>EUR/CAD</t>
  </si>
  <si>
    <t>EUR/CHF</t>
  </si>
  <si>
    <t>EUR/GBP</t>
  </si>
  <si>
    <t>EUR/JPY</t>
  </si>
  <si>
    <t>EUR/NZD</t>
  </si>
  <si>
    <t>EUR/USD</t>
  </si>
  <si>
    <t>GBP/AUD</t>
  </si>
  <si>
    <t>GBP/CAD</t>
  </si>
  <si>
    <t>GBP/CHF</t>
  </si>
  <si>
    <t>GBP/JPY</t>
  </si>
  <si>
    <t>GBP/NZD</t>
  </si>
  <si>
    <t>GBP/USD</t>
  </si>
  <si>
    <t>NZD/CAD</t>
  </si>
  <si>
    <t>NZD/CHF</t>
  </si>
  <si>
    <t>NZD/JPY</t>
  </si>
  <si>
    <t>US100</t>
  </si>
  <si>
    <t>DAX40</t>
  </si>
  <si>
    <t>Japan index</t>
  </si>
  <si>
    <t>France index</t>
  </si>
  <si>
    <t>WTI</t>
  </si>
  <si>
    <t>XAG/usd (silver)</t>
  </si>
  <si>
    <t>Us oil</t>
  </si>
  <si>
    <t>NATGA</t>
  </si>
  <si>
    <t>Copper</t>
  </si>
  <si>
    <t>Platinum</t>
  </si>
  <si>
    <t>uk100</t>
  </si>
  <si>
    <t>15-Jul</t>
  </si>
  <si>
    <t>17-Jul</t>
  </si>
  <si>
    <t>21-Jul</t>
  </si>
  <si>
    <t>22-Jul</t>
  </si>
  <si>
    <t>30 minutes</t>
  </si>
  <si>
    <t>1 hr</t>
  </si>
  <si>
    <t>4 hrs</t>
  </si>
  <si>
    <t>1 Day</t>
  </si>
  <si>
    <t>N/A</t>
  </si>
  <si>
    <t xml:space="preserve">Days Spent </t>
  </si>
  <si>
    <t>Days Left (not-used)</t>
  </si>
  <si>
    <t>Aug-2025</t>
  </si>
  <si>
    <t>August</t>
  </si>
  <si>
    <t>26-Jul</t>
  </si>
  <si>
    <t>01-Aug</t>
  </si>
  <si>
    <t>02-Aug</t>
  </si>
  <si>
    <t>03-Aug</t>
  </si>
  <si>
    <t>04-Aug</t>
  </si>
  <si>
    <t>05-Aug</t>
  </si>
  <si>
    <t>06-Aug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</si>
</sst>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0.0000%"/>
  </numFmts>
  <fonts count="26" x14ac:knownFonts="1">
    <font>
      <sz val="11"/>
      <color theme="1"/>
      <name val="Calibri"/>
      <family val="2"/>
    </font>
    <font>
      <sz val="11"/>
      <color theme="1"/>
      <name val="Calibri"/>
      <family val="2"/>
    </font>
    <font>
      <sz val="18"/>
      <color theme="3"/>
      <name val="Aptos Display"/>
      <family val="2"/>
      <scheme val="major"/>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57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
      <sz val="18"/>
      <color theme="0"/>
      <name val="Calibri"/>
      <family val="2"/>
    </font>
    <font>
      <sz val="14"/>
      <color theme="0"/>
      <name val="Calibri"/>
      <family val="2"/>
    </font>
    <font>
      <sz val="14"/>
      <color theme="1"/>
      <name val="Calibri"/>
      <family val="2"/>
    </font>
    <font>
      <sz val="16"/>
      <color theme="1"/>
      <name val="Calibri"/>
      <family val="2"/>
    </font>
    <font>
      <b/>
      <sz val="20"/>
      <color theme="1"/>
      <name val="Calibri"/>
      <family val="2"/>
    </font>
    <font>
      <sz val="8"/>
      <name val="Calibri"/>
      <family val="2"/>
    </font>
    <font>
      <b/>
      <sz val="12"/>
      <color theme="0"/>
      <name val="Calibri"/>
      <family val="2"/>
    </font>
    <font>
      <b/>
      <sz val="18"/>
      <color theme="0"/>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tint="-4.9989318521683403E-2"/>
        <bgColor indexed="64"/>
      </patternFill>
    </fill>
    <fill>
      <patternFill patternType="solid">
        <fgColor rgb="FF003366"/>
        <bgColor indexed="64"/>
      </patternFill>
    </fill>
    <fill>
      <patternFill patternType="solid">
        <fgColor theme="4"/>
        <bgColor theme="4"/>
      </patternFill>
    </fill>
    <fill>
      <patternFill patternType="solid">
        <fgColor theme="3" tint="0.89999084444715716"/>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4" tint="0.79998168889431442"/>
      </right>
      <top/>
      <bottom/>
      <diagonal/>
    </border>
    <border>
      <left style="thin">
        <color theme="4" tint="0.79998168889431442"/>
      </left>
      <right/>
      <top style="thin">
        <color theme="4" tint="0.79998168889431442"/>
      </top>
      <bottom/>
      <diagonal/>
    </border>
    <border>
      <left/>
      <right/>
      <top style="thin">
        <color theme="4" tint="0.79998168889431442"/>
      </top>
      <bottom/>
      <diagonal/>
    </border>
    <border>
      <left/>
      <right style="thin">
        <color theme="4" tint="0.79998168889431442"/>
      </right>
      <top style="thin">
        <color theme="4" tint="0.79998168889431442"/>
      </top>
      <bottom/>
      <diagonal/>
    </border>
    <border>
      <left style="thin">
        <color theme="4" tint="0.79998168889431442"/>
      </left>
      <right/>
      <top/>
      <bottom/>
      <diagonal/>
    </border>
    <border>
      <left style="thin">
        <color theme="4" tint="0.79998168889431442"/>
      </left>
      <right/>
      <top/>
      <bottom style="thin">
        <color theme="4" tint="0.79998168889431442"/>
      </bottom>
      <diagonal/>
    </border>
    <border>
      <left/>
      <right/>
      <top/>
      <bottom style="thin">
        <color theme="4" tint="0.79998168889431442"/>
      </bottom>
      <diagonal/>
    </border>
    <border>
      <left/>
      <right style="thin">
        <color theme="4" tint="0.79998168889431442"/>
      </right>
      <top/>
      <bottom style="thin">
        <color theme="4" tint="0.79998168889431442"/>
      </bottom>
      <diagonal/>
    </border>
    <border>
      <left style="thin">
        <color theme="4" tint="0.79998168889431442"/>
      </left>
      <right/>
      <top style="thin">
        <color theme="4" tint="0.79998168889431442"/>
      </top>
      <bottom style="thin">
        <color theme="4" tint="0.79998168889431442"/>
      </bottom>
      <diagonal/>
    </border>
    <border>
      <left/>
      <right style="thin">
        <color theme="4" tint="0.79998168889431442"/>
      </right>
      <top style="thin">
        <color theme="4" tint="0.79998168889431442"/>
      </top>
      <bottom style="thin">
        <color theme="4" tint="0.79998168889431442"/>
      </bottom>
      <diagonal/>
    </border>
    <border>
      <left/>
      <right/>
      <top style="thin">
        <color theme="4" tint="0.79998168889431442"/>
      </top>
      <bottom style="thin">
        <color theme="4" tint="0.79998168889431442"/>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style="thin">
        <color theme="0"/>
      </right>
      <top/>
      <bottom style="thin">
        <color theme="4" tint="0.79998168889431442"/>
      </bottom>
      <diagonal/>
    </border>
    <border>
      <left/>
      <right style="thin">
        <color theme="0"/>
      </right>
      <top/>
      <bottom/>
      <diagonal/>
    </border>
    <border>
      <left/>
      <right style="thin">
        <color theme="0"/>
      </right>
      <top style="thin">
        <color theme="4" tint="0.79998168889431442"/>
      </top>
      <bottom/>
      <diagonal/>
    </border>
    <border>
      <left style="thin">
        <color theme="0"/>
      </left>
      <right style="thin">
        <color theme="4" tint="0.79998168889431442"/>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1">
    <xf numFmtId="0" fontId="0" fillId="0" borderId="0" xfId="0"/>
    <xf numFmtId="10" fontId="0" fillId="0" borderId="0" xfId="0" applyNumberFormat="1"/>
    <xf numFmtId="14" fontId="0" fillId="0" borderId="0" xfId="0" applyNumberFormat="1"/>
    <xf numFmtId="1" fontId="0" fillId="0" borderId="0" xfId="0" applyNumberFormat="1"/>
    <xf numFmtId="0" fontId="0" fillId="0" borderId="0" xfId="0" pivotButton="1"/>
    <xf numFmtId="0" fontId="0" fillId="0" borderId="0" xfId="0" applyAlignment="1">
      <alignment horizontal="left" vertical="center"/>
    </xf>
    <xf numFmtId="2" fontId="0" fillId="0" borderId="0" xfId="0" applyNumberFormat="1"/>
    <xf numFmtId="0" fontId="0" fillId="34" borderId="0" xfId="0" applyFill="1"/>
    <xf numFmtId="17" fontId="0" fillId="0" borderId="0" xfId="0" applyNumberFormat="1"/>
    <xf numFmtId="0" fontId="13" fillId="36" borderId="21" xfId="0" applyFont="1" applyFill="1" applyBorder="1" applyAlignment="1">
      <alignment horizontal="center" vertical="center"/>
    </xf>
    <xf numFmtId="0" fontId="0" fillId="0" borderId="0" xfId="0" applyAlignment="1">
      <alignment vertical="top"/>
    </xf>
    <xf numFmtId="14" fontId="0" fillId="0" borderId="0" xfId="0" applyNumberFormat="1" applyAlignment="1">
      <alignment vertical="top"/>
    </xf>
    <xf numFmtId="164" fontId="0" fillId="0" borderId="0" xfId="0" applyNumberFormat="1" applyAlignment="1">
      <alignment vertical="top"/>
    </xf>
    <xf numFmtId="2" fontId="0" fillId="0" borderId="0" xfId="0" applyNumberFormat="1" applyAlignment="1">
      <alignment vertical="top"/>
    </xf>
    <xf numFmtId="0" fontId="0" fillId="0" borderId="0" xfId="0" applyAlignment="1">
      <alignment horizontal="center" vertical="top"/>
    </xf>
    <xf numFmtId="10" fontId="0" fillId="0" borderId="0" xfId="0" applyNumberFormat="1" applyAlignment="1">
      <alignment vertical="top"/>
    </xf>
    <xf numFmtId="1" fontId="0" fillId="0" borderId="0" xfId="0" applyNumberFormat="1" applyAlignment="1">
      <alignment vertical="top"/>
    </xf>
    <xf numFmtId="164" fontId="0" fillId="0" borderId="0" xfId="0" applyNumberFormat="1" applyAlignment="1">
      <alignment horizontal="right" vertical="top"/>
    </xf>
    <xf numFmtId="164" fontId="0" fillId="0" borderId="0" xfId="0" applyNumberFormat="1" applyAlignment="1">
      <alignment horizontal="right"/>
    </xf>
    <xf numFmtId="10" fontId="0" fillId="0" borderId="0" xfId="0" applyNumberFormat="1" applyAlignment="1">
      <alignment horizontal="right"/>
    </xf>
    <xf numFmtId="1" fontId="0" fillId="0" borderId="0" xfId="0" applyNumberFormat="1" applyAlignment="1">
      <alignment horizontal="left" indent="1"/>
    </xf>
    <xf numFmtId="3" fontId="0" fillId="0" borderId="0" xfId="0" applyNumberFormat="1"/>
    <xf numFmtId="0" fontId="0" fillId="0" borderId="25" xfId="0" applyBorder="1"/>
    <xf numFmtId="165" fontId="0" fillId="0" borderId="0" xfId="0" applyNumberFormat="1"/>
    <xf numFmtId="164" fontId="0" fillId="0" borderId="0" xfId="0" applyNumberFormat="1"/>
    <xf numFmtId="9" fontId="0" fillId="0" borderId="0" xfId="0" applyNumberFormat="1"/>
    <xf numFmtId="14" fontId="0" fillId="0" borderId="0" xfId="0" applyNumberFormat="1" applyAlignment="1">
      <alignment horizontal="left"/>
    </xf>
    <xf numFmtId="0" fontId="24" fillId="35" borderId="0" xfId="0" applyFont="1" applyFill="1" applyAlignment="1">
      <alignment horizontal="center"/>
    </xf>
    <xf numFmtId="0" fontId="25" fillId="35" borderId="0" xfId="0" applyFont="1" applyFill="1" applyAlignment="1">
      <alignment horizontal="center" vertical="center"/>
    </xf>
    <xf numFmtId="0" fontId="18" fillId="33" borderId="0" xfId="0" applyFont="1" applyFill="1" applyAlignment="1">
      <alignment horizontal="center" vertical="center"/>
    </xf>
    <xf numFmtId="0" fontId="18" fillId="33" borderId="23" xfId="0" applyFont="1" applyFill="1" applyBorder="1" applyAlignment="1">
      <alignment horizontal="center" vertical="center"/>
    </xf>
    <xf numFmtId="165" fontId="22" fillId="37" borderId="11" xfId="0" applyNumberFormat="1" applyFont="1" applyFill="1" applyBorder="1" applyAlignment="1">
      <alignment horizontal="center" vertical="center"/>
    </xf>
    <xf numFmtId="165" fontId="22" fillId="37" borderId="12" xfId="0" applyNumberFormat="1" applyFont="1" applyFill="1" applyBorder="1" applyAlignment="1">
      <alignment horizontal="center" vertical="center"/>
    </xf>
    <xf numFmtId="165" fontId="22" fillId="37" borderId="24" xfId="0" applyNumberFormat="1" applyFont="1" applyFill="1" applyBorder="1" applyAlignment="1">
      <alignment horizontal="center" vertical="center"/>
    </xf>
    <xf numFmtId="165" fontId="22" fillId="37" borderId="14" xfId="0" applyNumberFormat="1" applyFont="1" applyFill="1" applyBorder="1" applyAlignment="1">
      <alignment horizontal="center" vertical="center"/>
    </xf>
    <xf numFmtId="165" fontId="22" fillId="37" borderId="0" xfId="0" applyNumberFormat="1" applyFont="1" applyFill="1" applyAlignment="1">
      <alignment horizontal="center" vertical="center"/>
    </xf>
    <xf numFmtId="165" fontId="22" fillId="37" borderId="23" xfId="0" applyNumberFormat="1" applyFont="1" applyFill="1" applyBorder="1" applyAlignment="1">
      <alignment horizontal="center" vertical="center"/>
    </xf>
    <xf numFmtId="165" fontId="22" fillId="37" borderId="15" xfId="0" applyNumberFormat="1" applyFont="1" applyFill="1" applyBorder="1" applyAlignment="1">
      <alignment horizontal="center" vertical="center"/>
    </xf>
    <xf numFmtId="165" fontId="22" fillId="37" borderId="16" xfId="0" applyNumberFormat="1" applyFont="1" applyFill="1" applyBorder="1" applyAlignment="1">
      <alignment horizontal="center" vertical="center"/>
    </xf>
    <xf numFmtId="165" fontId="22" fillId="37" borderId="22" xfId="0" applyNumberFormat="1"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0" xfId="0" applyFont="1" applyFill="1" applyAlignment="1">
      <alignment horizontal="center" vertical="center"/>
    </xf>
    <xf numFmtId="0" fontId="19" fillId="33" borderId="10" xfId="0" applyFont="1" applyFill="1" applyBorder="1" applyAlignment="1">
      <alignment horizontal="center" vertical="center"/>
    </xf>
    <xf numFmtId="10" fontId="22" fillId="37" borderId="12" xfId="0" applyNumberFormat="1" applyFont="1" applyFill="1" applyBorder="1" applyAlignment="1">
      <alignment horizontal="center" vertical="center"/>
    </xf>
    <xf numFmtId="10" fontId="22" fillId="37" borderId="13" xfId="0" applyNumberFormat="1" applyFont="1" applyFill="1" applyBorder="1" applyAlignment="1">
      <alignment horizontal="center" vertical="center"/>
    </xf>
    <xf numFmtId="10" fontId="22" fillId="37" borderId="0" xfId="0" applyNumberFormat="1" applyFont="1" applyFill="1" applyAlignment="1">
      <alignment horizontal="center" vertical="center"/>
    </xf>
    <xf numFmtId="10" fontId="22" fillId="37" borderId="10" xfId="0" applyNumberFormat="1" applyFont="1" applyFill="1" applyBorder="1" applyAlignment="1">
      <alignment horizontal="center" vertical="center"/>
    </xf>
    <xf numFmtId="10" fontId="22" fillId="37" borderId="16" xfId="0" applyNumberFormat="1" applyFont="1" applyFill="1" applyBorder="1" applyAlignment="1">
      <alignment horizontal="center" vertical="center"/>
    </xf>
    <xf numFmtId="10" fontId="22" fillId="37" borderId="17" xfId="0" applyNumberFormat="1" applyFont="1" applyFill="1" applyBorder="1" applyAlignment="1">
      <alignment horizontal="center" vertical="center"/>
    </xf>
    <xf numFmtId="0" fontId="20" fillId="34" borderId="11" xfId="0" applyFont="1" applyFill="1" applyBorder="1" applyAlignment="1">
      <alignment horizontal="center" vertical="center"/>
    </xf>
    <xf numFmtId="0" fontId="20" fillId="34" borderId="13" xfId="0" applyFont="1" applyFill="1" applyBorder="1" applyAlignment="1">
      <alignment horizontal="center" vertical="center"/>
    </xf>
    <xf numFmtId="0" fontId="20" fillId="34" borderId="15" xfId="0" applyFont="1" applyFill="1" applyBorder="1" applyAlignment="1">
      <alignment horizontal="center" vertical="center"/>
    </xf>
    <xf numFmtId="0" fontId="20" fillId="34" borderId="17" xfId="0" applyFont="1" applyFill="1" applyBorder="1" applyAlignment="1">
      <alignment horizontal="center" vertical="center"/>
    </xf>
    <xf numFmtId="0" fontId="20" fillId="34" borderId="12" xfId="0" applyFont="1" applyFill="1" applyBorder="1" applyAlignment="1">
      <alignment horizontal="center" vertical="center"/>
    </xf>
    <xf numFmtId="0" fontId="20" fillId="34" borderId="0" xfId="0" applyFont="1" applyFill="1" applyAlignment="1">
      <alignment horizontal="center" vertical="center"/>
    </xf>
    <xf numFmtId="165" fontId="21" fillId="34" borderId="11" xfId="0" applyNumberFormat="1" applyFont="1" applyFill="1" applyBorder="1" applyAlignment="1">
      <alignment horizontal="center" vertical="center"/>
    </xf>
    <xf numFmtId="165" fontId="21" fillId="34" borderId="12" xfId="0" applyNumberFormat="1" applyFont="1" applyFill="1" applyBorder="1" applyAlignment="1">
      <alignment horizontal="center" vertical="center"/>
    </xf>
    <xf numFmtId="165" fontId="21" fillId="34" borderId="13" xfId="0" applyNumberFormat="1" applyFont="1" applyFill="1" applyBorder="1" applyAlignment="1">
      <alignment horizontal="center" vertical="center"/>
    </xf>
    <xf numFmtId="165" fontId="21" fillId="34" borderId="14" xfId="0" applyNumberFormat="1" applyFont="1" applyFill="1" applyBorder="1" applyAlignment="1">
      <alignment horizontal="center" vertical="center"/>
    </xf>
    <xf numFmtId="165" fontId="21" fillId="34" borderId="0" xfId="0" applyNumberFormat="1" applyFont="1" applyFill="1" applyAlignment="1">
      <alignment horizontal="center" vertical="center"/>
    </xf>
    <xf numFmtId="165" fontId="21" fillId="34" borderId="10" xfId="0" applyNumberFormat="1" applyFont="1" applyFill="1" applyBorder="1" applyAlignment="1">
      <alignment horizontal="center" vertical="center"/>
    </xf>
    <xf numFmtId="165" fontId="21" fillId="34" borderId="15" xfId="0" applyNumberFormat="1" applyFont="1" applyFill="1" applyBorder="1" applyAlignment="1">
      <alignment horizontal="center" vertical="center"/>
    </xf>
    <xf numFmtId="165" fontId="21" fillId="34" borderId="16" xfId="0" applyNumberFormat="1" applyFont="1" applyFill="1" applyBorder="1" applyAlignment="1">
      <alignment horizontal="center" vertical="center"/>
    </xf>
    <xf numFmtId="165" fontId="21" fillId="34" borderId="17" xfId="0" applyNumberFormat="1" applyFont="1" applyFill="1" applyBorder="1" applyAlignment="1">
      <alignment horizontal="center" vertical="center"/>
    </xf>
    <xf numFmtId="164" fontId="21" fillId="34" borderId="14" xfId="0" applyNumberFormat="1" applyFont="1" applyFill="1" applyBorder="1" applyAlignment="1">
      <alignment horizontal="center" vertical="center"/>
    </xf>
    <xf numFmtId="164" fontId="21" fillId="34" borderId="0" xfId="0" applyNumberFormat="1" applyFont="1" applyFill="1" applyAlignment="1">
      <alignment horizontal="center" vertical="center"/>
    </xf>
    <xf numFmtId="164" fontId="21" fillId="34" borderId="10" xfId="0" applyNumberFormat="1" applyFont="1" applyFill="1" applyBorder="1" applyAlignment="1">
      <alignment horizontal="center" vertical="center"/>
    </xf>
    <xf numFmtId="164" fontId="21" fillId="34" borderId="15" xfId="0" applyNumberFormat="1" applyFont="1" applyFill="1" applyBorder="1" applyAlignment="1">
      <alignment horizontal="center" vertical="center"/>
    </xf>
    <xf numFmtId="164" fontId="21" fillId="34" borderId="16" xfId="0" applyNumberFormat="1" applyFont="1" applyFill="1" applyBorder="1" applyAlignment="1">
      <alignment horizontal="center" vertical="center"/>
    </xf>
    <xf numFmtId="164" fontId="21" fillId="34" borderId="17" xfId="0" applyNumberFormat="1" applyFont="1" applyFill="1" applyBorder="1" applyAlignment="1">
      <alignment horizontal="center" vertical="center"/>
    </xf>
    <xf numFmtId="0" fontId="17" fillId="33" borderId="0" xfId="0" applyFont="1" applyFill="1" applyAlignment="1">
      <alignment horizontal="center" vertical="center"/>
    </xf>
    <xf numFmtId="0" fontId="20" fillId="34" borderId="14" xfId="0" applyFont="1" applyFill="1" applyBorder="1" applyAlignment="1">
      <alignment horizontal="center" vertical="center"/>
    </xf>
    <xf numFmtId="10" fontId="21" fillId="34" borderId="11" xfId="0" applyNumberFormat="1" applyFont="1" applyFill="1" applyBorder="1" applyAlignment="1">
      <alignment horizontal="center" vertical="center"/>
    </xf>
    <xf numFmtId="10" fontId="21" fillId="34" borderId="12" xfId="0" applyNumberFormat="1" applyFont="1" applyFill="1" applyBorder="1" applyAlignment="1">
      <alignment horizontal="center" vertical="center"/>
    </xf>
    <xf numFmtId="10" fontId="21" fillId="34" borderId="13" xfId="0" applyNumberFormat="1" applyFont="1" applyFill="1" applyBorder="1" applyAlignment="1">
      <alignment horizontal="center" vertical="center"/>
    </xf>
    <xf numFmtId="10" fontId="21" fillId="34" borderId="14" xfId="0" applyNumberFormat="1" applyFont="1" applyFill="1" applyBorder="1" applyAlignment="1">
      <alignment horizontal="center" vertical="center"/>
    </xf>
    <xf numFmtId="10" fontId="21" fillId="34" borderId="0" xfId="0" applyNumberFormat="1" applyFont="1" applyFill="1" applyAlignment="1">
      <alignment horizontal="center" vertical="center"/>
    </xf>
    <xf numFmtId="10" fontId="21" fillId="34" borderId="10" xfId="0" applyNumberFormat="1" applyFont="1" applyFill="1" applyBorder="1" applyAlignment="1">
      <alignment horizontal="center" vertical="center"/>
    </xf>
    <xf numFmtId="10" fontId="21" fillId="34" borderId="15" xfId="0" applyNumberFormat="1" applyFont="1" applyFill="1" applyBorder="1" applyAlignment="1">
      <alignment horizontal="center" vertical="center"/>
    </xf>
    <xf numFmtId="10" fontId="21" fillId="34" borderId="16" xfId="0" applyNumberFormat="1" applyFont="1" applyFill="1" applyBorder="1" applyAlignment="1">
      <alignment horizontal="center" vertical="center"/>
    </xf>
    <xf numFmtId="10" fontId="21" fillId="34" borderId="17" xfId="0" applyNumberFormat="1" applyFont="1" applyFill="1" applyBorder="1" applyAlignment="1">
      <alignment horizontal="center" vertical="center"/>
    </xf>
    <xf numFmtId="165" fontId="20" fillId="34" borderId="11" xfId="0" applyNumberFormat="1" applyFont="1" applyFill="1" applyBorder="1" applyAlignment="1">
      <alignment horizontal="center" vertical="center"/>
    </xf>
    <xf numFmtId="165" fontId="20" fillId="34" borderId="12" xfId="0" applyNumberFormat="1" applyFont="1" applyFill="1" applyBorder="1" applyAlignment="1">
      <alignment horizontal="center" vertical="center"/>
    </xf>
    <xf numFmtId="165" fontId="20" fillId="34" borderId="13" xfId="0" applyNumberFormat="1" applyFont="1" applyFill="1" applyBorder="1" applyAlignment="1">
      <alignment horizontal="center" vertical="center"/>
    </xf>
    <xf numFmtId="165" fontId="20" fillId="34" borderId="14" xfId="0" applyNumberFormat="1" applyFont="1" applyFill="1" applyBorder="1" applyAlignment="1">
      <alignment horizontal="center" vertical="center"/>
    </xf>
    <xf numFmtId="165" fontId="20" fillId="34" borderId="0" xfId="0" applyNumberFormat="1" applyFont="1" applyFill="1" applyAlignment="1">
      <alignment horizontal="center" vertical="center"/>
    </xf>
    <xf numFmtId="165" fontId="20" fillId="34" borderId="10" xfId="0" applyNumberFormat="1" applyFont="1" applyFill="1" applyBorder="1" applyAlignment="1">
      <alignment horizontal="center" vertical="center"/>
    </xf>
    <xf numFmtId="165" fontId="20" fillId="34" borderId="15" xfId="0" applyNumberFormat="1" applyFont="1" applyFill="1" applyBorder="1" applyAlignment="1">
      <alignment horizontal="center" vertical="center"/>
    </xf>
    <xf numFmtId="165" fontId="20" fillId="34" borderId="16" xfId="0" applyNumberFormat="1" applyFont="1" applyFill="1" applyBorder="1" applyAlignment="1">
      <alignment horizontal="center" vertical="center"/>
    </xf>
    <xf numFmtId="165" fontId="20" fillId="34" borderId="17" xfId="0" applyNumberFormat="1" applyFont="1" applyFill="1" applyBorder="1" applyAlignment="1">
      <alignment horizontal="center" vertical="center"/>
    </xf>
    <xf numFmtId="2" fontId="20" fillId="34" borderId="14" xfId="0" applyNumberFormat="1" applyFont="1" applyFill="1" applyBorder="1" applyAlignment="1">
      <alignment horizontal="center" vertical="center"/>
    </xf>
    <xf numFmtId="2" fontId="20" fillId="34" borderId="0" xfId="0" applyNumberFormat="1" applyFont="1" applyFill="1" applyAlignment="1">
      <alignment horizontal="center" vertical="center"/>
    </xf>
    <xf numFmtId="2" fontId="20" fillId="34" borderId="10" xfId="0" applyNumberFormat="1" applyFont="1" applyFill="1" applyBorder="1" applyAlignment="1">
      <alignment horizontal="center" vertical="center"/>
    </xf>
    <xf numFmtId="2" fontId="20" fillId="34" borderId="15" xfId="0" applyNumberFormat="1" applyFont="1" applyFill="1" applyBorder="1" applyAlignment="1">
      <alignment horizontal="center" vertical="center"/>
    </xf>
    <xf numFmtId="2" fontId="20" fillId="34" borderId="16" xfId="0" applyNumberFormat="1" applyFont="1" applyFill="1" applyBorder="1" applyAlignment="1">
      <alignment horizontal="center" vertical="center"/>
    </xf>
    <xf numFmtId="2" fontId="20" fillId="34" borderId="17" xfId="0" applyNumberFormat="1" applyFont="1" applyFill="1" applyBorder="1" applyAlignment="1">
      <alignment horizontal="center" vertical="center"/>
    </xf>
    <xf numFmtId="0" fontId="17" fillId="33" borderId="14" xfId="0" applyFont="1" applyFill="1" applyBorder="1" applyAlignment="1">
      <alignment horizontal="center" vertical="center"/>
    </xf>
    <xf numFmtId="0" fontId="17" fillId="33" borderId="15" xfId="0" applyFont="1" applyFill="1" applyBorder="1" applyAlignment="1">
      <alignment horizontal="center" vertical="center"/>
    </xf>
    <xf numFmtId="0" fontId="17" fillId="33" borderId="16" xfId="0" applyFont="1" applyFill="1" applyBorder="1" applyAlignment="1">
      <alignment horizontal="center" vertical="center"/>
    </xf>
    <xf numFmtId="0" fontId="17" fillId="33" borderId="11" xfId="0" applyFont="1" applyFill="1" applyBorder="1" applyAlignment="1">
      <alignment horizontal="center" vertical="center"/>
    </xf>
    <xf numFmtId="0" fontId="17" fillId="33" borderId="12" xfId="0" applyFont="1" applyFill="1" applyBorder="1" applyAlignment="1">
      <alignment horizontal="center" vertical="center"/>
    </xf>
    <xf numFmtId="0" fontId="17" fillId="33" borderId="13" xfId="0" applyFont="1" applyFill="1" applyBorder="1" applyAlignment="1">
      <alignment horizontal="center" vertical="center"/>
    </xf>
    <xf numFmtId="0" fontId="17" fillId="33" borderId="17" xfId="0" applyFont="1" applyFill="1" applyBorder="1" applyAlignment="1">
      <alignment horizontal="center" vertical="center"/>
    </xf>
    <xf numFmtId="0" fontId="0" fillId="0" borderId="0" xfId="0" applyAlignment="1">
      <alignment horizontal="center"/>
    </xf>
    <xf numFmtId="9" fontId="0" fillId="0" borderId="0" xfId="0" applyNumberFormat="1" applyAlignment="1">
      <alignment horizontal="center"/>
    </xf>
    <xf numFmtId="0" fontId="0" fillId="0" borderId="15" xfId="0" applyBorder="1"/>
    <xf numFmtId="0" fontId="0" fillId="0" borderId="16" xfId="0" applyBorder="1"/>
    <xf numFmtId="0" fontId="0" fillId="0" borderId="0" xfId="0"/>
    <xf numFmtId="0" fontId="0" fillId="0" borderId="18" xfId="0" applyBorder="1"/>
    <xf numFmtId="0" fontId="0" fillId="0" borderId="20" xfId="0" applyBorder="1"/>
    <xf numFmtId="0" fontId="0" fillId="0" borderId="19" xfId="0" applyBorder="1"/>
    <xf numFmtId="1" fontId="0" fillId="34" borderId="11" xfId="0" applyNumberFormat="1" applyFill="1" applyBorder="1" applyAlignment="1">
      <alignment horizontal="center" vertical="center"/>
    </xf>
    <xf numFmtId="1" fontId="0" fillId="34" borderId="13" xfId="0" applyNumberFormat="1" applyFill="1" applyBorder="1" applyAlignment="1">
      <alignment horizontal="center" vertical="center"/>
    </xf>
    <xf numFmtId="1" fontId="0" fillId="34" borderId="18" xfId="0" applyNumberFormat="1" applyFill="1" applyBorder="1" applyAlignment="1">
      <alignment horizontal="center" vertical="center"/>
    </xf>
    <xf numFmtId="1" fontId="0" fillId="34" borderId="19" xfId="0" applyNumberFormat="1" applyFill="1" applyBorder="1" applyAlignment="1">
      <alignment horizontal="center" vertical="center"/>
    </xf>
    <xf numFmtId="1" fontId="0" fillId="34" borderId="15" xfId="0" applyNumberFormat="1" applyFill="1" applyBorder="1" applyAlignment="1">
      <alignment horizontal="center" vertical="center"/>
    </xf>
    <xf numFmtId="1" fontId="0" fillId="34" borderId="17" xfId="0" applyNumberFormat="1" applyFill="1" applyBorder="1" applyAlignment="1">
      <alignment horizontal="center" vertical="center"/>
    </xf>
    <xf numFmtId="0" fontId="0" fillId="0" borderId="12" xfId="0" applyBorder="1" applyAlignment="1">
      <alignment horizontal="left" vertical="center"/>
    </xf>
    <xf numFmtId="1" fontId="0" fillId="34" borderId="14" xfId="0" applyNumberFormat="1" applyFill="1" applyBorder="1" applyAlignment="1">
      <alignment horizontal="center" vertical="center"/>
    </xf>
    <xf numFmtId="1" fontId="0" fillId="34" borderId="10" xfId="0" applyNumberFormat="1" applyFill="1" applyBorder="1" applyAlignment="1">
      <alignment horizontal="center" vertical="center"/>
    </xf>
    <xf numFmtId="0" fontId="0" fillId="0" borderId="0" xfId="0" applyAlignment="1">
      <alignment horizontal="left"/>
    </xf>
    <xf numFmtId="10" fontId="17" fillId="33" borderId="0" xfId="0" applyNumberFormat="1" applyFont="1" applyFill="1" applyAlignment="1">
      <alignment horizontal="center" vertical="center"/>
    </xf>
    <xf numFmtId="164" fontId="0" fillId="0" borderId="0" xfId="0" applyNumberFormat="1" applyAlignment="1">
      <alignment horizontal="center"/>
    </xf>
    <xf numFmtId="0" fontId="13" fillId="35" borderId="0" xfId="0" applyFont="1" applyFill="1" applyAlignment="1">
      <alignment horizontal="center"/>
    </xf>
    <xf numFmtId="0" fontId="0" fillId="37" borderId="18" xfId="0" applyFill="1" applyBorder="1" applyAlignment="1">
      <alignment horizontal="center" vertical="center"/>
    </xf>
    <xf numFmtId="0" fontId="0" fillId="37" borderId="19" xfId="0" applyFill="1" applyBorder="1" applyAlignment="1">
      <alignment horizontal="center" vertical="center"/>
    </xf>
    <xf numFmtId="0" fontId="0" fillId="34" borderId="14" xfId="0" applyFill="1" applyBorder="1" applyAlignment="1">
      <alignment horizontal="center" vertical="center"/>
    </xf>
    <xf numFmtId="0" fontId="0" fillId="34" borderId="10" xfId="0" applyFill="1" applyBorder="1" applyAlignment="1">
      <alignment horizontal="center" vertical="center"/>
    </xf>
    <xf numFmtId="164" fontId="0" fillId="34" borderId="18" xfId="0" applyNumberFormat="1" applyFill="1" applyBorder="1" applyAlignment="1">
      <alignment horizontal="center" vertical="center"/>
    </xf>
    <xf numFmtId="164" fontId="0" fillId="34" borderId="19" xfId="0" applyNumberFormat="1" applyFill="1" applyBorder="1" applyAlignment="1">
      <alignment horizontal="center" vertical="center"/>
    </xf>
    <xf numFmtId="10" fontId="0" fillId="37" borderId="15" xfId="0" applyNumberFormat="1" applyFill="1" applyBorder="1" applyAlignment="1">
      <alignment horizontal="center" vertical="center"/>
    </xf>
    <xf numFmtId="10" fontId="0" fillId="37" borderId="17" xfId="0" applyNumberFormat="1" applyFill="1" applyBorder="1" applyAlignment="1">
      <alignment horizontal="center" vertical="center"/>
    </xf>
    <xf numFmtId="0" fontId="0" fillId="37" borderId="11" xfId="0" applyFill="1" applyBorder="1" applyAlignment="1">
      <alignment horizontal="center" vertical="center"/>
    </xf>
    <xf numFmtId="0" fontId="0" fillId="37" borderId="13" xfId="0" applyFill="1" applyBorder="1" applyAlignment="1">
      <alignment horizontal="center" vertical="center"/>
    </xf>
    <xf numFmtId="4" fontId="0" fillId="0" borderId="0" xfId="0" applyNumberFormat="1" applyAlignment="1">
      <alignment horizontal="center"/>
    </xf>
    <xf numFmtId="9" fontId="0" fillId="0" borderId="0" xfId="0" applyNumberFormat="1"/>
    <xf numFmtId="10" fontId="0" fillId="0" borderId="0" xfId="0" applyNumberFormat="1" applyAlignment="1">
      <alignment horizontal="center"/>
    </xf>
    <xf numFmtId="166" fontId="0" fillId="0" borderId="0" xfId="0" applyNumberFormat="1"/>
    <xf numFmtId="165" fontId="0" fillId="0" borderId="0" xfId="0" applyNumberFormat="1"/>
    <xf numFmtId="16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font>
        <color rgb="FFFF0000"/>
      </font>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4" formatCode="0.00%"/>
    </dxf>
    <dxf>
      <numFmt numFmtId="13" formatCode="0%"/>
    </dxf>
    <dxf>
      <numFmt numFmtId="165" formatCode="&quot;$&quot;#,##0"/>
    </dxf>
    <dxf>
      <numFmt numFmtId="165" formatCode="&quot;$&quot;#,##0"/>
    </dxf>
    <dxf>
      <numFmt numFmtId="164" formatCode="&quot;$&quot;#,##0.00"/>
      <alignment horizontal="right" vertical="bottom" textRotation="0" wrapText="0" indent="0" justifyLastLine="0" shrinkToFit="0" readingOrder="0"/>
    </dxf>
    <dxf>
      <numFmt numFmtId="164" formatCode="&quot;$&quot;#,##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 formatCode="0"/>
    </dxf>
    <dxf>
      <numFmt numFmtId="19" formatCode="m/d/yyyy"/>
    </dxf>
    <dxf>
      <alignment horizontal="right"/>
    </dxf>
    <dxf>
      <numFmt numFmtId="14" formatCode="0.00%"/>
    </dxf>
    <dxf>
      <numFmt numFmtId="165" formatCode="&quot;$&quot;#,##0"/>
    </dxf>
    <dxf>
      <numFmt numFmtId="165" formatCode="&quot;$&quot;#,##0"/>
    </dxf>
    <dxf>
      <numFmt numFmtId="164" formatCode="&quot;$&quot;#,##0.00"/>
    </dxf>
    <dxf>
      <numFmt numFmtId="164" formatCode="&quot;$&quot;#,##0.00"/>
    </dxf>
    <dxf>
      <alignment vertical="top" textRotation="0" wrapText="0" indent="0" justifyLastLine="0" shrinkToFit="0" readingOrder="0"/>
    </dxf>
    <dxf>
      <numFmt numFmtId="1" formatCode="0"/>
      <alignment vertical="top" textRotation="0" wrapText="0" indent="0" justifyLastLine="0" shrinkToFit="0" readingOrder="0"/>
    </dxf>
    <dxf>
      <numFmt numFmtId="2" formatCode="0.00"/>
      <alignment vertical="top" textRotation="0" wrapText="0" indent="0" justifyLastLine="0" shrinkToFit="0" readingOrder="0"/>
    </dxf>
    <dxf>
      <numFmt numFmtId="164" formatCode="&quot;$&quot;#,##0.00"/>
      <alignment vertical="top" textRotation="0" wrapText="0" indent="0" justifyLastLine="0" shrinkToFit="0" readingOrder="0"/>
    </dxf>
    <dxf>
      <numFmt numFmtId="19" formatCode="m/d/yyyy"/>
      <alignment vertical="top" textRotation="0" wrapText="0" indent="0" justifyLastLine="0" shrinkToFit="0" readingOrder="0"/>
    </dxf>
    <dxf>
      <numFmt numFmtId="164" formatCode="&quot;$&quot;#,##0.00"/>
      <alignment horizontal="general" vertical="top" textRotation="0" wrapText="0" indent="0" justifyLastLine="0" shrinkToFit="0" readingOrder="0"/>
    </dxf>
    <dxf>
      <numFmt numFmtId="164" formatCode="&quot;$&quot;#,##0.00"/>
      <alignment horizontal="right" vertical="top" textRotation="0" wrapText="0" indent="0" justifyLastLine="0" shrinkToFit="0" readingOrder="0"/>
    </dxf>
    <dxf>
      <numFmt numFmtId="0" formatCode="General"/>
      <alignment vertical="top" textRotation="0" wrapText="0" indent="0" justifyLastLine="0" shrinkToFit="0" readingOrder="0"/>
    </dxf>
    <dxf>
      <numFmt numFmtId="164" formatCode="&quot;$&quot;#,##0.00"/>
      <alignment vertical="top" textRotation="0" wrapText="0" indent="0" justifyLastLine="0" shrinkToFit="0" readingOrder="0"/>
    </dxf>
    <dxf>
      <numFmt numFmtId="164" formatCode="&quot;$&quot;#,##0.00"/>
      <alignment vertical="top" textRotation="0" wrapText="0" indent="0" justifyLastLine="0" shrinkToFit="0" readingOrder="0"/>
    </dxf>
    <dxf>
      <numFmt numFmtId="164" formatCode="&quot;$&quot;#,##0.00"/>
      <alignment vertical="top" textRotation="0" wrapText="0" indent="0" justifyLastLine="0" shrinkToFit="0" readingOrder="0"/>
    </dxf>
    <dxf>
      <numFmt numFmtId="14" formatCode="0.00%"/>
      <alignment vertical="top" textRotation="0" wrapText="0" indent="0" justifyLastLine="0" shrinkToFit="0" readingOrder="0"/>
    </dxf>
    <dxf>
      <numFmt numFmtId="14" formatCode="0.00%"/>
      <alignment vertical="top" textRotation="0" wrapText="0" indent="0" justifyLastLine="0" shrinkToFit="0" readingOrder="0"/>
    </dxf>
    <dxf>
      <numFmt numFmtId="14" formatCode="0.00%"/>
      <alignment vertical="top" textRotation="0" wrapText="0" indent="0" justifyLastLine="0" shrinkToFit="0" readingOrder="0"/>
    </dxf>
    <dxf>
      <numFmt numFmtId="164" formatCode="&quot;$&quot;#,##0.00"/>
      <alignment vertical="top" textRotation="0" wrapText="0" indent="0" justifyLastLine="0" shrinkToFit="0" readingOrder="0"/>
    </dxf>
    <dxf>
      <numFmt numFmtId="164" formatCode="&quot;$&quot;#,##0.00"/>
      <alignment horizontal="general" vertical="top" textRotation="0" wrapText="0" indent="0" justifyLastLine="0" shrinkToFit="0" readingOrder="0"/>
    </dxf>
    <dxf>
      <numFmt numFmtId="164" formatCode="&quot;$&quot;#,##0.00"/>
      <alignment vertical="top" textRotation="0" wrapText="0" indent="0" justifyLastLine="0" shrinkToFit="0" readingOrder="0"/>
    </dxf>
    <dxf>
      <numFmt numFmtId="164" formatCode="&quot;$&quot;#,##0.00"/>
      <alignment vertical="top" textRotation="0" wrapText="0" indent="0" justifyLastLine="0" shrinkToFit="0" readingOrder="0"/>
    </dxf>
    <dxf>
      <numFmt numFmtId="0" formatCode="General"/>
      <alignment horizontal="center" vertical="top" textRotation="0" wrapText="0" indent="0" justifyLastLine="0" shrinkToFit="0" readingOrder="0"/>
    </dxf>
    <dxf>
      <numFmt numFmtId="2" formatCode="0.00"/>
      <alignment vertical="top" textRotation="0" wrapText="0" indent="0" justifyLastLine="0" shrinkToFit="0" readingOrder="0"/>
    </dxf>
    <dxf>
      <numFmt numFmtId="164" formatCode="&quot;$&quot;#,##0.00"/>
      <alignment vertical="top" textRotation="0" wrapText="0" indent="0" justifyLastLine="0" shrinkToFit="0" readingOrder="0"/>
    </dxf>
    <dxf>
      <numFmt numFmtId="164" formatCode="&quot;$&quot;#,##0.00"/>
      <alignment vertical="top" textRotation="0" wrapText="0" indent="0" justifyLastLine="0" shrinkToFit="0" readingOrder="0"/>
    </dxf>
    <dxf>
      <numFmt numFmtId="164" formatCode="&quot;$&quot;#,##0.00"/>
      <alignment vertical="top" textRotation="0" wrapText="0" indent="0" justifyLastLine="0" shrinkToFit="0" readingOrder="0"/>
    </dxf>
    <dxf>
      <numFmt numFmtId="164" formatCode="&quot;$&quot;#,##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19" formatCode="m/d/yyyy"/>
      <alignment vertical="top" textRotation="0" wrapText="0" indent="0" justifyLastLine="0" shrinkToFit="0" readingOrder="0"/>
      <border diagonalUp="0" diagonalDown="0" outline="0">
        <left/>
        <right/>
        <top style="thin">
          <color theme="4" tint="0.39997558519241921"/>
        </top>
        <bottom style="thin">
          <color theme="4" tint="0.39997558519241921"/>
        </bottom>
      </border>
    </dxf>
    <dxf>
      <alignment vertical="top" textRotation="0" wrapText="0" indent="0" justifyLastLine="0" shrinkToFit="0" readingOrder="0"/>
    </dxf>
    <dxf>
      <numFmt numFmtId="19" formatCode="m/d/yyyy"/>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border>
        <left/>
        <right/>
        <top/>
        <bottom/>
        <horizontal/>
      </border>
    </dxf>
    <dxf>
      <font>
        <sz val="12"/>
        <color theme="0"/>
      </font>
      <fill>
        <patternFill patternType="none">
          <bgColor auto="1"/>
        </patternFill>
      </fill>
    </dxf>
    <dxf>
      <font>
        <b/>
        <i val="0"/>
        <sz val="12"/>
        <color theme="0"/>
        <name val="Aptos Display"/>
        <family val="2"/>
        <scheme val="major"/>
      </font>
      <fill>
        <patternFill>
          <fgColor theme="4" tint="-0.24994659260841701"/>
        </patternFill>
      </fill>
    </dxf>
    <dxf>
      <font>
        <sz val="9"/>
        <color theme="0"/>
      </font>
      <fill>
        <patternFill>
          <fgColor rgb="FF44546A"/>
        </patternFill>
      </fill>
    </dxf>
    <dxf>
      <font>
        <b/>
        <i val="0"/>
        <sz val="11"/>
      </font>
      <fill>
        <patternFill>
          <bgColor rgb="FF44546A"/>
        </patternFill>
      </fill>
    </dxf>
  </dxfs>
  <tableStyles count="5" defaultTableStyle="TableStyleMedium2" defaultPivotStyle="PivotStyleLight16">
    <tableStyle name="Slicer Style 1" pivot="0" table="0" count="4" xr9:uid="{80702C95-CF14-4F39-8B1F-F8D5C982F9C0}">
      <tableStyleElement type="wholeTable" dxfId="62"/>
      <tableStyleElement type="headerRow" dxfId="61"/>
    </tableStyle>
    <tableStyle name="Slicer Style 2" pivot="0" table="0" count="9" xr9:uid="{F1BFD460-F5F6-4999-873E-D6884334FC44}">
      <tableStyleElement type="headerRow" dxfId="60"/>
    </tableStyle>
    <tableStyle name="Slicer Style 3" pivot="0" table="0" count="1" xr9:uid="{0ECA9BC1-CB9A-49D9-9244-D93E8B9EE307}">
      <tableStyleElement type="wholeTable" dxfId="59"/>
    </tableStyle>
    <tableStyle name="Slicer Style 4" pivot="0" table="0" count="0" xr9:uid="{E8F4DCB8-3A73-4B7B-91A7-BF8470C50D50}"/>
    <tableStyle name="Slicer Style 5" pivot="0" table="0" count="1" xr9:uid="{B950CE9D-E222-433A-ACB1-E25403DB9330}">
      <tableStyleElement type="wholeTable" dxfId="58"/>
    </tableStyle>
  </tableStyles>
  <colors>
    <mruColors>
      <color rgb="FFF35929"/>
      <color rgb="FF336699"/>
      <color rgb="FFFFFFFF"/>
      <color rgb="FF696CF5"/>
      <color rgb="FF003366"/>
      <color rgb="FF003399"/>
      <color rgb="FFD36674"/>
      <color rgb="FFF1EFFF"/>
      <color rgb="FFEEB0F4"/>
      <color rgb="FFB1253C"/>
    </mruColors>
  </colors>
  <extLst>
    <ext xmlns:x14="http://schemas.microsoft.com/office/spreadsheetml/2009/9/main" uri="{46F421CA-312F-682f-3DD2-61675219B42D}">
      <x14:dxfs count="10">
        <dxf>
          <font>
            <b/>
            <i val="0"/>
            <sz val="12"/>
            <color rgb="FFFFC000"/>
          </font>
          <fill>
            <patternFill>
              <fgColor rgb="FF44546A"/>
            </patternFill>
          </fill>
        </dxf>
        <dxf>
          <font>
            <sz val="11"/>
            <color theme="0"/>
          </font>
          <fill>
            <patternFill>
              <fgColor rgb="FF44546A"/>
            </patternFill>
          </fill>
        </dxf>
        <dxf>
          <font>
            <b/>
            <i val="0"/>
            <sz val="12"/>
            <color rgb="FFFFC000"/>
          </font>
          <fill>
            <patternFill>
              <fgColor rgb="FF44546A"/>
            </patternFill>
          </fill>
        </dxf>
        <dxf>
          <font>
            <color theme="0"/>
          </font>
          <fill>
            <patternFill>
              <fgColor rgb="FF44546A"/>
            </patternFill>
          </fill>
        </dxf>
        <dxf>
          <font>
            <sz val="11"/>
          </font>
          <fill>
            <patternFill>
              <fgColor rgb="FF44546A"/>
            </patternFill>
          </fill>
        </dxf>
        <dxf>
          <font>
            <sz val="12"/>
            <color theme="0"/>
          </font>
          <fill>
            <patternFill>
              <fgColor rgb="FF44546A"/>
            </patternFill>
          </fill>
        </dxf>
        <dxf>
          <font>
            <color theme="0"/>
          </font>
          <fill>
            <patternFill>
              <fgColor rgb="FF44546A"/>
            </patternFill>
          </fill>
        </dxf>
        <dxf>
          <font>
            <b val="0"/>
            <i val="0"/>
            <sz val="11"/>
            <color theme="0"/>
          </font>
          <fill>
            <patternFill>
              <fgColor rgb="FF44546A"/>
            </patternFill>
          </fill>
        </dxf>
        <dxf>
          <font>
            <color theme="0"/>
          </font>
          <fill>
            <patternFill>
              <fgColor rgb="FF44546A"/>
            </patternFill>
          </fill>
        </dxf>
        <dxf>
          <font>
            <color theme="0"/>
          </font>
          <fill>
            <patternFill>
              <fgColor rgb="FF44546A"/>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9"/>
            <x14:slicerStyleElement type="selectedItemWithNoData" dxfId="8"/>
          </x14:slicerStyleElements>
        </x14:slicerStyle>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trading jurnal.xlsx]Chart_Data!PivotTable4</c:name>
    <c:fmtId val="15"/>
  </c:pivotSource>
  <c:chart>
    <c:title>
      <c:tx>
        <c:rich>
          <a:bodyPr rot="0" spcFirstLastPara="1" vertOverflow="ellipsis" vert="horz" wrap="square" anchor="ctr" anchorCtr="1"/>
          <a:lstStyle/>
          <a:p>
            <a:pPr>
              <a:defRPr sz="1400" b="0"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400" b="0">
                <a:solidFill>
                  <a:schemeClr val="tx1"/>
                </a:solidFill>
              </a:rPr>
              <a:t>P&amp;L by Time Frame</a:t>
            </a:r>
          </a:p>
        </c:rich>
      </c:tx>
      <c:layout>
        <c:manualLayout>
          <c:xMode val="edge"/>
          <c:yMode val="edge"/>
          <c:x val="3.5133386312934514E-2"/>
          <c:y val="0.10723559594711345"/>
        </c:manualLayout>
      </c:layout>
      <c:overlay val="0"/>
      <c:spPr>
        <a:noFill/>
        <a:ln>
          <a:noFill/>
        </a:ln>
        <a:effectLst/>
      </c:spPr>
      <c:txPr>
        <a:bodyPr rot="0" spcFirstLastPara="1" vertOverflow="ellipsis" vert="horz" wrap="square" anchor="ctr" anchorCtr="1"/>
        <a:lstStyle/>
        <a:p>
          <a:pPr>
            <a:defRPr sz="1400" b="0"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857151622282777E-2"/>
          <c:y val="0.31522765467882813"/>
          <c:w val="0.91428569675543447"/>
          <c:h val="0.49344870886749037"/>
        </c:manualLayout>
      </c:layout>
      <c:barChart>
        <c:barDir val="col"/>
        <c:grouping val="clustered"/>
        <c:varyColors val="0"/>
        <c:ser>
          <c:idx val="0"/>
          <c:order val="0"/>
          <c:tx>
            <c:strRef>
              <c:f>Chart_Data!$N$4</c:f>
              <c:strCache>
                <c:ptCount val="1"/>
                <c:pt idx="0">
                  <c:v>Sum of % Net_Profit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Chart_Data!$M$5:$M$7</c:f>
              <c:strCache>
                <c:ptCount val="2"/>
                <c:pt idx="0">
                  <c:v>5 minutes</c:v>
                </c:pt>
                <c:pt idx="1">
                  <c:v>15 minutes</c:v>
                </c:pt>
              </c:strCache>
            </c:strRef>
          </c:cat>
          <c:val>
            <c:numRef>
              <c:f>Chart_Data!$N$5:$N$7</c:f>
              <c:numCache>
                <c:formatCode>0.00%</c:formatCode>
                <c:ptCount val="2"/>
                <c:pt idx="0">
                  <c:v>1.1731999999999999E-2</c:v>
                </c:pt>
                <c:pt idx="1">
                  <c:v>8.8176299999999999E-2</c:v>
                </c:pt>
              </c:numCache>
            </c:numRef>
          </c:val>
          <c:extLst>
            <c:ext xmlns:c16="http://schemas.microsoft.com/office/drawing/2014/chart" uri="{C3380CC4-5D6E-409C-BE32-E72D297353CC}">
              <c16:uniqueId val="{0000000D-8370-4919-9DC5-DC2E4970422D}"/>
            </c:ext>
          </c:extLst>
        </c:ser>
        <c:ser>
          <c:idx val="1"/>
          <c:order val="1"/>
          <c:tx>
            <c:strRef>
              <c:f>Chart_Data!$O$4</c:f>
              <c:strCache>
                <c:ptCount val="1"/>
                <c:pt idx="0">
                  <c:v>Sum of % Net_Loss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Chart_Data!$M$5:$M$7</c:f>
              <c:strCache>
                <c:ptCount val="2"/>
                <c:pt idx="0">
                  <c:v>5 minutes</c:v>
                </c:pt>
                <c:pt idx="1">
                  <c:v>15 minutes</c:v>
                </c:pt>
              </c:strCache>
            </c:strRef>
          </c:cat>
          <c:val>
            <c:numRef>
              <c:f>Chart_Data!$O$5:$O$7</c:f>
              <c:numCache>
                <c:formatCode>0.00%</c:formatCode>
                <c:ptCount val="2"/>
                <c:pt idx="0">
                  <c:v>1.16407E-2</c:v>
                </c:pt>
                <c:pt idx="1">
                  <c:v>2.3399500000000004E-2</c:v>
                </c:pt>
              </c:numCache>
            </c:numRef>
          </c:val>
          <c:extLst>
            <c:ext xmlns:c16="http://schemas.microsoft.com/office/drawing/2014/chart" uri="{C3380CC4-5D6E-409C-BE32-E72D297353CC}">
              <c16:uniqueId val="{0000000E-8370-4919-9DC5-DC2E4970422D}"/>
            </c:ext>
          </c:extLst>
        </c:ser>
        <c:dLbls>
          <c:dLblPos val="outEnd"/>
          <c:showLegendKey val="0"/>
          <c:showVal val="1"/>
          <c:showCatName val="0"/>
          <c:showSerName val="0"/>
          <c:showPercent val="0"/>
          <c:showBubbleSize val="0"/>
        </c:dLbls>
        <c:gapWidth val="100"/>
        <c:overlap val="-24"/>
        <c:axId val="1997286920"/>
        <c:axId val="251188231"/>
      </c:barChart>
      <c:catAx>
        <c:axId val="1997286920"/>
        <c:scaling>
          <c:orientation val="minMax"/>
        </c:scaling>
        <c:delete val="0"/>
        <c:axPos val="b"/>
        <c:numFmt formatCode="General" sourceLinked="1"/>
        <c:majorTickMark val="none"/>
        <c:minorTickMark val="none"/>
        <c:tickLblPos val="nextTo"/>
        <c:spPr>
          <a:noFill/>
          <a:ln w="12700" cap="flat" cmpd="sng" algn="ctr">
            <a:solidFill>
              <a:schemeClr val="bg2">
                <a:lumMod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51188231"/>
        <c:crosses val="autoZero"/>
        <c:auto val="1"/>
        <c:lblAlgn val="ctr"/>
        <c:lblOffset val="100"/>
        <c:noMultiLvlLbl val="0"/>
      </c:catAx>
      <c:valAx>
        <c:axId val="251188231"/>
        <c:scaling>
          <c:orientation val="minMax"/>
        </c:scaling>
        <c:delete val="1"/>
        <c:axPos val="l"/>
        <c:numFmt formatCode="0.00%" sourceLinked="1"/>
        <c:majorTickMark val="none"/>
        <c:minorTickMark val="none"/>
        <c:tickLblPos val="nextTo"/>
        <c:crossAx val="1997286920"/>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trading jurnal.xlsx]Chart_Data!PivotTable9</c:name>
    <c:fmtId val="4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End Month Equity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Chart_Data!$AH$4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Chart_Data!$AG$5:$AG$8</c:f>
              <c:strCache>
                <c:ptCount val="3"/>
                <c:pt idx="0">
                  <c:v>Jun-2025</c:v>
                </c:pt>
                <c:pt idx="1">
                  <c:v>Jul-2025</c:v>
                </c:pt>
                <c:pt idx="2">
                  <c:v>Aug-2025</c:v>
                </c:pt>
              </c:strCache>
            </c:strRef>
          </c:cat>
          <c:val>
            <c:numRef>
              <c:f>Chart_Data!$AH$5:$AH$8</c:f>
              <c:numCache>
                <c:formatCode>"$"#,##0.00</c:formatCode>
                <c:ptCount val="3"/>
                <c:pt idx="0">
                  <c:v>97442.419999999984</c:v>
                </c:pt>
                <c:pt idx="1">
                  <c:v>103661.62999999999</c:v>
                </c:pt>
                <c:pt idx="2">
                  <c:v>106351.28</c:v>
                </c:pt>
              </c:numCache>
            </c:numRef>
          </c:val>
          <c:extLst>
            <c:ext xmlns:c16="http://schemas.microsoft.com/office/drawing/2014/chart" uri="{C3380CC4-5D6E-409C-BE32-E72D297353CC}">
              <c16:uniqueId val="{00000000-BF18-4FDB-B9FC-AA182BCBAAF6}"/>
            </c:ext>
          </c:extLst>
        </c:ser>
        <c:dLbls>
          <c:dLblPos val="outEnd"/>
          <c:showLegendKey val="0"/>
          <c:showVal val="1"/>
          <c:showCatName val="0"/>
          <c:showSerName val="0"/>
          <c:showPercent val="0"/>
          <c:showBubbleSize val="0"/>
        </c:dLbls>
        <c:gapWidth val="500"/>
        <c:overlap val="-27"/>
        <c:axId val="762226136"/>
        <c:axId val="762220016"/>
      </c:barChart>
      <c:catAx>
        <c:axId val="762226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220016"/>
        <c:crosses val="autoZero"/>
        <c:auto val="1"/>
        <c:lblAlgn val="ctr"/>
        <c:lblOffset val="100"/>
        <c:noMultiLvlLbl val="0"/>
      </c:catAx>
      <c:valAx>
        <c:axId val="762220016"/>
        <c:scaling>
          <c:orientation val="minMax"/>
        </c:scaling>
        <c:delete val="1"/>
        <c:axPos val="l"/>
        <c:numFmt formatCode="&quot;$&quot;#,##0.00" sourceLinked="1"/>
        <c:majorTickMark val="none"/>
        <c:minorTickMark val="none"/>
        <c:tickLblPos val="nextTo"/>
        <c:crossAx val="762226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trading jurnal.xlsx]Chart_Data!PivotTable12</c:name>
    <c:fmtId val="3"/>
  </c:pivotSource>
  <c:chart>
    <c:autoTitleDeleted val="0"/>
    <c:pivotFmts>
      <c:pivotFmt>
        <c:idx val="0"/>
        <c:spPr>
          <a:gradFill flip="none" rotWithShape="1">
            <a:gsLst>
              <a:gs pos="0">
                <a:schemeClr val="accent1">
                  <a:lumMod val="67000"/>
                </a:schemeClr>
              </a:gs>
              <a:gs pos="34000">
                <a:schemeClr val="accent1">
                  <a:lumMod val="97000"/>
                  <a:lumOff val="3000"/>
                </a:schemeClr>
              </a:gs>
              <a:gs pos="77000">
                <a:schemeClr val="accent1">
                  <a:lumMod val="20000"/>
                  <a:lumOff val="8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23000">
                <a:schemeClr val="accent2">
                  <a:lumMod val="20000"/>
                  <a:lumOff val="80000"/>
                </a:schemeClr>
              </a:gs>
              <a:gs pos="63000">
                <a:schemeClr val="accent2">
                  <a:lumMod val="40000"/>
                  <a:lumOff val="60000"/>
                </a:schemeClr>
              </a:gs>
              <a:gs pos="100000">
                <a:schemeClr val="accent2"/>
              </a:gs>
            </a:gsLst>
            <a:path path="circle">
              <a:fillToRect l="50000" t="-80000" r="50000" b="18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23000">
                <a:schemeClr val="accent4">
                  <a:lumMod val="20000"/>
                  <a:lumOff val="80000"/>
                </a:schemeClr>
              </a:gs>
              <a:gs pos="63000">
                <a:schemeClr val="accent4">
                  <a:lumMod val="60000"/>
                  <a:lumOff val="40000"/>
                </a:schemeClr>
              </a:gs>
              <a:gs pos="100000">
                <a:schemeClr val="accent4">
                  <a:lumMod val="75000"/>
                </a:schemeClr>
              </a:gs>
            </a:gsLst>
            <a:path path="circle">
              <a:fillToRect l="50000" t="-80000" r="50000" b="18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42000">
                <a:schemeClr val="accent2">
                  <a:lumMod val="20000"/>
                  <a:lumOff val="80000"/>
                </a:schemeClr>
              </a:gs>
              <a:gs pos="79000">
                <a:schemeClr val="accent2">
                  <a:lumMod val="60000"/>
                  <a:lumOff val="40000"/>
                </a:schemeClr>
              </a:gs>
              <a:gs pos="100000">
                <a:schemeClr val="accent2">
                  <a:lumMod val="100000"/>
                </a:schemeClr>
              </a:gs>
            </a:gsLst>
            <a:path path="circle">
              <a:fillToRect l="50000" t="-80000" r="50000" b="18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23000">
                <a:schemeClr val="accent4">
                  <a:lumMod val="20000"/>
                  <a:lumOff val="80000"/>
                </a:schemeClr>
              </a:gs>
              <a:gs pos="63000">
                <a:schemeClr val="accent4">
                  <a:lumMod val="60000"/>
                  <a:lumOff val="40000"/>
                </a:schemeClr>
              </a:gs>
              <a:gs pos="100000">
                <a:schemeClr val="accent4">
                  <a:lumMod val="75000"/>
                </a:schemeClr>
              </a:gs>
            </a:gsLst>
            <a:path path="circle">
              <a:fillToRect l="50000" t="-80000" r="50000" b="18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42000">
                <a:schemeClr val="accent2">
                  <a:lumMod val="20000"/>
                  <a:lumOff val="80000"/>
                </a:schemeClr>
              </a:gs>
              <a:gs pos="79000">
                <a:schemeClr val="accent2">
                  <a:lumMod val="60000"/>
                  <a:lumOff val="40000"/>
                </a:schemeClr>
              </a:gs>
              <a:gs pos="100000">
                <a:schemeClr val="accent2">
                  <a:lumMod val="100000"/>
                </a:schemeClr>
              </a:gs>
            </a:gsLst>
            <a:path path="circle">
              <a:fillToRect l="50000" t="-80000" r="50000" b="18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23000">
                <a:schemeClr val="accent4">
                  <a:lumMod val="20000"/>
                  <a:lumOff val="80000"/>
                </a:schemeClr>
              </a:gs>
              <a:gs pos="63000">
                <a:schemeClr val="accent4">
                  <a:lumMod val="60000"/>
                  <a:lumOff val="40000"/>
                </a:schemeClr>
              </a:gs>
              <a:gs pos="100000">
                <a:schemeClr val="accent4">
                  <a:lumMod val="75000"/>
                </a:schemeClr>
              </a:gs>
            </a:gsLst>
            <a:path path="circle">
              <a:fillToRect l="50000" t="-80000" r="50000" b="18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42000">
                <a:schemeClr val="accent2">
                  <a:lumMod val="20000"/>
                  <a:lumOff val="80000"/>
                </a:schemeClr>
              </a:gs>
              <a:gs pos="79000">
                <a:schemeClr val="accent2">
                  <a:lumMod val="60000"/>
                  <a:lumOff val="40000"/>
                </a:schemeClr>
              </a:gs>
              <a:gs pos="100000">
                <a:schemeClr val="accent2">
                  <a:lumMod val="100000"/>
                </a:schemeClr>
              </a:gs>
            </a:gsLst>
            <a:path path="circle">
              <a:fillToRect l="50000" t="-80000" r="50000" b="18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066284896206155E-2"/>
          <c:y val="2.0962549819588238E-2"/>
          <c:w val="0.96455618850595681"/>
          <c:h val="0.76732167186474809"/>
        </c:manualLayout>
      </c:layout>
      <c:barChart>
        <c:barDir val="col"/>
        <c:grouping val="clustered"/>
        <c:varyColors val="0"/>
        <c:ser>
          <c:idx val="0"/>
          <c:order val="0"/>
          <c:tx>
            <c:strRef>
              <c:f>Chart_Data!$F$4</c:f>
              <c:strCache>
                <c:ptCount val="1"/>
                <c:pt idx="0">
                  <c:v>Sum of New Net_Profit</c:v>
                </c:pt>
              </c:strCache>
            </c:strRef>
          </c:tx>
          <c:spPr>
            <a:gradFill>
              <a:gsLst>
                <a:gs pos="23000">
                  <a:schemeClr val="accent4">
                    <a:lumMod val="20000"/>
                    <a:lumOff val="80000"/>
                  </a:schemeClr>
                </a:gs>
                <a:gs pos="63000">
                  <a:schemeClr val="accent4">
                    <a:lumMod val="60000"/>
                    <a:lumOff val="40000"/>
                  </a:schemeClr>
                </a:gs>
                <a:gs pos="100000">
                  <a:schemeClr val="accent4">
                    <a:lumMod val="75000"/>
                  </a:schemeClr>
                </a:gs>
              </a:gsLst>
              <a:path path="circle">
                <a:fillToRect l="50000" t="-80000" r="50000" b="180000"/>
              </a:path>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Chart_Data!$E$5:$E$30</c:f>
              <c:multiLvlStrCache>
                <c:ptCount val="14"/>
                <c:lvl>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lvl>
                <c:lvl>
                  <c:pt idx="0">
                    <c:v>15-Jul</c:v>
                  </c:pt>
                  <c:pt idx="1">
                    <c:v>17-Jul</c:v>
                  </c:pt>
                  <c:pt idx="4">
                    <c:v>21-Jul</c:v>
                  </c:pt>
                  <c:pt idx="5">
                    <c:v>22-Jul</c:v>
                  </c:pt>
                  <c:pt idx="7">
                    <c:v>26-Jul</c:v>
                  </c:pt>
                  <c:pt idx="8">
                    <c:v>01-Aug</c:v>
                  </c:pt>
                  <c:pt idx="9">
                    <c:v>02-Aug</c:v>
                  </c:pt>
                  <c:pt idx="10">
                    <c:v>03-Aug</c:v>
                  </c:pt>
                  <c:pt idx="11">
                    <c:v>04-Aug</c:v>
                  </c:pt>
                  <c:pt idx="12">
                    <c:v>05-Aug</c:v>
                  </c:pt>
                  <c:pt idx="13">
                    <c:v>06-Aug</c:v>
                  </c:pt>
                </c:lvl>
              </c:multiLvlStrCache>
            </c:multiLvlStrRef>
          </c:cat>
          <c:val>
            <c:numRef>
              <c:f>Chart_Data!$F$5:$F$30</c:f>
              <c:numCache>
                <c:formatCode>0.00%</c:formatCode>
                <c:ptCount val="14"/>
                <c:pt idx="0">
                  <c:v>7.8899999999999994E-3</c:v>
                </c:pt>
                <c:pt idx="1">
                  <c:v>2.6926999999999997E-3</c:v>
                </c:pt>
                <c:pt idx="2">
                  <c:v>6.0385000000000005E-3</c:v>
                </c:pt>
                <c:pt idx="3">
                  <c:v>5.0192000000000006E-3</c:v>
                </c:pt>
                <c:pt idx="4">
                  <c:v>1.0824E-2</c:v>
                </c:pt>
                <c:pt idx="5">
                  <c:v>#N/A</c:v>
                </c:pt>
                <c:pt idx="6">
                  <c:v>3.0165999999999995E-3</c:v>
                </c:pt>
                <c:pt idx="7">
                  <c:v>2.6926999999999997E-3</c:v>
                </c:pt>
                <c:pt idx="8">
                  <c:v>6.0385000000000005E-3</c:v>
                </c:pt>
                <c:pt idx="9">
                  <c:v>5.0192000000000006E-3</c:v>
                </c:pt>
                <c:pt idx="10">
                  <c:v>1.0824E-2</c:v>
                </c:pt>
                <c:pt idx="11">
                  <c:v>#N/A</c:v>
                </c:pt>
                <c:pt idx="12">
                  <c:v>3.0165999999999995E-3</c:v>
                </c:pt>
                <c:pt idx="13">
                  <c:v>3.0165999999999995E-3</c:v>
                </c:pt>
              </c:numCache>
            </c:numRef>
          </c:val>
          <c:extLst>
            <c:ext xmlns:c16="http://schemas.microsoft.com/office/drawing/2014/chart" uri="{C3380CC4-5D6E-409C-BE32-E72D297353CC}">
              <c16:uniqueId val="{00000000-5E16-4AC5-A68C-0D8615F8D0A7}"/>
            </c:ext>
          </c:extLst>
        </c:ser>
        <c:ser>
          <c:idx val="1"/>
          <c:order val="1"/>
          <c:tx>
            <c:strRef>
              <c:f>Chart_Data!$G$4</c:f>
              <c:strCache>
                <c:ptCount val="1"/>
                <c:pt idx="0">
                  <c:v>Sum of New_Net_Loss</c:v>
                </c:pt>
              </c:strCache>
            </c:strRef>
          </c:tx>
          <c:spPr>
            <a:gradFill flip="none" rotWithShape="1">
              <a:gsLst>
                <a:gs pos="42000">
                  <a:schemeClr val="accent2">
                    <a:lumMod val="20000"/>
                    <a:lumOff val="80000"/>
                  </a:schemeClr>
                </a:gs>
                <a:gs pos="79000">
                  <a:schemeClr val="accent2">
                    <a:lumMod val="60000"/>
                    <a:lumOff val="40000"/>
                  </a:schemeClr>
                </a:gs>
                <a:gs pos="100000">
                  <a:schemeClr val="accent2">
                    <a:lumMod val="100000"/>
                  </a:schemeClr>
                </a:gs>
              </a:gsLst>
              <a:path path="circle">
                <a:fillToRect l="50000" t="-80000" r="50000" b="18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Chart_Data!$E$5:$E$30</c:f>
              <c:multiLvlStrCache>
                <c:ptCount val="14"/>
                <c:lvl>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lvl>
                <c:lvl>
                  <c:pt idx="0">
                    <c:v>15-Jul</c:v>
                  </c:pt>
                  <c:pt idx="1">
                    <c:v>17-Jul</c:v>
                  </c:pt>
                  <c:pt idx="4">
                    <c:v>21-Jul</c:v>
                  </c:pt>
                  <c:pt idx="5">
                    <c:v>22-Jul</c:v>
                  </c:pt>
                  <c:pt idx="7">
                    <c:v>26-Jul</c:v>
                  </c:pt>
                  <c:pt idx="8">
                    <c:v>01-Aug</c:v>
                  </c:pt>
                  <c:pt idx="9">
                    <c:v>02-Aug</c:v>
                  </c:pt>
                  <c:pt idx="10">
                    <c:v>03-Aug</c:v>
                  </c:pt>
                  <c:pt idx="11">
                    <c:v>04-Aug</c:v>
                  </c:pt>
                  <c:pt idx="12">
                    <c:v>05-Aug</c:v>
                  </c:pt>
                  <c:pt idx="13">
                    <c:v>06-Aug</c:v>
                  </c:pt>
                </c:lvl>
              </c:multiLvlStrCache>
            </c:multiLvlStrRef>
          </c:cat>
          <c:val>
            <c:numRef>
              <c:f>Chart_Data!$G$5:$G$30</c:f>
              <c:numCache>
                <c:formatCode>0.00%</c:formatCode>
                <c:ptCount val="14"/>
                <c:pt idx="0">
                  <c:v>#N/A</c:v>
                </c:pt>
                <c:pt idx="1">
                  <c:v>#N/A</c:v>
                </c:pt>
                <c:pt idx="2">
                  <c:v>#N/A</c:v>
                </c:pt>
                <c:pt idx="3">
                  <c:v>#N/A</c:v>
                </c:pt>
                <c:pt idx="4">
                  <c:v>#N/A</c:v>
                </c:pt>
                <c:pt idx="5">
                  <c:v>8.1840000000000005E-4</c:v>
                </c:pt>
                <c:pt idx="6">
                  <c:v>#N/A</c:v>
                </c:pt>
                <c:pt idx="7">
                  <c:v>#N/A</c:v>
                </c:pt>
                <c:pt idx="8">
                  <c:v>#N/A</c:v>
                </c:pt>
                <c:pt idx="9">
                  <c:v>#N/A</c:v>
                </c:pt>
                <c:pt idx="10">
                  <c:v>#N/A</c:v>
                </c:pt>
                <c:pt idx="11">
                  <c:v>8.1840000000000005E-4</c:v>
                </c:pt>
                <c:pt idx="12">
                  <c:v>#N/A</c:v>
                </c:pt>
                <c:pt idx="13">
                  <c:v>#N/A</c:v>
                </c:pt>
              </c:numCache>
            </c:numRef>
          </c:val>
          <c:extLst>
            <c:ext xmlns:c16="http://schemas.microsoft.com/office/drawing/2014/chart" uri="{C3380CC4-5D6E-409C-BE32-E72D297353CC}">
              <c16:uniqueId val="{00000001-5E16-4AC5-A68C-0D8615F8D0A7}"/>
            </c:ext>
          </c:extLst>
        </c:ser>
        <c:dLbls>
          <c:dLblPos val="outEnd"/>
          <c:showLegendKey val="0"/>
          <c:showVal val="1"/>
          <c:showCatName val="0"/>
          <c:showSerName val="0"/>
          <c:showPercent val="0"/>
          <c:showBubbleSize val="0"/>
        </c:dLbls>
        <c:gapWidth val="219"/>
        <c:overlap val="-27"/>
        <c:axId val="1253155360"/>
        <c:axId val="1253155720"/>
      </c:barChart>
      <c:catAx>
        <c:axId val="125315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155720"/>
        <c:crosses val="autoZero"/>
        <c:auto val="1"/>
        <c:lblAlgn val="ctr"/>
        <c:lblOffset val="1"/>
        <c:tickLblSkip val="1"/>
        <c:tickMarkSkip val="1"/>
        <c:noMultiLvlLbl val="0"/>
      </c:catAx>
      <c:valAx>
        <c:axId val="1253155720"/>
        <c:scaling>
          <c:orientation val="minMax"/>
        </c:scaling>
        <c:delete val="1"/>
        <c:axPos val="l"/>
        <c:numFmt formatCode="0.00%" sourceLinked="1"/>
        <c:majorTickMark val="none"/>
        <c:minorTickMark val="none"/>
        <c:tickLblPos val="nextTo"/>
        <c:crossAx val="12531553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Equity Chart</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Chart_Data!$AU$5</c:f>
              <c:strCache>
                <c:ptCount val="1"/>
                <c:pt idx="0">
                  <c:v>Starting Balance</c:v>
                </c:pt>
              </c:strCache>
            </c:strRef>
          </c:tx>
          <c:spPr>
            <a:ln w="28575" cap="rnd">
              <a:solidFill>
                <a:srgbClr val="C00000"/>
              </a:solidFill>
              <a:round/>
            </a:ln>
            <a:effectLst/>
          </c:spPr>
          <c:marker>
            <c:symbol val="none"/>
          </c:marker>
          <c:dLbls>
            <c:delete val="1"/>
          </c:dLbls>
          <c:val>
            <c:numRef>
              <c:f>Chart_Data!$AU$6:$AU$15</c:f>
              <c:numCache>
                <c:formatCode>0%</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10-6506-4421-AE68-40616F8AB450}"/>
            </c:ext>
          </c:extLst>
        </c:ser>
        <c:ser>
          <c:idx val="3"/>
          <c:order val="1"/>
          <c:tx>
            <c:strRef>
              <c:f>Chart_Data!$AV$5</c:f>
              <c:strCache>
                <c:ptCount val="1"/>
                <c:pt idx="0">
                  <c:v>Current Balance</c:v>
                </c:pt>
              </c:strCache>
            </c:strRef>
          </c:tx>
          <c:spPr>
            <a:ln w="28575" cap="rnd">
              <a:solidFill>
                <a:srgbClr val="00206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6ECD-433F-B45D-D15C6C6F18AE}"/>
                </c:ext>
              </c:extLst>
            </c:dLbl>
            <c:dLbl>
              <c:idx val="1"/>
              <c:delete val="1"/>
              <c:extLst>
                <c:ext xmlns:c15="http://schemas.microsoft.com/office/drawing/2012/chart" uri="{CE6537A1-D6FC-4f65-9D91-7224C49458BB}"/>
                <c:ext xmlns:c16="http://schemas.microsoft.com/office/drawing/2014/chart" uri="{C3380CC4-5D6E-409C-BE32-E72D297353CC}">
                  <c16:uniqueId val="{00000001-6ECD-433F-B45D-D15C6C6F18AE}"/>
                </c:ext>
              </c:extLst>
            </c:dLbl>
            <c:dLbl>
              <c:idx val="2"/>
              <c:delete val="1"/>
              <c:extLst>
                <c:ext xmlns:c15="http://schemas.microsoft.com/office/drawing/2012/chart" uri="{CE6537A1-D6FC-4f65-9D91-7224C49458BB}"/>
                <c:ext xmlns:c16="http://schemas.microsoft.com/office/drawing/2014/chart" uri="{C3380CC4-5D6E-409C-BE32-E72D297353CC}">
                  <c16:uniqueId val="{00000002-6ECD-433F-B45D-D15C6C6F18AE}"/>
                </c:ext>
              </c:extLst>
            </c:dLbl>
            <c:dLbl>
              <c:idx val="3"/>
              <c:delete val="1"/>
              <c:extLst>
                <c:ext xmlns:c15="http://schemas.microsoft.com/office/drawing/2012/chart" uri="{CE6537A1-D6FC-4f65-9D91-7224C49458BB}"/>
                <c:ext xmlns:c16="http://schemas.microsoft.com/office/drawing/2014/chart" uri="{C3380CC4-5D6E-409C-BE32-E72D297353CC}">
                  <c16:uniqueId val="{00000003-6ECD-433F-B45D-D15C6C6F18AE}"/>
                </c:ext>
              </c:extLst>
            </c:dLbl>
            <c:dLbl>
              <c:idx val="4"/>
              <c:delete val="1"/>
              <c:extLst>
                <c:ext xmlns:c15="http://schemas.microsoft.com/office/drawing/2012/chart" uri="{CE6537A1-D6FC-4f65-9D91-7224C49458BB}"/>
                <c:ext xmlns:c16="http://schemas.microsoft.com/office/drawing/2014/chart" uri="{C3380CC4-5D6E-409C-BE32-E72D297353CC}">
                  <c16:uniqueId val="{00000004-6ECD-433F-B45D-D15C6C6F18AE}"/>
                </c:ext>
              </c:extLst>
            </c:dLbl>
            <c:dLbl>
              <c:idx val="5"/>
              <c:layout>
                <c:manualLayout>
                  <c:x val="-8.1234589777037167E-2"/>
                  <c:y val="-5.05702339144004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ECD-433F-B45D-D15C6C6F18AE}"/>
                </c:ext>
              </c:extLst>
            </c:dLbl>
            <c:dLbl>
              <c:idx val="6"/>
              <c:delete val="1"/>
              <c:extLst>
                <c:ext xmlns:c15="http://schemas.microsoft.com/office/drawing/2012/chart" uri="{CE6537A1-D6FC-4f65-9D91-7224C49458BB}"/>
                <c:ext xmlns:c16="http://schemas.microsoft.com/office/drawing/2014/chart" uri="{C3380CC4-5D6E-409C-BE32-E72D297353CC}">
                  <c16:uniqueId val="{00000006-6ECD-433F-B45D-D15C6C6F18AE}"/>
                </c:ext>
              </c:extLst>
            </c:dLbl>
            <c:dLbl>
              <c:idx val="7"/>
              <c:delete val="1"/>
              <c:extLst>
                <c:ext xmlns:c15="http://schemas.microsoft.com/office/drawing/2012/chart" uri="{CE6537A1-D6FC-4f65-9D91-7224C49458BB}"/>
                <c:ext xmlns:c16="http://schemas.microsoft.com/office/drawing/2014/chart" uri="{C3380CC4-5D6E-409C-BE32-E72D297353CC}">
                  <c16:uniqueId val="{00000007-6ECD-433F-B45D-D15C6C6F18AE}"/>
                </c:ext>
              </c:extLst>
            </c:dLbl>
            <c:dLbl>
              <c:idx val="8"/>
              <c:delete val="1"/>
              <c:extLst>
                <c:ext xmlns:c15="http://schemas.microsoft.com/office/drawing/2012/chart" uri="{CE6537A1-D6FC-4f65-9D91-7224C49458BB}"/>
                <c:ext xmlns:c16="http://schemas.microsoft.com/office/drawing/2014/chart" uri="{C3380CC4-5D6E-409C-BE32-E72D297353CC}">
                  <c16:uniqueId val="{00000008-6ECD-433F-B45D-D15C6C6F18AE}"/>
                </c:ext>
              </c:extLst>
            </c:dLbl>
            <c:dLbl>
              <c:idx val="9"/>
              <c:delete val="1"/>
              <c:extLst>
                <c:ext xmlns:c15="http://schemas.microsoft.com/office/drawing/2012/chart" uri="{CE6537A1-D6FC-4f65-9D91-7224C49458BB}"/>
                <c:ext xmlns:c16="http://schemas.microsoft.com/office/drawing/2014/chart" uri="{C3380CC4-5D6E-409C-BE32-E72D297353CC}">
                  <c16:uniqueId val="{00000009-6ECD-433F-B45D-D15C6C6F18AE}"/>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Chart_Data!$AV$6:$AV$15</c:f>
              <c:numCache>
                <c:formatCode>0.00%</c:formatCode>
                <c:ptCount val="10"/>
                <c:pt idx="0">
                  <c:v>6.3512800000000036E-2</c:v>
                </c:pt>
                <c:pt idx="1">
                  <c:v>6.3512800000000036E-2</c:v>
                </c:pt>
                <c:pt idx="2">
                  <c:v>6.3512800000000036E-2</c:v>
                </c:pt>
                <c:pt idx="3">
                  <c:v>6.3512800000000036E-2</c:v>
                </c:pt>
                <c:pt idx="4">
                  <c:v>6.3512800000000036E-2</c:v>
                </c:pt>
                <c:pt idx="5">
                  <c:v>6.3512800000000036E-2</c:v>
                </c:pt>
                <c:pt idx="6">
                  <c:v>6.3512800000000036E-2</c:v>
                </c:pt>
                <c:pt idx="7">
                  <c:v>6.3512800000000036E-2</c:v>
                </c:pt>
                <c:pt idx="8">
                  <c:v>6.3512800000000036E-2</c:v>
                </c:pt>
                <c:pt idx="9">
                  <c:v>6.3512800000000036E-2</c:v>
                </c:pt>
              </c:numCache>
            </c:numRef>
          </c:val>
          <c:smooth val="0"/>
          <c:extLst>
            <c:ext xmlns:c16="http://schemas.microsoft.com/office/drawing/2014/chart" uri="{C3380CC4-5D6E-409C-BE32-E72D297353CC}">
              <c16:uniqueId val="{00000011-6506-4421-AE68-40616F8AB450}"/>
            </c:ext>
          </c:extLst>
        </c:ser>
        <c:dLbls>
          <c:dLblPos val="t"/>
          <c:showLegendKey val="0"/>
          <c:showVal val="1"/>
          <c:showCatName val="0"/>
          <c:showSerName val="0"/>
          <c:showPercent val="0"/>
          <c:showBubbleSize val="0"/>
        </c:dLbls>
        <c:smooth val="0"/>
        <c:axId val="1186641552"/>
        <c:axId val="1186636872"/>
      </c:lineChart>
      <c:catAx>
        <c:axId val="1186641552"/>
        <c:scaling>
          <c:orientation val="minMax"/>
        </c:scaling>
        <c:delete val="1"/>
        <c:axPos val="b"/>
        <c:majorTickMark val="none"/>
        <c:minorTickMark val="none"/>
        <c:tickLblPos val="nextTo"/>
        <c:crossAx val="1186636872"/>
        <c:crosses val="autoZero"/>
        <c:auto val="1"/>
        <c:lblAlgn val="ctr"/>
        <c:lblOffset val="100"/>
        <c:noMultiLvlLbl val="0"/>
      </c:catAx>
      <c:valAx>
        <c:axId val="1186636872"/>
        <c:scaling>
          <c:orientation val="minMax"/>
          <c:max val="0.1"/>
          <c:min val="-0.1"/>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641552"/>
        <c:crosses val="autoZero"/>
        <c:crossBetween val="between"/>
        <c:majorUnit val="2.0000000000000004E-2"/>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trading jurnal.xlsx]Chart_Data!PivotTable5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&amp; Loss by Directions</a:t>
            </a:r>
          </a:p>
        </c:rich>
      </c:tx>
      <c:layout>
        <c:manualLayout>
          <c:xMode val="edge"/>
          <c:yMode val="edge"/>
          <c:x val="0.30396574276204047"/>
          <c:y val="2.285804792270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048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BE501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Chart_Data!$R$4</c:f>
              <c:strCache>
                <c:ptCount val="1"/>
                <c:pt idx="0">
                  <c:v>Sum of % Net_Profit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Chart_Data!$Q$5:$Q$7</c:f>
              <c:strCache>
                <c:ptCount val="2"/>
                <c:pt idx="0">
                  <c:v>Long</c:v>
                </c:pt>
                <c:pt idx="1">
                  <c:v>Short</c:v>
                </c:pt>
              </c:strCache>
            </c:strRef>
          </c:cat>
          <c:val>
            <c:numRef>
              <c:f>Chart_Data!$R$5:$R$7</c:f>
              <c:numCache>
                <c:formatCode>0.00%</c:formatCode>
                <c:ptCount val="2"/>
                <c:pt idx="0">
                  <c:v>8.5148700000000008E-2</c:v>
                </c:pt>
                <c:pt idx="1">
                  <c:v>1.4759599999999998E-2</c:v>
                </c:pt>
              </c:numCache>
            </c:numRef>
          </c:val>
          <c:extLst>
            <c:ext xmlns:c16="http://schemas.microsoft.com/office/drawing/2014/chart" uri="{C3380CC4-5D6E-409C-BE32-E72D297353CC}">
              <c16:uniqueId val="{00000005-26FD-4E26-A6D7-C13B3545B0F3}"/>
            </c:ext>
          </c:extLst>
        </c:ser>
        <c:ser>
          <c:idx val="1"/>
          <c:order val="1"/>
          <c:tx>
            <c:strRef>
              <c:f>Chart_Data!$S$4</c:f>
              <c:strCache>
                <c:ptCount val="1"/>
                <c:pt idx="0">
                  <c:v>Sum of % Net_Loss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Chart_Data!$Q$5:$Q$7</c:f>
              <c:strCache>
                <c:ptCount val="2"/>
                <c:pt idx="0">
                  <c:v>Long</c:v>
                </c:pt>
                <c:pt idx="1">
                  <c:v>Short</c:v>
                </c:pt>
              </c:strCache>
            </c:strRef>
          </c:cat>
          <c:val>
            <c:numRef>
              <c:f>Chart_Data!$S$5:$S$7</c:f>
              <c:numCache>
                <c:formatCode>0.00%</c:formatCode>
                <c:ptCount val="2"/>
                <c:pt idx="0">
                  <c:v>3.2275399999999996E-2</c:v>
                </c:pt>
                <c:pt idx="1">
                  <c:v>2.7648E-3</c:v>
                </c:pt>
              </c:numCache>
            </c:numRef>
          </c:val>
          <c:extLst>
            <c:ext xmlns:c16="http://schemas.microsoft.com/office/drawing/2014/chart" uri="{C3380CC4-5D6E-409C-BE32-E72D297353CC}">
              <c16:uniqueId val="{00000006-26FD-4E26-A6D7-C13B3545B0F3}"/>
            </c:ext>
          </c:extLst>
        </c:ser>
        <c:dLbls>
          <c:dLblPos val="outEnd"/>
          <c:showLegendKey val="0"/>
          <c:showVal val="1"/>
          <c:showCatName val="0"/>
          <c:showSerName val="0"/>
          <c:showPercent val="0"/>
          <c:showBubbleSize val="0"/>
        </c:dLbls>
        <c:gapWidth val="219"/>
        <c:overlap val="-27"/>
        <c:axId val="278468616"/>
        <c:axId val="278492680"/>
      </c:barChart>
      <c:catAx>
        <c:axId val="278468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492680"/>
        <c:crosses val="autoZero"/>
        <c:auto val="1"/>
        <c:lblAlgn val="ctr"/>
        <c:lblOffset val="100"/>
        <c:noMultiLvlLbl val="0"/>
      </c:catAx>
      <c:valAx>
        <c:axId val="278492680"/>
        <c:scaling>
          <c:orientation val="minMax"/>
        </c:scaling>
        <c:delete val="1"/>
        <c:axPos val="l"/>
        <c:numFmt formatCode="0.00%" sourceLinked="1"/>
        <c:majorTickMark val="none"/>
        <c:minorTickMark val="none"/>
        <c:tickLblPos val="nextTo"/>
        <c:crossAx val="278468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trading jurnal.xlsx]Chart_Data!PivotTable6</c:name>
    <c:fmtId val="11"/>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P&amp;L by Currency Pair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Chart_Data!$V$4</c:f>
              <c:strCache>
                <c:ptCount val="1"/>
                <c:pt idx="0">
                  <c:v>Sum of % Net_Profit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Chart_Data!$U$5:$U$15</c:f>
              <c:strCache>
                <c:ptCount val="10"/>
                <c:pt idx="0">
                  <c:v>US30</c:v>
                </c:pt>
                <c:pt idx="1">
                  <c:v>USD/CAD</c:v>
                </c:pt>
                <c:pt idx="2">
                  <c:v>AUD/USD</c:v>
                </c:pt>
                <c:pt idx="3">
                  <c:v>AUD/JPY</c:v>
                </c:pt>
                <c:pt idx="4">
                  <c:v>USD/JPY</c:v>
                </c:pt>
                <c:pt idx="5">
                  <c:v>XAUUSD</c:v>
                </c:pt>
                <c:pt idx="6">
                  <c:v>USD/CHF</c:v>
                </c:pt>
                <c:pt idx="7">
                  <c:v>NZD/USD</c:v>
                </c:pt>
                <c:pt idx="8">
                  <c:v>S&amp;P500</c:v>
                </c:pt>
                <c:pt idx="9">
                  <c:v>GBP/USD</c:v>
                </c:pt>
              </c:strCache>
            </c:strRef>
          </c:cat>
          <c:val>
            <c:numRef>
              <c:f>Chart_Data!$V$5:$V$15</c:f>
              <c:numCache>
                <c:formatCode>0.00%</c:formatCode>
                <c:ptCount val="10"/>
                <c:pt idx="0">
                  <c:v>1.5511999999999998E-3</c:v>
                </c:pt>
                <c:pt idx="1">
                  <c:v>1.4493499999999999E-2</c:v>
                </c:pt>
                <c:pt idx="2">
                  <c:v>0</c:v>
                </c:pt>
                <c:pt idx="3">
                  <c:v>1.2077000000000001E-2</c:v>
                </c:pt>
                <c:pt idx="4">
                  <c:v>1.3890999999999999E-3</c:v>
                </c:pt>
                <c:pt idx="5">
                  <c:v>6.4785000000000009E-2</c:v>
                </c:pt>
                <c:pt idx="6">
                  <c:v>2.9185999999999999E-3</c:v>
                </c:pt>
                <c:pt idx="7">
                  <c:v>1.3185E-3</c:v>
                </c:pt>
                <c:pt idx="8">
                  <c:v>1.3753999999999997E-3</c:v>
                </c:pt>
                <c:pt idx="9">
                  <c:v>0</c:v>
                </c:pt>
              </c:numCache>
            </c:numRef>
          </c:val>
          <c:extLst>
            <c:ext xmlns:c16="http://schemas.microsoft.com/office/drawing/2014/chart" uri="{C3380CC4-5D6E-409C-BE32-E72D297353CC}">
              <c16:uniqueId val="{0000000D-EB0D-4D5C-A0C5-5E2C8AEBB177}"/>
            </c:ext>
          </c:extLst>
        </c:ser>
        <c:ser>
          <c:idx val="1"/>
          <c:order val="1"/>
          <c:tx>
            <c:strRef>
              <c:f>Chart_Data!$W$4</c:f>
              <c:strCache>
                <c:ptCount val="1"/>
                <c:pt idx="0">
                  <c:v>Sum of % Net_Loss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Chart_Data!$U$5:$U$15</c:f>
              <c:strCache>
                <c:ptCount val="10"/>
                <c:pt idx="0">
                  <c:v>US30</c:v>
                </c:pt>
                <c:pt idx="1">
                  <c:v>USD/CAD</c:v>
                </c:pt>
                <c:pt idx="2">
                  <c:v>AUD/USD</c:v>
                </c:pt>
                <c:pt idx="3">
                  <c:v>AUD/JPY</c:v>
                </c:pt>
                <c:pt idx="4">
                  <c:v>USD/JPY</c:v>
                </c:pt>
                <c:pt idx="5">
                  <c:v>XAUUSD</c:v>
                </c:pt>
                <c:pt idx="6">
                  <c:v>USD/CHF</c:v>
                </c:pt>
                <c:pt idx="7">
                  <c:v>NZD/USD</c:v>
                </c:pt>
                <c:pt idx="8">
                  <c:v>S&amp;P500</c:v>
                </c:pt>
                <c:pt idx="9">
                  <c:v>GBP/USD</c:v>
                </c:pt>
              </c:strCache>
            </c:strRef>
          </c:cat>
          <c:val>
            <c:numRef>
              <c:f>Chart_Data!$W$5:$W$15</c:f>
              <c:numCache>
                <c:formatCode>0.00%</c:formatCode>
                <c:ptCount val="10"/>
                <c:pt idx="0">
                  <c:v>1.3824E-3</c:v>
                </c:pt>
                <c:pt idx="1">
                  <c:v>5.218200000000001E-3</c:v>
                </c:pt>
                <c:pt idx="2">
                  <c:v>1.3824E-3</c:v>
                </c:pt>
                <c:pt idx="3">
                  <c:v>0</c:v>
                </c:pt>
                <c:pt idx="4">
                  <c:v>0</c:v>
                </c:pt>
                <c:pt idx="5">
                  <c:v>2.3874700000000002E-2</c:v>
                </c:pt>
                <c:pt idx="6">
                  <c:v>0</c:v>
                </c:pt>
                <c:pt idx="7">
                  <c:v>1.5571000000000001E-3</c:v>
                </c:pt>
                <c:pt idx="8">
                  <c:v>0</c:v>
                </c:pt>
                <c:pt idx="9">
                  <c:v>1.6253999999999999E-3</c:v>
                </c:pt>
              </c:numCache>
            </c:numRef>
          </c:val>
          <c:extLst>
            <c:ext xmlns:c16="http://schemas.microsoft.com/office/drawing/2014/chart" uri="{C3380CC4-5D6E-409C-BE32-E72D297353CC}">
              <c16:uniqueId val="{0000000E-EB0D-4D5C-A0C5-5E2C8AEBB177}"/>
            </c:ext>
          </c:extLst>
        </c:ser>
        <c:dLbls>
          <c:dLblPos val="outEnd"/>
          <c:showLegendKey val="0"/>
          <c:showVal val="1"/>
          <c:showCatName val="0"/>
          <c:showSerName val="0"/>
          <c:showPercent val="0"/>
          <c:showBubbleSize val="0"/>
        </c:dLbls>
        <c:gapWidth val="100"/>
        <c:overlap val="-24"/>
        <c:axId val="147640327"/>
        <c:axId val="1624998408"/>
      </c:barChart>
      <c:catAx>
        <c:axId val="1476403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998408"/>
        <c:crosses val="autoZero"/>
        <c:auto val="1"/>
        <c:lblAlgn val="ctr"/>
        <c:lblOffset val="100"/>
        <c:noMultiLvlLbl val="0"/>
      </c:catAx>
      <c:valAx>
        <c:axId val="1624998408"/>
        <c:scaling>
          <c:orientation val="minMax"/>
        </c:scaling>
        <c:delete val="1"/>
        <c:axPos val="l"/>
        <c:numFmt formatCode="0.00%" sourceLinked="1"/>
        <c:majorTickMark val="none"/>
        <c:minorTickMark val="none"/>
        <c:tickLblPos val="nextTo"/>
        <c:crossAx val="14764032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27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1"/>
          <c:showCatName val="0"/>
          <c:showSerName val="0"/>
          <c:showPercent val="0"/>
          <c:showBubbleSize val="0"/>
          <c:showLeaderLines val="0"/>
        </c:dLbls>
        <c:firstSliceAng val="27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1">
                <a:lumMod val="50000"/>
              </a:schemeClr>
            </a:solidFill>
          </c:spPr>
          <c:dPt>
            <c:idx val="0"/>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1-FCF5-4AAE-9C08-0D80957F8880}"/>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3-FCF5-4AAE-9C08-0D80957F8880}"/>
              </c:ext>
            </c:extLst>
          </c:dPt>
          <c:dPt>
            <c:idx val="2"/>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5-FCF5-4AAE-9C08-0D80957F8880}"/>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FCF5-4AAE-9C08-0D80957F8880}"/>
              </c:ext>
            </c:extLst>
          </c:dPt>
          <c:dPt>
            <c:idx val="4"/>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9-FCF5-4AAE-9C08-0D80957F8880}"/>
              </c:ext>
            </c:extLst>
          </c:dPt>
          <c:dPt>
            <c:idx val="5"/>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B-FCF5-4AAE-9C08-0D80957F8880}"/>
              </c:ext>
            </c:extLst>
          </c:dPt>
          <c:dPt>
            <c:idx val="6"/>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D-FCF5-4AAE-9C08-0D80957F8880}"/>
              </c:ext>
            </c:extLst>
          </c:dPt>
          <c:dPt>
            <c:idx val="7"/>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F-FCF5-4AAE-9C08-0D80957F8880}"/>
              </c:ext>
            </c:extLst>
          </c:dPt>
          <c:dPt>
            <c:idx val="8"/>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11-FCF5-4AAE-9C08-0D80957F8880}"/>
              </c:ext>
            </c:extLst>
          </c:dPt>
          <c:dPt>
            <c:idx val="9"/>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13-FCF5-4AAE-9C08-0D80957F8880}"/>
              </c:ext>
            </c:extLst>
          </c:dPt>
          <c:dPt>
            <c:idx val="10"/>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15-FCF5-4AAE-9C08-0D80957F8880}"/>
              </c:ext>
            </c:extLst>
          </c:dPt>
          <c:dPt>
            <c:idx val="1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17-FCF5-4AAE-9C08-0D80957F8880}"/>
              </c:ext>
            </c:extLst>
          </c:dPt>
          <c:dPt>
            <c:idx val="12"/>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19-FCF5-4AAE-9C08-0D80957F8880}"/>
              </c:ext>
            </c:extLst>
          </c:dPt>
          <c:dPt>
            <c:idx val="1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1B-FCF5-4AAE-9C08-0D80957F8880}"/>
              </c:ext>
            </c:extLst>
          </c:dPt>
          <c:dPt>
            <c:idx val="14"/>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1D-FCF5-4AAE-9C08-0D80957F8880}"/>
              </c:ext>
            </c:extLst>
          </c:dPt>
          <c:dPt>
            <c:idx val="15"/>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1F-FCF5-4AAE-9C08-0D80957F8880}"/>
              </c:ext>
            </c:extLst>
          </c:dPt>
          <c:val>
            <c:numLit>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Lit>
          </c:val>
          <c:extLst>
            <c:ext xmlns:c16="http://schemas.microsoft.com/office/drawing/2014/chart" uri="{C3380CC4-5D6E-409C-BE32-E72D297353CC}">
              <c16:uniqueId val="{00000020-FCF5-4AAE-9C08-0D80957F8880}"/>
            </c:ext>
          </c:extLst>
        </c:ser>
        <c:dLbls>
          <c:showLegendKey val="0"/>
          <c:showVal val="0"/>
          <c:showCatName val="0"/>
          <c:showSerName val="0"/>
          <c:showPercent val="0"/>
          <c:showBubbleSize val="0"/>
          <c:showLeaderLines val="1"/>
        </c:dLbls>
        <c:firstSliceAng val="0"/>
        <c:holeSize val="75"/>
      </c:doughnutChart>
      <c:doughnutChart>
        <c:varyColors val="1"/>
        <c:ser>
          <c:idx val="1"/>
          <c:order val="1"/>
          <c:dPt>
            <c:idx val="0"/>
            <c:bubble3D val="0"/>
            <c:spPr>
              <a:noFill/>
              <a:ln w="19050">
                <a:solidFill>
                  <a:schemeClr val="lt1"/>
                </a:solidFill>
              </a:ln>
              <a:effectLst/>
            </c:spPr>
            <c:extLst>
              <c:ext xmlns:c16="http://schemas.microsoft.com/office/drawing/2014/chart" uri="{C3380CC4-5D6E-409C-BE32-E72D297353CC}">
                <c16:uniqueId val="{00000022-FCF5-4AAE-9C08-0D80957F8880}"/>
              </c:ext>
            </c:extLst>
          </c:dPt>
          <c:dPt>
            <c:idx val="1"/>
            <c:bubble3D val="0"/>
            <c:spPr>
              <a:solidFill>
                <a:schemeClr val="bg1">
                  <a:lumMod val="95000"/>
                  <a:alpha val="73000"/>
                </a:schemeClr>
              </a:solidFill>
              <a:ln w="19050">
                <a:solidFill>
                  <a:schemeClr val="lt1"/>
                </a:solidFill>
              </a:ln>
              <a:effectLst/>
            </c:spPr>
            <c:extLst>
              <c:ext xmlns:c16="http://schemas.microsoft.com/office/drawing/2014/chart" uri="{C3380CC4-5D6E-409C-BE32-E72D297353CC}">
                <c16:uniqueId val="{00000024-FCF5-4AAE-9C08-0D80957F8880}"/>
              </c:ext>
            </c:extLst>
          </c:dPt>
          <c:val>
            <c:numRef>
              <c:f>Working!$U$10:$V$10</c:f>
              <c:numCache>
                <c:formatCode>0.00%</c:formatCode>
                <c:ptCount val="2"/>
                <c:pt idx="0">
                  <c:v>6.3512799999999994E-2</c:v>
                </c:pt>
                <c:pt idx="1">
                  <c:v>1.6487200000000007E-2</c:v>
                </c:pt>
              </c:numCache>
            </c:numRef>
          </c:val>
          <c:extLst>
            <c:ext xmlns:c16="http://schemas.microsoft.com/office/drawing/2014/chart" uri="{C3380CC4-5D6E-409C-BE32-E72D297353CC}">
              <c16:uniqueId val="{00000025-FCF5-4AAE-9C08-0D80957F888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trading jurnal.xlsx]Chart_Data!PivotTable8</c:name>
    <c:fmtId val="5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dLbl>
          <c:idx val="0"/>
          <c:layout>
            <c:manualLayout>
              <c:x val="0.13026107859066527"/>
              <c:y val="-4.5492254027408169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21337316800551"/>
                  <c:h val="0.54255773751377001"/>
                </c:manualLayout>
              </c15:layout>
            </c:ext>
          </c:extLst>
        </c:dLbl>
      </c:pivotFmt>
      <c:pivotFmt>
        <c:idx val="6"/>
        <c:spPr>
          <a:solidFill>
            <a:schemeClr val="accent1">
              <a:lumMod val="40000"/>
              <a:lumOff val="60000"/>
            </a:schemeClr>
          </a:solidFill>
          <a:ln w="19050">
            <a:solidFill>
              <a:schemeClr val="lt1"/>
            </a:solidFill>
          </a:ln>
          <a:effectLst/>
        </c:spPr>
        <c:dLbl>
          <c:idx val="0"/>
          <c:layout>
            <c:manualLayout>
              <c:x val="0.25478706681653274"/>
              <c:y val="8.6981121068462078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52812557671482341"/>
                  <c:h val="0.62819240977473079"/>
                </c:manualLayout>
              </c15:layout>
            </c:ext>
          </c:extLst>
        </c:dLbl>
      </c:pivotFmt>
      <c:pivotFmt>
        <c:idx val="7"/>
        <c:spPr>
          <a:solidFill>
            <a:schemeClr val="accent1"/>
          </a:solidFill>
          <a:ln w="19050">
            <a:solidFill>
              <a:schemeClr val="lt1"/>
            </a:solidFill>
          </a:ln>
          <a:effectLst/>
        </c:spPr>
      </c:pivotFmt>
    </c:pivotFmts>
    <c:plotArea>
      <c:layout/>
      <c:doughnutChart>
        <c:varyColors val="1"/>
        <c:ser>
          <c:idx val="0"/>
          <c:order val="0"/>
          <c:tx>
            <c:strRef>
              <c:f>Chart_Data!$AE$4</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853A-4080-AD59-185788CBF96F}"/>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853A-4080-AD59-185788CBF96F}"/>
              </c:ext>
            </c:extLst>
          </c:dPt>
          <c:dLbls>
            <c:dLbl>
              <c:idx val="0"/>
              <c:layout>
                <c:manualLayout>
                  <c:x val="0.13026107859066527"/>
                  <c:y val="-4.5492254027408169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21337316800551"/>
                      <c:h val="0.54255773751377001"/>
                    </c:manualLayout>
                  </c15:layout>
                </c:ext>
                <c:ext xmlns:c16="http://schemas.microsoft.com/office/drawing/2014/chart" uri="{C3380CC4-5D6E-409C-BE32-E72D297353CC}">
                  <c16:uniqueId val="{00000001-853A-4080-AD59-185788CBF96F}"/>
                </c:ext>
              </c:extLst>
            </c:dLbl>
            <c:dLbl>
              <c:idx val="1"/>
              <c:layout>
                <c:manualLayout>
                  <c:x val="0.25478706681653274"/>
                  <c:y val="8.6981121068462078E-2"/>
                </c:manualLayout>
              </c:layout>
              <c:showLegendKey val="0"/>
              <c:showVal val="0"/>
              <c:showCatName val="1"/>
              <c:showSerName val="0"/>
              <c:showPercent val="1"/>
              <c:showBubbleSize val="0"/>
              <c:extLst>
                <c:ext xmlns:c15="http://schemas.microsoft.com/office/drawing/2012/chart" uri="{CE6537A1-D6FC-4f65-9D91-7224C49458BB}">
                  <c15:layout>
                    <c:manualLayout>
                      <c:w val="0.52812557671482341"/>
                      <c:h val="0.62819240977473079"/>
                    </c:manualLayout>
                  </c15:layout>
                </c:ext>
                <c:ext xmlns:c16="http://schemas.microsoft.com/office/drawing/2014/chart" uri="{C3380CC4-5D6E-409C-BE32-E72D297353CC}">
                  <c16:uniqueId val="{00000003-853A-4080-AD59-185788CBF96F}"/>
                </c:ext>
              </c:extLst>
            </c:dLbl>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Chart_Data!$AD$5:$AD$7</c:f>
              <c:strCache>
                <c:ptCount val="2"/>
                <c:pt idx="0">
                  <c:v>Loss</c:v>
                </c:pt>
                <c:pt idx="1">
                  <c:v>Win</c:v>
                </c:pt>
              </c:strCache>
            </c:strRef>
          </c:cat>
          <c:val>
            <c:numRef>
              <c:f>Chart_Data!$AE$5:$AE$7</c:f>
              <c:numCache>
                <c:formatCode>General</c:formatCode>
                <c:ptCount val="2"/>
                <c:pt idx="0">
                  <c:v>12</c:v>
                </c:pt>
                <c:pt idx="1">
                  <c:v>17</c:v>
                </c:pt>
              </c:numCache>
            </c:numRef>
          </c:val>
          <c:extLst>
            <c:ext xmlns:c16="http://schemas.microsoft.com/office/drawing/2014/chart" uri="{C3380CC4-5D6E-409C-BE32-E72D297353CC}">
              <c16:uniqueId val="{00000004-853A-4080-AD59-185788CBF96F}"/>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684119213640833"/>
          <c:y val="0.1218796984463804"/>
          <c:w val="0.62970800688082684"/>
          <c:h val="0.72915622567471028"/>
        </c:manualLayout>
      </c:layout>
      <c:doughnutChart>
        <c:varyColors val="1"/>
        <c:ser>
          <c:idx val="0"/>
          <c:order val="0"/>
          <c:spPr>
            <a:solidFill>
              <a:schemeClr val="bg1">
                <a:lumMod val="65000"/>
              </a:schemeClr>
            </a:solidFill>
          </c:spPr>
          <c:dPt>
            <c:idx val="0"/>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1-5CD1-4990-9A29-803B12E20DD9}"/>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5CD1-4990-9A29-803B12E20DD9}"/>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5-5CD1-4990-9A29-803B12E20DD9}"/>
              </c:ext>
            </c:extLst>
          </c:dPt>
          <c:dPt>
            <c:idx val="3"/>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7-5CD1-4990-9A29-803B12E20DD9}"/>
              </c:ext>
            </c:extLst>
          </c:dPt>
          <c:dPt>
            <c:idx val="4"/>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9-5CD1-4990-9A29-803B12E20DD9}"/>
              </c:ext>
            </c:extLst>
          </c:dPt>
          <c:dPt>
            <c:idx val="5"/>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B-5CD1-4990-9A29-803B12E20DD9}"/>
              </c:ext>
            </c:extLst>
          </c:dPt>
          <c:dPt>
            <c:idx val="6"/>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D-5CD1-4990-9A29-803B12E20DD9}"/>
              </c:ext>
            </c:extLst>
          </c:dPt>
          <c:dPt>
            <c:idx val="7"/>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F-5CD1-4990-9A29-803B12E20DD9}"/>
              </c:ext>
            </c:extLst>
          </c:dPt>
          <c:dPt>
            <c:idx val="8"/>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11-5CD1-4990-9A29-803B12E20DD9}"/>
              </c:ext>
            </c:extLst>
          </c:dPt>
          <c:dPt>
            <c:idx val="9"/>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13-5CD1-4990-9A29-803B12E20DD9}"/>
              </c:ext>
            </c:extLst>
          </c:dPt>
          <c:val>
            <c:numLit>
              <c:formatCode>General</c:formatCode>
              <c:ptCount val="10"/>
              <c:pt idx="0">
                <c:v>1</c:v>
              </c:pt>
              <c:pt idx="1">
                <c:v>1</c:v>
              </c:pt>
              <c:pt idx="2">
                <c:v>1</c:v>
              </c:pt>
              <c:pt idx="3">
                <c:v>1</c:v>
              </c:pt>
              <c:pt idx="4">
                <c:v>1</c:v>
              </c:pt>
              <c:pt idx="5">
                <c:v>1</c:v>
              </c:pt>
              <c:pt idx="6">
                <c:v>1</c:v>
              </c:pt>
              <c:pt idx="7">
                <c:v>1</c:v>
              </c:pt>
              <c:pt idx="8">
                <c:v>1</c:v>
              </c:pt>
              <c:pt idx="9">
                <c:v>1</c:v>
              </c:pt>
            </c:numLit>
          </c:val>
          <c:extLst>
            <c:ext xmlns:c16="http://schemas.microsoft.com/office/drawing/2014/chart" uri="{C3380CC4-5D6E-409C-BE32-E72D297353CC}">
              <c16:uniqueId val="{00000014-5CD1-4990-9A29-803B12E20DD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chemeClr val="accent2"/>
            </a:solidFill>
          </c:spPr>
          <c:explosion val="3"/>
          <c:dPt>
            <c:idx val="0"/>
            <c:bubble3D val="0"/>
            <c:spPr>
              <a:solidFill>
                <a:schemeClr val="accent2"/>
              </a:solidFill>
              <a:ln w="19050">
                <a:solidFill>
                  <a:schemeClr val="lt1"/>
                </a:solidFill>
              </a:ln>
              <a:effectLst/>
            </c:spPr>
            <c:extLst>
              <c:ext xmlns:c16="http://schemas.microsoft.com/office/drawing/2014/chart" uri="{C3380CC4-5D6E-409C-BE32-E72D297353CC}">
                <c16:uniqueId val="{00000001-E144-416E-831B-BFF3358030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44-416E-831B-BFF335803016}"/>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E144-416E-831B-BFF335803016}"/>
              </c:ext>
            </c:extLst>
          </c:dPt>
          <c:dPt>
            <c:idx val="3"/>
            <c:bubble3D val="0"/>
            <c:spPr>
              <a:solidFill>
                <a:schemeClr val="accent2"/>
              </a:solidFill>
              <a:ln w="19050">
                <a:solidFill>
                  <a:schemeClr val="lt1"/>
                </a:solidFill>
              </a:ln>
              <a:effectLst/>
            </c:spPr>
            <c:extLst>
              <c:ext xmlns:c16="http://schemas.microsoft.com/office/drawing/2014/chart" uri="{C3380CC4-5D6E-409C-BE32-E72D297353CC}">
                <c16:uniqueId val="{00000007-E144-416E-831B-BFF335803016}"/>
              </c:ext>
            </c:extLst>
          </c:dPt>
          <c:dPt>
            <c:idx val="4"/>
            <c:bubble3D val="0"/>
            <c:spPr>
              <a:solidFill>
                <a:schemeClr val="accent2"/>
              </a:solidFill>
              <a:ln w="19050">
                <a:solidFill>
                  <a:schemeClr val="lt1"/>
                </a:solidFill>
              </a:ln>
              <a:effectLst/>
            </c:spPr>
            <c:extLst>
              <c:ext xmlns:c16="http://schemas.microsoft.com/office/drawing/2014/chart" uri="{C3380CC4-5D6E-409C-BE32-E72D297353CC}">
                <c16:uniqueId val="{00000009-E144-416E-831B-BFF335803016}"/>
              </c:ext>
            </c:extLst>
          </c:dPt>
          <c:dPt>
            <c:idx val="5"/>
            <c:bubble3D val="0"/>
            <c:spPr>
              <a:solidFill>
                <a:schemeClr val="accent2"/>
              </a:solidFill>
              <a:ln w="19050">
                <a:solidFill>
                  <a:schemeClr val="lt1"/>
                </a:solidFill>
              </a:ln>
              <a:effectLst/>
            </c:spPr>
            <c:extLst>
              <c:ext xmlns:c16="http://schemas.microsoft.com/office/drawing/2014/chart" uri="{C3380CC4-5D6E-409C-BE32-E72D297353CC}">
                <c16:uniqueId val="{0000000B-E144-416E-831B-BFF335803016}"/>
              </c:ext>
            </c:extLst>
          </c:dPt>
          <c:dPt>
            <c:idx val="6"/>
            <c:bubble3D val="0"/>
            <c:spPr>
              <a:solidFill>
                <a:schemeClr val="accent2"/>
              </a:solidFill>
              <a:ln w="19050">
                <a:solidFill>
                  <a:schemeClr val="lt1"/>
                </a:solidFill>
              </a:ln>
              <a:effectLst/>
            </c:spPr>
            <c:extLst>
              <c:ext xmlns:c16="http://schemas.microsoft.com/office/drawing/2014/chart" uri="{C3380CC4-5D6E-409C-BE32-E72D297353CC}">
                <c16:uniqueId val="{0000000D-E144-416E-831B-BFF335803016}"/>
              </c:ext>
            </c:extLst>
          </c:dPt>
          <c:dPt>
            <c:idx val="7"/>
            <c:bubble3D val="0"/>
            <c:spPr>
              <a:solidFill>
                <a:schemeClr val="accent2"/>
              </a:solidFill>
              <a:ln w="19050">
                <a:solidFill>
                  <a:schemeClr val="lt1"/>
                </a:solidFill>
              </a:ln>
              <a:effectLst/>
            </c:spPr>
            <c:extLst>
              <c:ext xmlns:c16="http://schemas.microsoft.com/office/drawing/2014/chart" uri="{C3380CC4-5D6E-409C-BE32-E72D297353CC}">
                <c16:uniqueId val="{0000000F-E144-416E-831B-BFF335803016}"/>
              </c:ext>
            </c:extLst>
          </c:dPt>
          <c:dPt>
            <c:idx val="8"/>
            <c:bubble3D val="0"/>
            <c:spPr>
              <a:solidFill>
                <a:schemeClr val="accent2"/>
              </a:solidFill>
              <a:ln w="19050">
                <a:solidFill>
                  <a:schemeClr val="lt1"/>
                </a:solidFill>
              </a:ln>
              <a:effectLst/>
            </c:spPr>
            <c:extLst>
              <c:ext xmlns:c16="http://schemas.microsoft.com/office/drawing/2014/chart" uri="{C3380CC4-5D6E-409C-BE32-E72D297353CC}">
                <c16:uniqueId val="{00000011-E144-416E-831B-BFF335803016}"/>
              </c:ext>
            </c:extLst>
          </c:dPt>
          <c:dPt>
            <c:idx val="9"/>
            <c:bubble3D val="0"/>
            <c:spPr>
              <a:solidFill>
                <a:schemeClr val="accent2"/>
              </a:solidFill>
              <a:ln w="19050">
                <a:solidFill>
                  <a:schemeClr val="lt1"/>
                </a:solidFill>
              </a:ln>
              <a:effectLst/>
            </c:spPr>
            <c:extLst>
              <c:ext xmlns:c16="http://schemas.microsoft.com/office/drawing/2014/chart" uri="{C3380CC4-5D6E-409C-BE32-E72D297353CC}">
                <c16:uniqueId val="{00000013-E144-416E-831B-BFF335803016}"/>
              </c:ext>
            </c:extLst>
          </c:dPt>
          <c:dPt>
            <c:idx val="10"/>
            <c:bubble3D val="0"/>
            <c:spPr>
              <a:solidFill>
                <a:schemeClr val="accent2"/>
              </a:solidFill>
              <a:ln w="19050">
                <a:solidFill>
                  <a:schemeClr val="lt1"/>
                </a:solidFill>
              </a:ln>
              <a:effectLst/>
            </c:spPr>
            <c:extLst>
              <c:ext xmlns:c16="http://schemas.microsoft.com/office/drawing/2014/chart" uri="{C3380CC4-5D6E-409C-BE32-E72D297353CC}">
                <c16:uniqueId val="{00000015-E144-416E-831B-BFF335803016}"/>
              </c:ext>
            </c:extLst>
          </c:dPt>
          <c:dPt>
            <c:idx val="11"/>
            <c:bubble3D val="0"/>
            <c:spPr>
              <a:solidFill>
                <a:schemeClr val="accent2"/>
              </a:solidFill>
              <a:ln w="19050">
                <a:solidFill>
                  <a:schemeClr val="lt1"/>
                </a:solidFill>
              </a:ln>
              <a:effectLst/>
            </c:spPr>
            <c:extLst>
              <c:ext xmlns:c16="http://schemas.microsoft.com/office/drawing/2014/chart" uri="{C3380CC4-5D6E-409C-BE32-E72D297353CC}">
                <c16:uniqueId val="{00000017-E144-416E-831B-BFF335803016}"/>
              </c:ext>
            </c:extLst>
          </c:dPt>
          <c:dPt>
            <c:idx val="12"/>
            <c:bubble3D val="0"/>
            <c:spPr>
              <a:solidFill>
                <a:schemeClr val="accent2"/>
              </a:solidFill>
              <a:ln w="19050">
                <a:solidFill>
                  <a:schemeClr val="lt1"/>
                </a:solidFill>
              </a:ln>
              <a:effectLst/>
            </c:spPr>
            <c:extLst>
              <c:ext xmlns:c16="http://schemas.microsoft.com/office/drawing/2014/chart" uri="{C3380CC4-5D6E-409C-BE32-E72D297353CC}">
                <c16:uniqueId val="{00000019-E144-416E-831B-BFF335803016}"/>
              </c:ext>
            </c:extLst>
          </c:dPt>
          <c:dPt>
            <c:idx val="13"/>
            <c:bubble3D val="0"/>
            <c:spPr>
              <a:solidFill>
                <a:schemeClr val="accent2"/>
              </a:solidFill>
              <a:ln w="19050">
                <a:solidFill>
                  <a:schemeClr val="lt1"/>
                </a:solidFill>
              </a:ln>
              <a:effectLst/>
            </c:spPr>
            <c:extLst>
              <c:ext xmlns:c16="http://schemas.microsoft.com/office/drawing/2014/chart" uri="{C3380CC4-5D6E-409C-BE32-E72D297353CC}">
                <c16:uniqueId val="{0000001B-E144-416E-831B-BFF335803016}"/>
              </c:ext>
            </c:extLst>
          </c:dPt>
          <c:dPt>
            <c:idx val="14"/>
            <c:bubble3D val="0"/>
            <c:spPr>
              <a:solidFill>
                <a:schemeClr val="accent2"/>
              </a:solidFill>
              <a:ln w="19050">
                <a:solidFill>
                  <a:schemeClr val="lt1"/>
                </a:solidFill>
              </a:ln>
              <a:effectLst/>
            </c:spPr>
            <c:extLst>
              <c:ext xmlns:c16="http://schemas.microsoft.com/office/drawing/2014/chart" uri="{C3380CC4-5D6E-409C-BE32-E72D297353CC}">
                <c16:uniqueId val="{0000001D-E144-416E-831B-BFF335803016}"/>
              </c:ext>
            </c:extLst>
          </c:dPt>
          <c:dPt>
            <c:idx val="15"/>
            <c:bubble3D val="0"/>
            <c:spPr>
              <a:solidFill>
                <a:schemeClr val="accent2"/>
              </a:solidFill>
              <a:ln w="19050">
                <a:solidFill>
                  <a:schemeClr val="lt1"/>
                </a:solidFill>
              </a:ln>
              <a:effectLst/>
            </c:spPr>
            <c:extLst>
              <c:ext xmlns:c16="http://schemas.microsoft.com/office/drawing/2014/chart" uri="{C3380CC4-5D6E-409C-BE32-E72D297353CC}">
                <c16:uniqueId val="{0000001F-E144-416E-831B-BFF335803016}"/>
              </c:ext>
            </c:extLst>
          </c:dPt>
          <c:val>
            <c:numLit>
              <c:formatCode>General</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Lit>
          </c:val>
          <c:extLst>
            <c:ext xmlns:c16="http://schemas.microsoft.com/office/drawing/2014/chart" uri="{C3380CC4-5D6E-409C-BE32-E72D297353CC}">
              <c16:uniqueId val="{00000020-E144-416E-831B-BFF335803016}"/>
            </c:ext>
          </c:extLst>
        </c:ser>
        <c:dLbls>
          <c:showLegendKey val="0"/>
          <c:showVal val="0"/>
          <c:showCatName val="0"/>
          <c:showSerName val="0"/>
          <c:showPercent val="0"/>
          <c:showBubbleSize val="0"/>
          <c:showLeaderLines val="1"/>
        </c:dLbls>
        <c:firstSliceAng val="0"/>
        <c:holeSize val="75"/>
      </c:doughnutChart>
      <c:doughnutChart>
        <c:varyColors val="1"/>
        <c:ser>
          <c:idx val="1"/>
          <c:order val="1"/>
          <c:spPr>
            <a:ln>
              <a:noFill/>
            </a:ln>
          </c:spPr>
          <c:dPt>
            <c:idx val="0"/>
            <c:bubble3D val="0"/>
            <c:spPr>
              <a:noFill/>
              <a:ln w="19050">
                <a:noFill/>
              </a:ln>
              <a:effectLst/>
            </c:spPr>
            <c:extLst>
              <c:ext xmlns:c16="http://schemas.microsoft.com/office/drawing/2014/chart" uri="{C3380CC4-5D6E-409C-BE32-E72D297353CC}">
                <c16:uniqueId val="{00000022-E144-416E-831B-BFF335803016}"/>
              </c:ext>
            </c:extLst>
          </c:dPt>
          <c:dPt>
            <c:idx val="1"/>
            <c:bubble3D val="0"/>
            <c:spPr>
              <a:solidFill>
                <a:schemeClr val="accent2">
                  <a:lumMod val="20000"/>
                  <a:lumOff val="80000"/>
                  <a:alpha val="89000"/>
                </a:schemeClr>
              </a:solidFill>
              <a:ln w="19050">
                <a:noFill/>
              </a:ln>
              <a:effectLst/>
            </c:spPr>
            <c:extLst>
              <c:ext xmlns:c16="http://schemas.microsoft.com/office/drawing/2014/chart" uri="{C3380CC4-5D6E-409C-BE32-E72D297353CC}">
                <c16:uniqueId val="{00000024-E144-416E-831B-BFF335803016}"/>
              </c:ext>
            </c:extLst>
          </c:dPt>
          <c:val>
            <c:numRef>
              <c:f>Working!$U$6:$V$6</c:f>
              <c:numCache>
                <c:formatCode>0</c:formatCode>
                <c:ptCount val="2"/>
                <c:pt idx="0">
                  <c:v>10.991466666666671</c:v>
                </c:pt>
                <c:pt idx="1">
                  <c:v>77.008533333333332</c:v>
                </c:pt>
              </c:numCache>
            </c:numRef>
          </c:val>
          <c:extLst>
            <c:ext xmlns:c16="http://schemas.microsoft.com/office/drawing/2014/chart" uri="{C3380CC4-5D6E-409C-BE32-E72D297353CC}">
              <c16:uniqueId val="{00000025-E144-416E-831B-BFF33580301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chemeClr val="accent1">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69CF-4088-B538-4FC311EE6A94}"/>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69CF-4088-B538-4FC311EE6A94}"/>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69CF-4088-B538-4FC311EE6A94}"/>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69CF-4088-B538-4FC311EE6A94}"/>
              </c:ext>
            </c:extLst>
          </c:dPt>
          <c:dPt>
            <c:idx val="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9-69CF-4088-B538-4FC311EE6A94}"/>
              </c:ext>
            </c:extLst>
          </c:dPt>
          <c:dPt>
            <c:idx val="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B-69CF-4088-B538-4FC311EE6A94}"/>
              </c:ext>
            </c:extLst>
          </c:dPt>
          <c:dPt>
            <c:idx val="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D-69CF-4088-B538-4FC311EE6A94}"/>
              </c:ext>
            </c:extLst>
          </c:dPt>
          <c:dPt>
            <c:idx val="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F-69CF-4088-B538-4FC311EE6A94}"/>
              </c:ext>
            </c:extLst>
          </c:dPt>
          <c:dPt>
            <c:idx val="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1-69CF-4088-B538-4FC311EE6A94}"/>
              </c:ext>
            </c:extLst>
          </c:dPt>
          <c:dPt>
            <c:idx val="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3-69CF-4088-B538-4FC311EE6A94}"/>
              </c:ext>
            </c:extLst>
          </c:dPt>
          <c:dPt>
            <c:idx val="1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5-69CF-4088-B538-4FC311EE6A94}"/>
              </c:ext>
            </c:extLst>
          </c:dPt>
          <c:dPt>
            <c:idx val="1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7-69CF-4088-B538-4FC311EE6A94}"/>
              </c:ext>
            </c:extLst>
          </c:dPt>
          <c:dPt>
            <c:idx val="1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9-69CF-4088-B538-4FC311EE6A94}"/>
              </c:ext>
            </c:extLst>
          </c:dPt>
          <c:dPt>
            <c:idx val="1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B-69CF-4088-B538-4FC311EE6A94}"/>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69CF-4088-B538-4FC311EE6A94}"/>
              </c:ext>
            </c:extLst>
          </c:dPt>
          <c:dPt>
            <c:idx val="1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F-69CF-4088-B538-4FC311EE6A94}"/>
              </c:ext>
            </c:extLst>
          </c:dPt>
          <c:val>
            <c:numLit>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Lit>
          </c:val>
          <c:extLst>
            <c:ext xmlns:c16="http://schemas.microsoft.com/office/drawing/2014/chart" uri="{C3380CC4-5D6E-409C-BE32-E72D297353CC}">
              <c16:uniqueId val="{00000020-69CF-4088-B538-4FC311EE6A94}"/>
            </c:ext>
          </c:extLst>
        </c:ser>
        <c:dLbls>
          <c:showLegendKey val="0"/>
          <c:showVal val="0"/>
          <c:showCatName val="0"/>
          <c:showSerName val="0"/>
          <c:showPercent val="0"/>
          <c:showBubbleSize val="0"/>
          <c:showLeaderLines val="1"/>
        </c:dLbls>
        <c:firstSliceAng val="0"/>
        <c:holeSize val="75"/>
      </c:doughnutChart>
      <c:doughnutChart>
        <c:varyColors val="1"/>
        <c:ser>
          <c:idx val="1"/>
          <c:order val="1"/>
          <c:tx>
            <c:v>Data</c:v>
          </c:tx>
          <c:spPr>
            <a:ln>
              <a:noFill/>
            </a:ln>
          </c:spPr>
          <c:dPt>
            <c:idx val="0"/>
            <c:bubble3D val="0"/>
            <c:spPr>
              <a:solidFill>
                <a:schemeClr val="tx2">
                  <a:lumMod val="75000"/>
                  <a:lumOff val="25000"/>
                  <a:alpha val="8000"/>
                </a:schemeClr>
              </a:solidFill>
              <a:ln w="19050">
                <a:noFill/>
              </a:ln>
              <a:effectLst/>
            </c:spPr>
            <c:extLst>
              <c:ext xmlns:c16="http://schemas.microsoft.com/office/drawing/2014/chart" uri="{C3380CC4-5D6E-409C-BE32-E72D297353CC}">
                <c16:uniqueId val="{00000022-69CF-4088-B538-4FC311EE6A94}"/>
              </c:ext>
            </c:extLst>
          </c:dPt>
          <c:dPt>
            <c:idx val="1"/>
            <c:bubble3D val="0"/>
            <c:spPr>
              <a:solidFill>
                <a:schemeClr val="accent1">
                  <a:lumMod val="20000"/>
                  <a:lumOff val="80000"/>
                  <a:alpha val="96000"/>
                </a:schemeClr>
              </a:solidFill>
              <a:ln w="19050">
                <a:noFill/>
              </a:ln>
              <a:effectLst/>
            </c:spPr>
            <c:extLst>
              <c:ext xmlns:c16="http://schemas.microsoft.com/office/drawing/2014/chart" uri="{C3380CC4-5D6E-409C-BE32-E72D297353CC}">
                <c16:uniqueId val="{00000024-69CF-4088-B538-4FC311EE6A94}"/>
              </c:ext>
            </c:extLst>
          </c:dPt>
          <c:val>
            <c:numRef>
              <c:f>Working!$U$4:$V$4</c:f>
              <c:numCache>
                <c:formatCode>0</c:formatCode>
                <c:ptCount val="2"/>
                <c:pt idx="0">
                  <c:v>50.008533333333332</c:v>
                </c:pt>
                <c:pt idx="1">
                  <c:v>-15.341866666666668</c:v>
                </c:pt>
              </c:numCache>
            </c:numRef>
          </c:val>
          <c:extLst>
            <c:ext xmlns:c16="http://schemas.microsoft.com/office/drawing/2014/chart" uri="{C3380CC4-5D6E-409C-BE32-E72D297353CC}">
              <c16:uniqueId val="{00000025-69CF-4088-B538-4FC311EE6A9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chart" Target="../charts/chart10.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532470</xdr:colOff>
      <xdr:row>22</xdr:row>
      <xdr:rowOff>167269</xdr:rowOff>
    </xdr:from>
    <xdr:to>
      <xdr:col>9</xdr:col>
      <xdr:colOff>150381</xdr:colOff>
      <xdr:row>32</xdr:row>
      <xdr:rowOff>119933</xdr:rowOff>
    </xdr:to>
    <xdr:grpSp>
      <xdr:nvGrpSpPr>
        <xdr:cNvPr id="24" name="Group 23">
          <a:extLst>
            <a:ext uri="{FF2B5EF4-FFF2-40B4-BE49-F238E27FC236}">
              <a16:creationId xmlns:a16="http://schemas.microsoft.com/office/drawing/2014/main" id="{8207B76A-3BDE-4877-87A3-199F99EEFCFE}"/>
            </a:ext>
          </a:extLst>
        </xdr:cNvPr>
        <xdr:cNvGrpSpPr/>
      </xdr:nvGrpSpPr>
      <xdr:grpSpPr>
        <a:xfrm>
          <a:off x="2372894" y="4429303"/>
          <a:ext cx="3298758" cy="1889952"/>
          <a:chOff x="1502833" y="3058584"/>
          <a:chExt cx="3683000" cy="1619250"/>
        </a:xfrm>
      </xdr:grpSpPr>
      <xdr:sp macro="" textlink="">
        <xdr:nvSpPr>
          <xdr:cNvPr id="19" name="Rectangle: Rounded Corners 18">
            <a:extLst>
              <a:ext uri="{FF2B5EF4-FFF2-40B4-BE49-F238E27FC236}">
                <a16:creationId xmlns:a16="http://schemas.microsoft.com/office/drawing/2014/main" id="{A44B89BE-6B48-4E61-884D-FAEDF44BEB23}"/>
              </a:ext>
            </a:extLst>
          </xdr:cNvPr>
          <xdr:cNvSpPr/>
        </xdr:nvSpPr>
        <xdr:spPr>
          <a:xfrm>
            <a:off x="1502833" y="3205694"/>
            <a:ext cx="3683000" cy="1472140"/>
          </a:xfrm>
          <a:prstGeom prst="roundRect">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8" name="Chart 3">
            <a:extLst>
              <a:ext uri="{FF2B5EF4-FFF2-40B4-BE49-F238E27FC236}">
                <a16:creationId xmlns:a16="http://schemas.microsoft.com/office/drawing/2014/main" id="{7A0283B5-8A00-4A20-A3BB-15836335E57B}"/>
              </a:ext>
              <a:ext uri="{147F2762-F138-4A5C-976F-8EAC2B608ADB}">
                <a16:predDERef xmlns:a16="http://schemas.microsoft.com/office/drawing/2014/main" pred="{53AFE463-6076-4C8D-822D-21C7AFD172B8}"/>
              </a:ext>
            </a:extLst>
          </xdr:cNvPr>
          <xdr:cNvGraphicFramePr>
            <a:graphicFrameLocks/>
          </xdr:cNvGraphicFramePr>
        </xdr:nvGraphicFramePr>
        <xdr:xfrm>
          <a:off x="1672167" y="3058584"/>
          <a:ext cx="3259666" cy="1534583"/>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0</xdr:col>
      <xdr:colOff>518026</xdr:colOff>
      <xdr:row>2</xdr:row>
      <xdr:rowOff>47625</xdr:rowOff>
    </xdr:from>
    <xdr:to>
      <xdr:col>3</xdr:col>
      <xdr:colOff>304100</xdr:colOff>
      <xdr:row>44</xdr:row>
      <xdr:rowOff>54429</xdr:rowOff>
    </xdr:to>
    <xdr:sp macro="" textlink="">
      <xdr:nvSpPr>
        <xdr:cNvPr id="3" name="Rectangle: Rounded Corners 2">
          <a:extLst>
            <a:ext uri="{FF2B5EF4-FFF2-40B4-BE49-F238E27FC236}">
              <a16:creationId xmlns:a16="http://schemas.microsoft.com/office/drawing/2014/main" id="{E214D636-64D9-40C3-B1AC-F7C84F693CCA}"/>
            </a:ext>
          </a:extLst>
        </xdr:cNvPr>
        <xdr:cNvSpPr/>
      </xdr:nvSpPr>
      <xdr:spPr>
        <a:xfrm>
          <a:off x="518026" y="412412"/>
          <a:ext cx="1610010" cy="7667336"/>
        </a:xfrm>
        <a:prstGeom prst="roundRect">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476249</xdr:colOff>
      <xdr:row>2</xdr:row>
      <xdr:rowOff>138657</xdr:rowOff>
    </xdr:from>
    <xdr:to>
      <xdr:col>3</xdr:col>
      <xdr:colOff>247614</xdr:colOff>
      <xdr:row>7</xdr:row>
      <xdr:rowOff>66108</xdr:rowOff>
    </xdr:to>
    <xdr:sp macro="" textlink="">
      <xdr:nvSpPr>
        <xdr:cNvPr id="22" name="TextBox 21">
          <a:extLst>
            <a:ext uri="{FF2B5EF4-FFF2-40B4-BE49-F238E27FC236}">
              <a16:creationId xmlns:a16="http://schemas.microsoft.com/office/drawing/2014/main" id="{BA85C7EB-0B9C-7E55-DEC8-E55644A238E9}"/>
            </a:ext>
          </a:extLst>
        </xdr:cNvPr>
        <xdr:cNvSpPr txBox="1"/>
      </xdr:nvSpPr>
      <xdr:spPr>
        <a:xfrm>
          <a:off x="476249" y="535532"/>
          <a:ext cx="1616834" cy="919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tx1">
                  <a:lumMod val="85000"/>
                  <a:lumOff val="15000"/>
                </a:schemeClr>
              </a:solidFill>
              <a:latin typeface="Segoe UI Semibold" panose="020B0702040204020203" pitchFamily="34" charset="0"/>
              <a:cs typeface="Segoe UI Semibold" panose="020B0702040204020203" pitchFamily="34" charset="0"/>
            </a:rPr>
            <a:t>Phase-I</a:t>
          </a:r>
        </a:p>
      </xdr:txBody>
    </xdr:sp>
    <xdr:clientData/>
  </xdr:twoCellAnchor>
  <xdr:twoCellAnchor>
    <xdr:from>
      <xdr:col>3</xdr:col>
      <xdr:colOff>485495</xdr:colOff>
      <xdr:row>32</xdr:row>
      <xdr:rowOff>182388</xdr:rowOff>
    </xdr:from>
    <xdr:to>
      <xdr:col>22</xdr:col>
      <xdr:colOff>7068</xdr:colOff>
      <xdr:row>44</xdr:row>
      <xdr:rowOff>125786</xdr:rowOff>
    </xdr:to>
    <xdr:grpSp>
      <xdr:nvGrpSpPr>
        <xdr:cNvPr id="30" name="Group 29">
          <a:extLst>
            <a:ext uri="{FF2B5EF4-FFF2-40B4-BE49-F238E27FC236}">
              <a16:creationId xmlns:a16="http://schemas.microsoft.com/office/drawing/2014/main" id="{13951BDB-D9A6-AFB8-581B-04A4542A6903}"/>
            </a:ext>
          </a:extLst>
        </xdr:cNvPr>
        <xdr:cNvGrpSpPr/>
      </xdr:nvGrpSpPr>
      <xdr:grpSpPr>
        <a:xfrm>
          <a:off x="2325919" y="6381710"/>
          <a:ext cx="11177590" cy="2268144"/>
          <a:chOff x="7249584" y="3185584"/>
          <a:chExt cx="5778499" cy="1683810"/>
        </a:xfrm>
      </xdr:grpSpPr>
      <xdr:sp macro="" textlink="">
        <xdr:nvSpPr>
          <xdr:cNvPr id="23" name="Rectangle: Rounded Corners 22">
            <a:extLst>
              <a:ext uri="{FF2B5EF4-FFF2-40B4-BE49-F238E27FC236}">
                <a16:creationId xmlns:a16="http://schemas.microsoft.com/office/drawing/2014/main" id="{ACBB6D61-6510-4FDE-93D7-3DF462D625F4}"/>
              </a:ext>
            </a:extLst>
          </xdr:cNvPr>
          <xdr:cNvSpPr/>
        </xdr:nvSpPr>
        <xdr:spPr>
          <a:xfrm>
            <a:off x="7249584" y="3217333"/>
            <a:ext cx="5767916" cy="1648778"/>
          </a:xfrm>
          <a:prstGeom prst="roundRect">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1" name="Chart 5">
            <a:extLst>
              <a:ext uri="{FF2B5EF4-FFF2-40B4-BE49-F238E27FC236}">
                <a16:creationId xmlns:a16="http://schemas.microsoft.com/office/drawing/2014/main" id="{00B76A55-115B-4070-AF79-B7ED3D937930}"/>
              </a:ext>
              <a:ext uri="{147F2762-F138-4A5C-976F-8EAC2B608ADB}">
                <a16:predDERef xmlns:a16="http://schemas.microsoft.com/office/drawing/2014/main" pred="{463E30D6-1212-4157-9ACE-394E24C6CC0E}"/>
              </a:ext>
            </a:extLst>
          </xdr:cNvPr>
          <xdr:cNvGraphicFramePr>
            <a:graphicFrameLocks/>
          </xdr:cNvGraphicFramePr>
        </xdr:nvGraphicFramePr>
        <xdr:xfrm>
          <a:off x="7376583" y="3185584"/>
          <a:ext cx="5651500" cy="168381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8</xdr:col>
      <xdr:colOff>116418</xdr:colOff>
      <xdr:row>2</xdr:row>
      <xdr:rowOff>179917</xdr:rowOff>
    </xdr:from>
    <xdr:to>
      <xdr:col>9</xdr:col>
      <xdr:colOff>169333</xdr:colOff>
      <xdr:row>6</xdr:row>
      <xdr:rowOff>105834</xdr:rowOff>
    </xdr:to>
    <xdr:graphicFrame macro="">
      <xdr:nvGraphicFramePr>
        <xdr:cNvPr id="33" name="Chart 32">
          <a:extLst>
            <a:ext uri="{FF2B5EF4-FFF2-40B4-BE49-F238E27FC236}">
              <a16:creationId xmlns:a16="http://schemas.microsoft.com/office/drawing/2014/main" id="{A028D78C-D021-41D6-A571-F3519D827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549806</xdr:colOff>
      <xdr:row>2</xdr:row>
      <xdr:rowOff>20110</xdr:rowOff>
    </xdr:from>
    <xdr:to>
      <xdr:col>9</xdr:col>
      <xdr:colOff>222251</xdr:colOff>
      <xdr:row>6</xdr:row>
      <xdr:rowOff>63501</xdr:rowOff>
    </xdr:to>
    <xdr:graphicFrame macro="">
      <xdr:nvGraphicFramePr>
        <xdr:cNvPr id="34" name="Chart 33">
          <a:extLst>
            <a:ext uri="{FF2B5EF4-FFF2-40B4-BE49-F238E27FC236}">
              <a16:creationId xmlns:a16="http://schemas.microsoft.com/office/drawing/2014/main" id="{15200F10-C221-403D-AB21-34A6FF2BA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9388</xdr:colOff>
      <xdr:row>6</xdr:row>
      <xdr:rowOff>138906</xdr:rowOff>
    </xdr:from>
    <xdr:to>
      <xdr:col>3</xdr:col>
      <xdr:colOff>221164</xdr:colOff>
      <xdr:row>43</xdr:row>
      <xdr:rowOff>81643</xdr:rowOff>
    </xdr:to>
    <xdr:grpSp>
      <xdr:nvGrpSpPr>
        <xdr:cNvPr id="36" name="Group 35">
          <a:extLst>
            <a:ext uri="{FF2B5EF4-FFF2-40B4-BE49-F238E27FC236}">
              <a16:creationId xmlns:a16="http://schemas.microsoft.com/office/drawing/2014/main" id="{728A1252-493D-DC97-B1F2-A803FE835D69}"/>
            </a:ext>
          </a:extLst>
        </xdr:cNvPr>
        <xdr:cNvGrpSpPr/>
      </xdr:nvGrpSpPr>
      <xdr:grpSpPr>
        <a:xfrm>
          <a:off x="622863" y="1301279"/>
          <a:ext cx="1438725" cy="7110703"/>
          <a:chOff x="42809" y="1113018"/>
          <a:chExt cx="1421300" cy="6042072"/>
        </a:xfrm>
      </xdr:grpSpPr>
      <mc:AlternateContent xmlns:mc="http://schemas.openxmlformats.org/markup-compatibility/2006" xmlns:a14="http://schemas.microsoft.com/office/drawing/2010/main">
        <mc:Choice Requires="a14">
          <xdr:graphicFrame macro="">
            <xdr:nvGraphicFramePr>
              <xdr:cNvPr id="15" name="Trade Month 3">
                <a:extLst>
                  <a:ext uri="{FF2B5EF4-FFF2-40B4-BE49-F238E27FC236}">
                    <a16:creationId xmlns:a16="http://schemas.microsoft.com/office/drawing/2014/main" id="{EEEF64AB-F9C9-402D-A8B9-82E1083BE23C}"/>
                  </a:ext>
                </a:extLst>
              </xdr:cNvPr>
              <xdr:cNvGraphicFramePr/>
            </xdr:nvGraphicFramePr>
            <xdr:xfrm>
              <a:off x="44677" y="2844291"/>
              <a:ext cx="1419432" cy="1936235"/>
            </xdr:xfrm>
            <a:graphic>
              <a:graphicData uri="http://schemas.microsoft.com/office/drawing/2010/slicer">
                <sle:slicer xmlns:sle="http://schemas.microsoft.com/office/drawing/2010/slicer" name="Trade Month 3"/>
              </a:graphicData>
            </a:graphic>
          </xdr:graphicFrame>
        </mc:Choice>
        <mc:Fallback xmlns="">
          <xdr:sp macro="" textlink="">
            <xdr:nvSpPr>
              <xdr:cNvPr id="0" name=""/>
              <xdr:cNvSpPr>
                <a:spLocks noTextEdit="1"/>
              </xdr:cNvSpPr>
            </xdr:nvSpPr>
            <xdr:spPr>
              <a:xfrm>
                <a:off x="623597" y="3285149"/>
                <a:ext cx="1434531" cy="22404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0" name="Currency Pair 1">
                <a:extLst>
                  <a:ext uri="{FF2B5EF4-FFF2-40B4-BE49-F238E27FC236}">
                    <a16:creationId xmlns:a16="http://schemas.microsoft.com/office/drawing/2014/main" id="{C929221F-CBC0-4FC0-AB66-2990966C0551}"/>
                  </a:ext>
                </a:extLst>
              </xdr:cNvPr>
              <xdr:cNvGraphicFramePr/>
            </xdr:nvGraphicFramePr>
            <xdr:xfrm>
              <a:off x="44913" y="4809011"/>
              <a:ext cx="1418960" cy="2346079"/>
            </xdr:xfrm>
            <a:graphic>
              <a:graphicData uri="http://schemas.microsoft.com/office/drawing/2010/slicer">
                <sle:slicer xmlns:sle="http://schemas.microsoft.com/office/drawing/2010/slicer" name="Currency Pair 1"/>
              </a:graphicData>
            </a:graphic>
          </xdr:graphicFrame>
        </mc:Choice>
        <mc:Fallback xmlns="">
          <xdr:sp macro="" textlink="">
            <xdr:nvSpPr>
              <xdr:cNvPr id="0" name=""/>
              <xdr:cNvSpPr>
                <a:spLocks noTextEdit="1"/>
              </xdr:cNvSpPr>
            </xdr:nvSpPr>
            <xdr:spPr>
              <a:xfrm>
                <a:off x="623835" y="5558512"/>
                <a:ext cx="1434054" cy="2714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Date 3">
                <a:extLst>
                  <a:ext uri="{FF2B5EF4-FFF2-40B4-BE49-F238E27FC236}">
                    <a16:creationId xmlns:a16="http://schemas.microsoft.com/office/drawing/2014/main" id="{7259019D-FE59-4703-AA09-421CA166AD98}"/>
                  </a:ext>
                </a:extLst>
              </xdr:cNvPr>
              <xdr:cNvGraphicFramePr/>
            </xdr:nvGraphicFramePr>
            <xdr:xfrm>
              <a:off x="42809" y="1113018"/>
              <a:ext cx="1415932" cy="1737868"/>
            </xdr:xfrm>
            <a:graphic>
              <a:graphicData uri="http://schemas.microsoft.com/office/drawing/2010/slicer">
                <sle:slicer xmlns:sle="http://schemas.microsoft.com/office/drawing/2010/slicer" name="Date 3"/>
              </a:graphicData>
            </a:graphic>
          </xdr:graphicFrame>
        </mc:Choice>
        <mc:Fallback xmlns="">
          <xdr:sp macro="" textlink="">
            <xdr:nvSpPr>
              <xdr:cNvPr id="0" name=""/>
              <xdr:cNvSpPr>
                <a:spLocks noTextEdit="1"/>
              </xdr:cNvSpPr>
            </xdr:nvSpPr>
            <xdr:spPr>
              <a:xfrm>
                <a:off x="621709" y="1281906"/>
                <a:ext cx="1430994" cy="2010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9</xdr:col>
      <xdr:colOff>431322</xdr:colOff>
      <xdr:row>19</xdr:row>
      <xdr:rowOff>89858</xdr:rowOff>
    </xdr:from>
    <xdr:to>
      <xdr:col>12</xdr:col>
      <xdr:colOff>269577</xdr:colOff>
      <xdr:row>22</xdr:row>
      <xdr:rowOff>71887</xdr:rowOff>
    </xdr:to>
    <xdr:sp macro="" textlink="">
      <xdr:nvSpPr>
        <xdr:cNvPr id="53" name="TextBox 52">
          <a:extLst>
            <a:ext uri="{FF2B5EF4-FFF2-40B4-BE49-F238E27FC236}">
              <a16:creationId xmlns:a16="http://schemas.microsoft.com/office/drawing/2014/main" id="{92B90A12-8EEB-D968-8A67-5AA97F7340A4}"/>
            </a:ext>
          </a:extLst>
        </xdr:cNvPr>
        <xdr:cNvSpPr txBox="1"/>
      </xdr:nvSpPr>
      <xdr:spPr>
        <a:xfrm>
          <a:off x="5319624" y="3845943"/>
          <a:ext cx="1671368" cy="575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rPr>
            <a:t>Target</a:t>
          </a:r>
        </a:p>
      </xdr:txBody>
    </xdr:sp>
    <xdr:clientData/>
  </xdr:twoCellAnchor>
  <xdr:twoCellAnchor>
    <xdr:from>
      <xdr:col>13</xdr:col>
      <xdr:colOff>41538</xdr:colOff>
      <xdr:row>23</xdr:row>
      <xdr:rowOff>152245</xdr:rowOff>
    </xdr:from>
    <xdr:to>
      <xdr:col>21</xdr:col>
      <xdr:colOff>578748</xdr:colOff>
      <xdr:row>32</xdr:row>
      <xdr:rowOff>111959</xdr:rowOff>
    </xdr:to>
    <xdr:sp macro="" textlink="">
      <xdr:nvSpPr>
        <xdr:cNvPr id="64" name="Rectangle: Rounded Corners 63">
          <a:extLst>
            <a:ext uri="{FF2B5EF4-FFF2-40B4-BE49-F238E27FC236}">
              <a16:creationId xmlns:a16="http://schemas.microsoft.com/office/drawing/2014/main" id="{BB1CC283-0C58-C4B9-4EF6-8FB3C68CAFEA}"/>
            </a:ext>
          </a:extLst>
        </xdr:cNvPr>
        <xdr:cNvSpPr/>
      </xdr:nvSpPr>
      <xdr:spPr>
        <a:xfrm>
          <a:off x="7935382" y="4533745"/>
          <a:ext cx="5394960" cy="1674214"/>
        </a:xfrm>
        <a:prstGeom prst="roundRect">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177718</xdr:colOff>
      <xdr:row>23</xdr:row>
      <xdr:rowOff>53859</xdr:rowOff>
    </xdr:from>
    <xdr:to>
      <xdr:col>13</xdr:col>
      <xdr:colOff>286575</xdr:colOff>
      <xdr:row>33</xdr:row>
      <xdr:rowOff>52243</xdr:rowOff>
    </xdr:to>
    <xdr:grpSp>
      <xdr:nvGrpSpPr>
        <xdr:cNvPr id="63" name="Group 62">
          <a:extLst>
            <a:ext uri="{FF2B5EF4-FFF2-40B4-BE49-F238E27FC236}">
              <a16:creationId xmlns:a16="http://schemas.microsoft.com/office/drawing/2014/main" id="{89F4CD1F-32AE-B5DB-2657-7B51A225014E}"/>
            </a:ext>
          </a:extLst>
        </xdr:cNvPr>
        <xdr:cNvGrpSpPr/>
      </xdr:nvGrpSpPr>
      <xdr:grpSpPr>
        <a:xfrm>
          <a:off x="5698989" y="4509622"/>
          <a:ext cx="2562755" cy="1935672"/>
          <a:chOff x="5783036" y="4357120"/>
          <a:chExt cx="2443776" cy="1795606"/>
        </a:xfrm>
      </xdr:grpSpPr>
      <xdr:grpSp>
        <xdr:nvGrpSpPr>
          <xdr:cNvPr id="59" name="Group 58">
            <a:extLst>
              <a:ext uri="{FF2B5EF4-FFF2-40B4-BE49-F238E27FC236}">
                <a16:creationId xmlns:a16="http://schemas.microsoft.com/office/drawing/2014/main" id="{465343CD-B0FE-82FF-D28F-1BD04016C07C}"/>
              </a:ext>
            </a:extLst>
          </xdr:cNvPr>
          <xdr:cNvGrpSpPr/>
        </xdr:nvGrpSpPr>
        <xdr:grpSpPr>
          <a:xfrm>
            <a:off x="5783036" y="4357120"/>
            <a:ext cx="2443776" cy="1795606"/>
            <a:chOff x="5783036" y="4357120"/>
            <a:chExt cx="2443776" cy="1795606"/>
          </a:xfrm>
        </xdr:grpSpPr>
        <xdr:sp macro="" textlink="">
          <xdr:nvSpPr>
            <xdr:cNvPr id="25" name="Rectangle: Rounded Corners 24">
              <a:extLst>
                <a:ext uri="{FF2B5EF4-FFF2-40B4-BE49-F238E27FC236}">
                  <a16:creationId xmlns:a16="http://schemas.microsoft.com/office/drawing/2014/main" id="{3BAAA057-549D-43EB-8AF8-DB898CE90718}"/>
                </a:ext>
              </a:extLst>
            </xdr:cNvPr>
            <xdr:cNvSpPr/>
          </xdr:nvSpPr>
          <xdr:spPr>
            <a:xfrm>
              <a:off x="5823412" y="4478053"/>
              <a:ext cx="2075688" cy="1508760"/>
            </a:xfrm>
            <a:prstGeom prst="roundRect">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b="0" i="0" u="none" strike="noStrike">
                <a:solidFill>
                  <a:srgbClr val="000000"/>
                </a:solidFill>
                <a:latin typeface="Calibri"/>
                <a:cs typeface="Calibri"/>
              </a:endParaRPr>
            </a:p>
          </xdr:txBody>
        </xdr:sp>
        <xdr:graphicFrame macro="">
          <xdr:nvGraphicFramePr>
            <xdr:cNvPr id="67" name="Chart 66">
              <a:extLst>
                <a:ext uri="{FF2B5EF4-FFF2-40B4-BE49-F238E27FC236}">
                  <a16:creationId xmlns:a16="http://schemas.microsoft.com/office/drawing/2014/main" id="{93D6BDFE-2597-48C3-A374-902029EEB315}"/>
                </a:ext>
              </a:extLst>
            </xdr:cNvPr>
            <xdr:cNvGraphicFramePr>
              <a:graphicFrameLocks/>
            </xdr:cNvGraphicFramePr>
          </xdr:nvGraphicFramePr>
          <xdr:xfrm>
            <a:off x="5783036" y="4357120"/>
            <a:ext cx="2443776" cy="1795606"/>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57" name="TextBox 56">
              <a:extLst>
                <a:ext uri="{FF2B5EF4-FFF2-40B4-BE49-F238E27FC236}">
                  <a16:creationId xmlns:a16="http://schemas.microsoft.com/office/drawing/2014/main" id="{180B34A3-AA20-4C9A-8CE6-33D3B9D42C40}"/>
                </a:ext>
              </a:extLst>
            </xdr:cNvPr>
            <xdr:cNvSpPr txBox="1"/>
          </xdr:nvSpPr>
          <xdr:spPr>
            <a:xfrm>
              <a:off x="5868081" y="4507366"/>
              <a:ext cx="1310627" cy="359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Semibold" panose="020B0702040204020203" pitchFamily="34" charset="0"/>
                  <a:cs typeface="Segoe UI Semibold" panose="020B0702040204020203" pitchFamily="34" charset="0"/>
                </a:rPr>
                <a:t>Target</a:t>
              </a:r>
            </a:p>
            <a:p>
              <a:endParaRPr lang="en-US" sz="1050">
                <a:latin typeface="Segoe UI Semibold" panose="020B0702040204020203" pitchFamily="34" charset="0"/>
                <a:cs typeface="Segoe UI Semibold" panose="020B0702040204020203" pitchFamily="34" charset="0"/>
              </a:endParaRPr>
            </a:p>
          </xdr:txBody>
        </xdr:sp>
      </xdr:grpSp>
      <xdr:sp macro="" textlink="Working!U10">
        <xdr:nvSpPr>
          <xdr:cNvPr id="68" name="TextBox 67">
            <a:extLst>
              <a:ext uri="{FF2B5EF4-FFF2-40B4-BE49-F238E27FC236}">
                <a16:creationId xmlns:a16="http://schemas.microsoft.com/office/drawing/2014/main" id="{10BA3076-79C8-E9A1-4771-90BD54057EE6}"/>
              </a:ext>
            </a:extLst>
          </xdr:cNvPr>
          <xdr:cNvSpPr txBox="1"/>
        </xdr:nvSpPr>
        <xdr:spPr>
          <a:xfrm>
            <a:off x="6363353" y="4592410"/>
            <a:ext cx="1314454" cy="1249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1A379A-989D-4BB6-9105-6133A79B2408}" type="TxLink">
              <a:rPr lang="en-US" sz="2000" b="1" i="0" u="none" strike="noStrike">
                <a:solidFill>
                  <a:srgbClr val="000000"/>
                </a:solidFill>
                <a:latin typeface="Calibri"/>
                <a:cs typeface="Calibri"/>
              </a:rPr>
              <a:pPr algn="ctr"/>
              <a:t>6.35%</a:t>
            </a:fld>
            <a:endParaRPr lang="en-US" sz="2000" b="1"/>
          </a:p>
        </xdr:txBody>
      </xdr:sp>
    </xdr:grpSp>
    <xdr:clientData/>
  </xdr:twoCellAnchor>
  <xdr:twoCellAnchor>
    <xdr:from>
      <xdr:col>3</xdr:col>
      <xdr:colOff>527277</xdr:colOff>
      <xdr:row>7</xdr:row>
      <xdr:rowOff>116368</xdr:rowOff>
    </xdr:from>
    <xdr:to>
      <xdr:col>12</xdr:col>
      <xdr:colOff>544690</xdr:colOff>
      <xdr:row>23</xdr:row>
      <xdr:rowOff>19673</xdr:rowOff>
    </xdr:to>
    <xdr:sp macro="" textlink="">
      <xdr:nvSpPr>
        <xdr:cNvPr id="10" name="Rectangle: Rounded Corners 9">
          <a:extLst>
            <a:ext uri="{FF2B5EF4-FFF2-40B4-BE49-F238E27FC236}">
              <a16:creationId xmlns:a16="http://schemas.microsoft.com/office/drawing/2014/main" id="{0E852DC8-96BD-40A8-BC83-C5BAE7423BB8}"/>
            </a:ext>
          </a:extLst>
        </xdr:cNvPr>
        <xdr:cNvSpPr/>
      </xdr:nvSpPr>
      <xdr:spPr>
        <a:xfrm>
          <a:off x="2350165" y="1495851"/>
          <a:ext cx="5486077" cy="3056408"/>
        </a:xfrm>
        <a:prstGeom prst="roundRect">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17498</xdr:colOff>
      <xdr:row>7</xdr:row>
      <xdr:rowOff>141734</xdr:rowOff>
    </xdr:from>
    <xdr:to>
      <xdr:col>21</xdr:col>
      <xdr:colOff>569887</xdr:colOff>
      <xdr:row>23</xdr:row>
      <xdr:rowOff>40822</xdr:rowOff>
    </xdr:to>
    <xdr:sp macro="" textlink="">
      <xdr:nvSpPr>
        <xdr:cNvPr id="27" name="Rectangle: Rounded Corners 26">
          <a:extLst>
            <a:ext uri="{FF2B5EF4-FFF2-40B4-BE49-F238E27FC236}">
              <a16:creationId xmlns:a16="http://schemas.microsoft.com/office/drawing/2014/main" id="{5E51EB17-41C5-46D2-902F-51CE16BBB17C}"/>
            </a:ext>
          </a:extLst>
        </xdr:cNvPr>
        <xdr:cNvSpPr/>
      </xdr:nvSpPr>
      <xdr:spPr>
        <a:xfrm>
          <a:off x="7885545" y="1461343"/>
          <a:ext cx="5394264" cy="2915338"/>
        </a:xfrm>
        <a:prstGeom prst="roundRect">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546837</xdr:colOff>
      <xdr:row>2</xdr:row>
      <xdr:rowOff>89903</xdr:rowOff>
    </xdr:from>
    <xdr:to>
      <xdr:col>6</xdr:col>
      <xdr:colOff>499603</xdr:colOff>
      <xdr:row>6</xdr:row>
      <xdr:rowOff>181315</xdr:rowOff>
    </xdr:to>
    <xdr:grpSp>
      <xdr:nvGrpSpPr>
        <xdr:cNvPr id="109" name="Group 108">
          <a:extLst>
            <a:ext uri="{FF2B5EF4-FFF2-40B4-BE49-F238E27FC236}">
              <a16:creationId xmlns:a16="http://schemas.microsoft.com/office/drawing/2014/main" id="{8248DE9E-F093-5865-D3C0-29A7E1665861}"/>
            </a:ext>
          </a:extLst>
        </xdr:cNvPr>
        <xdr:cNvGrpSpPr/>
      </xdr:nvGrpSpPr>
      <xdr:grpSpPr>
        <a:xfrm>
          <a:off x="2387261" y="477361"/>
          <a:ext cx="1793189" cy="866327"/>
          <a:chOff x="2383800" y="470903"/>
          <a:chExt cx="1789611" cy="853412"/>
        </a:xfrm>
      </xdr:grpSpPr>
      <xdr:sp macro="" textlink="Working!B9">
        <xdr:nvSpPr>
          <xdr:cNvPr id="4" name="Rectanle 1">
            <a:extLst>
              <a:ext uri="{FF2B5EF4-FFF2-40B4-BE49-F238E27FC236}">
                <a16:creationId xmlns:a16="http://schemas.microsoft.com/office/drawing/2014/main" id="{D14CD259-11CB-4E06-8145-EDA3CB0CCDC6}"/>
              </a:ext>
            </a:extLst>
          </xdr:cNvPr>
          <xdr:cNvSpPr/>
        </xdr:nvSpPr>
        <xdr:spPr>
          <a:xfrm>
            <a:off x="2383800" y="470903"/>
            <a:ext cx="1789611" cy="853412"/>
          </a:xfrm>
          <a:prstGeom prst="roundRect">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l" defTabSz="914400" eaLnBrk="1" fontAlgn="auto" latinLnBrk="0" hangingPunct="1">
              <a:lnSpc>
                <a:spcPct val="100000"/>
              </a:lnSpc>
              <a:spcBef>
                <a:spcPts val="0"/>
              </a:spcBef>
              <a:spcAft>
                <a:spcPts val="0"/>
              </a:spcAft>
              <a:buClrTx/>
              <a:buSzTx/>
              <a:buFontTx/>
              <a:buNone/>
              <a:tabLst/>
              <a:defRPr/>
            </a:pPr>
            <a:fld id="{73BCCADB-489D-432B-B60F-E8019E53AB90}" type="TxLink">
              <a:rPr lang="en-US" sz="1600" b="1" i="0" u="none" strike="noStrike">
                <a:solidFill>
                  <a:schemeClr val="tx2">
                    <a:lumMod val="50000"/>
                    <a:lumOff val="50000"/>
                  </a:schemeClr>
                </a:solidFill>
                <a:effectLst/>
                <a:latin typeface="Calibri"/>
                <a:cs typeface="Calibri"/>
              </a:rPr>
              <a:pPr marL="0" marR="0" lvl="0" indent="0" algn="l" defTabSz="914400" eaLnBrk="1" fontAlgn="auto" latinLnBrk="0" hangingPunct="1">
                <a:lnSpc>
                  <a:spcPct val="100000"/>
                </a:lnSpc>
                <a:spcBef>
                  <a:spcPts val="0"/>
                </a:spcBef>
                <a:spcAft>
                  <a:spcPts val="0"/>
                </a:spcAft>
                <a:buClrTx/>
                <a:buSzTx/>
                <a:buFontTx/>
                <a:buNone/>
                <a:tabLst/>
                <a:defRPr/>
              </a:pPr>
              <a:t>$106,351</a:t>
            </a:fld>
            <a:endParaRPr lang="en-US" b="1">
              <a:solidFill>
                <a:schemeClr val="tx2">
                  <a:lumMod val="50000"/>
                  <a:lumOff val="50000"/>
                </a:schemeClr>
              </a:solidFill>
              <a:effectLst/>
            </a:endParaRPr>
          </a:p>
        </xdr:txBody>
      </xdr:sp>
      <xdr:sp macro="" textlink="">
        <xdr:nvSpPr>
          <xdr:cNvPr id="5" name="TextBox 4">
            <a:extLst>
              <a:ext uri="{FF2B5EF4-FFF2-40B4-BE49-F238E27FC236}">
                <a16:creationId xmlns:a16="http://schemas.microsoft.com/office/drawing/2014/main" id="{8D5ACB48-1B9A-BCCA-1E38-129E260FD5E7}"/>
              </a:ext>
            </a:extLst>
          </xdr:cNvPr>
          <xdr:cNvSpPr txBox="1"/>
        </xdr:nvSpPr>
        <xdr:spPr>
          <a:xfrm>
            <a:off x="2391867" y="489973"/>
            <a:ext cx="1310627" cy="365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Segoe UI Semibold" panose="020B0702040204020203" pitchFamily="34" charset="0"/>
                <a:cs typeface="Segoe UI Semibold" panose="020B0702040204020203" pitchFamily="34" charset="0"/>
              </a:rPr>
              <a:t>Current</a:t>
            </a:r>
            <a:r>
              <a:rPr lang="en-US" sz="1050">
                <a:latin typeface="Segoe UI Semibold" panose="020B0702040204020203" pitchFamily="34" charset="0"/>
                <a:cs typeface="Segoe UI Semibold" panose="020B0702040204020203" pitchFamily="34" charset="0"/>
              </a:rPr>
              <a:t> Equity</a:t>
            </a:r>
          </a:p>
        </xdr:txBody>
      </xdr:sp>
    </xdr:grpSp>
    <xdr:clientData/>
  </xdr:twoCellAnchor>
  <xdr:twoCellAnchor>
    <xdr:from>
      <xdr:col>6</xdr:col>
      <xdr:colOff>568175</xdr:colOff>
      <xdr:row>2</xdr:row>
      <xdr:rowOff>91264</xdr:rowOff>
    </xdr:from>
    <xdr:to>
      <xdr:col>9</xdr:col>
      <xdr:colOff>521013</xdr:colOff>
      <xdr:row>6</xdr:row>
      <xdr:rowOff>179953</xdr:rowOff>
    </xdr:to>
    <xdr:grpSp>
      <xdr:nvGrpSpPr>
        <xdr:cNvPr id="62" name="Group 61">
          <a:extLst>
            <a:ext uri="{FF2B5EF4-FFF2-40B4-BE49-F238E27FC236}">
              <a16:creationId xmlns:a16="http://schemas.microsoft.com/office/drawing/2014/main" id="{4FBA8302-4625-CDD1-65B5-622129A0F2A0}"/>
            </a:ext>
          </a:extLst>
        </xdr:cNvPr>
        <xdr:cNvGrpSpPr/>
      </xdr:nvGrpSpPr>
      <xdr:grpSpPr>
        <a:xfrm>
          <a:off x="4249022" y="478722"/>
          <a:ext cx="1793262" cy="863604"/>
          <a:chOff x="9309932" y="441169"/>
          <a:chExt cx="1612180" cy="669840"/>
        </a:xfrm>
      </xdr:grpSpPr>
      <xdr:sp macro="" textlink="Working!I9">
        <xdr:nvSpPr>
          <xdr:cNvPr id="58" name="Rectanle 1">
            <a:extLst>
              <a:ext uri="{FF2B5EF4-FFF2-40B4-BE49-F238E27FC236}">
                <a16:creationId xmlns:a16="http://schemas.microsoft.com/office/drawing/2014/main" id="{ACAF139A-A7F0-FFC6-8E4A-E8ABC02285FA}"/>
              </a:ext>
            </a:extLst>
          </xdr:cNvPr>
          <xdr:cNvSpPr/>
        </xdr:nvSpPr>
        <xdr:spPr>
          <a:xfrm>
            <a:off x="9309932" y="441169"/>
            <a:ext cx="1612180" cy="669840"/>
          </a:xfrm>
          <a:prstGeom prst="roundRect">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fld id="{CEBDC308-6CEF-48D0-8165-A534130935E8}" type="TxLink">
              <a:rPr lang="en-US" sz="1800" b="1" i="0" u="none" strike="noStrike">
                <a:solidFill>
                  <a:schemeClr val="accent4">
                    <a:lumMod val="50000"/>
                  </a:schemeClr>
                </a:solidFill>
                <a:effectLst/>
                <a:latin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6.35%</a:t>
            </a:fld>
            <a:endParaRPr lang="en-US" sz="1800" b="1" i="0" u="none" strike="noStrike">
              <a:solidFill>
                <a:schemeClr val="accent4">
                  <a:lumMod val="50000"/>
                </a:schemeClr>
              </a:solidFill>
              <a:effectLst/>
              <a:latin typeface="Calibri"/>
              <a:cs typeface="Calibri"/>
            </a:endParaRPr>
          </a:p>
        </xdr:txBody>
      </xdr:sp>
      <xdr:sp macro="" textlink="">
        <xdr:nvSpPr>
          <xdr:cNvPr id="60" name="TextBox 59">
            <a:extLst>
              <a:ext uri="{FF2B5EF4-FFF2-40B4-BE49-F238E27FC236}">
                <a16:creationId xmlns:a16="http://schemas.microsoft.com/office/drawing/2014/main" id="{03577BE4-1606-4381-9826-19533A63E2AC}"/>
              </a:ext>
            </a:extLst>
          </xdr:cNvPr>
          <xdr:cNvSpPr txBox="1"/>
        </xdr:nvSpPr>
        <xdr:spPr>
          <a:xfrm>
            <a:off x="9311231" y="476723"/>
            <a:ext cx="1182548" cy="276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solidFill>
                <a:latin typeface="Segoe UI Semibold" panose="020B0702040204020203" pitchFamily="34" charset="0"/>
                <a:cs typeface="Segoe UI Semibold" panose="020B0702040204020203" pitchFamily="34" charset="0"/>
              </a:rPr>
              <a:t>P&amp;L</a:t>
            </a:r>
            <a:endParaRPr lang="en-US" sz="1050">
              <a:solidFill>
                <a:schemeClr val="tx1"/>
              </a:solidFill>
              <a:latin typeface="Segoe UI Semibold" panose="020B0702040204020203" pitchFamily="34" charset="0"/>
              <a:cs typeface="Segoe UI Semibold" panose="020B0702040204020203" pitchFamily="34" charset="0"/>
            </a:endParaRPr>
          </a:p>
        </xdr:txBody>
      </xdr:sp>
      <xdr:pic>
        <xdr:nvPicPr>
          <xdr:cNvPr id="61" name="Picture 60">
            <a:extLst>
              <a:ext uri="{FF2B5EF4-FFF2-40B4-BE49-F238E27FC236}">
                <a16:creationId xmlns:a16="http://schemas.microsoft.com/office/drawing/2014/main" id="{37F0718E-F647-4761-9F58-031A6AA8A73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645230" y="492259"/>
            <a:ext cx="236604" cy="266375"/>
          </a:xfrm>
          <a:prstGeom prst="rect">
            <a:avLst/>
          </a:prstGeom>
        </xdr:spPr>
      </xdr:pic>
    </xdr:grpSp>
    <xdr:clientData/>
  </xdr:twoCellAnchor>
  <xdr:twoCellAnchor>
    <xdr:from>
      <xdr:col>9</xdr:col>
      <xdr:colOff>589586</xdr:colOff>
      <xdr:row>1</xdr:row>
      <xdr:rowOff>133685</xdr:rowOff>
    </xdr:from>
    <xdr:to>
      <xdr:col>12</xdr:col>
      <xdr:colOff>556069</xdr:colOff>
      <xdr:row>7</xdr:row>
      <xdr:rowOff>167106</xdr:rowOff>
    </xdr:to>
    <xdr:grpSp>
      <xdr:nvGrpSpPr>
        <xdr:cNvPr id="88" name="Group 87">
          <a:extLst>
            <a:ext uri="{FF2B5EF4-FFF2-40B4-BE49-F238E27FC236}">
              <a16:creationId xmlns:a16="http://schemas.microsoft.com/office/drawing/2014/main" id="{C0F2651B-1F78-811B-C30C-330446168BF8}"/>
            </a:ext>
          </a:extLst>
        </xdr:cNvPr>
        <xdr:cNvGrpSpPr/>
      </xdr:nvGrpSpPr>
      <xdr:grpSpPr>
        <a:xfrm>
          <a:off x="6110857" y="327414"/>
          <a:ext cx="1806907" cy="1195794"/>
          <a:chOff x="6100230" y="324185"/>
          <a:chExt cx="1803327" cy="1176421"/>
        </a:xfrm>
      </xdr:grpSpPr>
      <xdr:grpSp>
        <xdr:nvGrpSpPr>
          <xdr:cNvPr id="70" name="Group 69">
            <a:extLst>
              <a:ext uri="{FF2B5EF4-FFF2-40B4-BE49-F238E27FC236}">
                <a16:creationId xmlns:a16="http://schemas.microsoft.com/office/drawing/2014/main" id="{1D354393-50EE-002A-A8C1-93DEF1C4670C}"/>
              </a:ext>
            </a:extLst>
          </xdr:cNvPr>
          <xdr:cNvGrpSpPr/>
        </xdr:nvGrpSpPr>
        <xdr:grpSpPr>
          <a:xfrm>
            <a:off x="6100230" y="472264"/>
            <a:ext cx="1789683" cy="850689"/>
            <a:chOff x="1470262" y="474404"/>
            <a:chExt cx="1643418" cy="663053"/>
          </a:xfrm>
        </xdr:grpSpPr>
        <xdr:sp macro="" textlink="">
          <xdr:nvSpPr>
            <xdr:cNvPr id="73" name="Rectanle 1">
              <a:extLst>
                <a:ext uri="{FF2B5EF4-FFF2-40B4-BE49-F238E27FC236}">
                  <a16:creationId xmlns:a16="http://schemas.microsoft.com/office/drawing/2014/main" id="{1E091454-A18A-3F48-8026-7B0A5BBA1EB0}"/>
                </a:ext>
              </a:extLst>
            </xdr:cNvPr>
            <xdr:cNvSpPr/>
          </xdr:nvSpPr>
          <xdr:spPr>
            <a:xfrm>
              <a:off x="1470262" y="474404"/>
              <a:ext cx="1643418" cy="663053"/>
            </a:xfrm>
            <a:prstGeom prst="roundRect">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l" defTabSz="914400" eaLnBrk="1" fontAlgn="auto" latinLnBrk="0" hangingPunct="1">
                <a:lnSpc>
                  <a:spcPct val="100000"/>
                </a:lnSpc>
                <a:spcBef>
                  <a:spcPts val="0"/>
                </a:spcBef>
                <a:spcAft>
                  <a:spcPts val="0"/>
                </a:spcAft>
                <a:buClrTx/>
                <a:buSzTx/>
                <a:buFontTx/>
                <a:buNone/>
                <a:tabLst/>
                <a:defRPr/>
              </a:pPr>
              <a:endParaRPr lang="en-US" sz="1600" b="1" i="0" u="none" strike="noStrike">
                <a:solidFill>
                  <a:schemeClr val="tx2">
                    <a:lumMod val="50000"/>
                    <a:lumOff val="50000"/>
                  </a:schemeClr>
                </a:solidFill>
                <a:effectLst/>
                <a:latin typeface="Calibri"/>
                <a:cs typeface="Calibri"/>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600" b="1" i="0" u="none" strike="noStrike">
                <a:solidFill>
                  <a:schemeClr val="tx2">
                    <a:lumMod val="50000"/>
                    <a:lumOff val="50000"/>
                  </a:schemeClr>
                </a:solidFill>
                <a:effectLst/>
                <a:latin typeface="Calibri"/>
                <a:cs typeface="Calibri"/>
              </a:endParaRPr>
            </a:p>
          </xdr:txBody>
        </xdr:sp>
        <xdr:sp macro="" textlink="">
          <xdr:nvSpPr>
            <xdr:cNvPr id="74" name="TextBox 73">
              <a:extLst>
                <a:ext uri="{FF2B5EF4-FFF2-40B4-BE49-F238E27FC236}">
                  <a16:creationId xmlns:a16="http://schemas.microsoft.com/office/drawing/2014/main" id="{035DBDB6-9643-AC07-F718-5BCA69C1B132}"/>
                </a:ext>
              </a:extLst>
            </xdr:cNvPr>
            <xdr:cNvSpPr txBox="1"/>
          </xdr:nvSpPr>
          <xdr:spPr>
            <a:xfrm>
              <a:off x="1477670" y="489220"/>
              <a:ext cx="1203562" cy="283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Segoe UI Semibold" panose="020B0702040204020203" pitchFamily="34" charset="0"/>
                  <a:cs typeface="Segoe UI Semibold" panose="020B0702040204020203" pitchFamily="34" charset="0"/>
                </a:rPr>
                <a:t>Win</a:t>
              </a:r>
              <a:r>
                <a:rPr lang="en-US" sz="1050" baseline="0">
                  <a:latin typeface="Segoe UI Semibold" panose="020B0702040204020203" pitchFamily="34" charset="0"/>
                  <a:cs typeface="Segoe UI Semibold" panose="020B0702040204020203" pitchFamily="34" charset="0"/>
                </a:rPr>
                <a:t>/Loss</a:t>
              </a:r>
              <a:endParaRPr lang="en-US" sz="1050">
                <a:latin typeface="Segoe UI Semibold" panose="020B0702040204020203" pitchFamily="34" charset="0"/>
                <a:cs typeface="Segoe UI Semibold" panose="020B0702040204020203" pitchFamily="34" charset="0"/>
              </a:endParaRPr>
            </a:p>
          </xdr:txBody>
        </xdr:sp>
      </xdr:grpSp>
      <xdr:graphicFrame macro="">
        <xdr:nvGraphicFramePr>
          <xdr:cNvPr id="75" name="Chart 74">
            <a:extLst>
              <a:ext uri="{FF2B5EF4-FFF2-40B4-BE49-F238E27FC236}">
                <a16:creationId xmlns:a16="http://schemas.microsoft.com/office/drawing/2014/main" id="{9C3587D3-94E4-49C6-8886-FE2D271EBD56}"/>
              </a:ext>
            </a:extLst>
          </xdr:cNvPr>
          <xdr:cNvGraphicFramePr>
            <a:graphicFrameLocks/>
          </xdr:cNvGraphicFramePr>
        </xdr:nvGraphicFramePr>
        <xdr:xfrm>
          <a:off x="6462848" y="324185"/>
          <a:ext cx="1440709" cy="1176421"/>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13</xdr:col>
      <xdr:colOff>8727</xdr:colOff>
      <xdr:row>2</xdr:row>
      <xdr:rowOff>72344</xdr:rowOff>
    </xdr:from>
    <xdr:to>
      <xdr:col>15</xdr:col>
      <xdr:colOff>571470</xdr:colOff>
      <xdr:row>6</xdr:row>
      <xdr:rowOff>160486</xdr:rowOff>
    </xdr:to>
    <xdr:sp macro="" textlink="">
      <xdr:nvSpPr>
        <xdr:cNvPr id="69" name="Rectanle 1">
          <a:extLst>
            <a:ext uri="{FF2B5EF4-FFF2-40B4-BE49-F238E27FC236}">
              <a16:creationId xmlns:a16="http://schemas.microsoft.com/office/drawing/2014/main" id="{4273E9E3-DB45-7503-6F28-40F0EAF3EC8B}"/>
            </a:ext>
          </a:extLst>
        </xdr:cNvPr>
        <xdr:cNvSpPr/>
      </xdr:nvSpPr>
      <xdr:spPr>
        <a:xfrm>
          <a:off x="7952218" y="449750"/>
          <a:ext cx="1784818" cy="842953"/>
        </a:xfrm>
        <a:prstGeom prst="roundRect">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800" b="1" i="0" u="none" strike="noStrike">
            <a:solidFill>
              <a:schemeClr val="accent4">
                <a:lumMod val="50000"/>
              </a:schemeClr>
            </a:solidFill>
            <a:effectLst/>
            <a:latin typeface="Calibri"/>
            <a:cs typeface="Calibri"/>
          </a:endParaRPr>
        </a:p>
      </xdr:txBody>
    </xdr:sp>
    <xdr:clientData/>
  </xdr:twoCellAnchor>
  <xdr:twoCellAnchor>
    <xdr:from>
      <xdr:col>14</xdr:col>
      <xdr:colOff>91785</xdr:colOff>
      <xdr:row>1</xdr:row>
      <xdr:rowOff>70357</xdr:rowOff>
    </xdr:from>
    <xdr:to>
      <xdr:col>15</xdr:col>
      <xdr:colOff>576744</xdr:colOff>
      <xdr:row>8</xdr:row>
      <xdr:rowOff>81025</xdr:rowOff>
    </xdr:to>
    <xdr:graphicFrame macro="">
      <xdr:nvGraphicFramePr>
        <xdr:cNvPr id="49" name="Chart 48">
          <a:extLst>
            <a:ext uri="{FF2B5EF4-FFF2-40B4-BE49-F238E27FC236}">
              <a16:creationId xmlns:a16="http://schemas.microsoft.com/office/drawing/2014/main" id="{CDD66088-F0DA-4D26-ABC9-4B0FCA00C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10167</xdr:colOff>
      <xdr:row>2</xdr:row>
      <xdr:rowOff>120866</xdr:rowOff>
    </xdr:from>
    <xdr:to>
      <xdr:col>15</xdr:col>
      <xdr:colOff>96588</xdr:colOff>
      <xdr:row>4</xdr:row>
      <xdr:rowOff>91274</xdr:rowOff>
    </xdr:to>
    <xdr:sp macro="" textlink="">
      <xdr:nvSpPr>
        <xdr:cNvPr id="71" name="TextBox 70">
          <a:extLst>
            <a:ext uri="{FF2B5EF4-FFF2-40B4-BE49-F238E27FC236}">
              <a16:creationId xmlns:a16="http://schemas.microsoft.com/office/drawing/2014/main" id="{C4905D88-15BA-BC81-0B75-60FE50F7BF73}"/>
            </a:ext>
          </a:extLst>
        </xdr:cNvPr>
        <xdr:cNvSpPr txBox="1"/>
      </xdr:nvSpPr>
      <xdr:spPr>
        <a:xfrm>
          <a:off x="7953658" y="498272"/>
          <a:ext cx="1308496" cy="347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solidFill>
              <a:latin typeface="Segoe UI Semibold" panose="020B0702040204020203" pitchFamily="34" charset="0"/>
              <a:cs typeface="Segoe UI Semibold" panose="020B0702040204020203" pitchFamily="34" charset="0"/>
            </a:rPr>
            <a:t>Total</a:t>
          </a:r>
          <a:r>
            <a:rPr lang="en-US" sz="1200" baseline="0">
              <a:solidFill>
                <a:schemeClr val="tx1"/>
              </a:solidFill>
              <a:latin typeface="Segoe UI Semibold" panose="020B0702040204020203" pitchFamily="34" charset="0"/>
              <a:cs typeface="Segoe UI Semibold" panose="020B0702040204020203" pitchFamily="34" charset="0"/>
            </a:rPr>
            <a:t> Days</a:t>
          </a:r>
        </a:p>
      </xdr:txBody>
    </xdr:sp>
    <xdr:clientData/>
  </xdr:twoCellAnchor>
  <xdr:twoCellAnchor>
    <xdr:from>
      <xdr:col>14</xdr:col>
      <xdr:colOff>307590</xdr:colOff>
      <xdr:row>3</xdr:row>
      <xdr:rowOff>18301</xdr:rowOff>
    </xdr:from>
    <xdr:to>
      <xdr:col>15</xdr:col>
      <xdr:colOff>367500</xdr:colOff>
      <xdr:row>6</xdr:row>
      <xdr:rowOff>98852</xdr:rowOff>
    </xdr:to>
    <xdr:sp macro="" textlink="Working!U8">
      <xdr:nvSpPr>
        <xdr:cNvPr id="50" name="TextBox 49">
          <a:extLst>
            <a:ext uri="{FF2B5EF4-FFF2-40B4-BE49-F238E27FC236}">
              <a16:creationId xmlns:a16="http://schemas.microsoft.com/office/drawing/2014/main" id="{CC4A0448-6699-41BB-A2FC-BDD380C46B14}"/>
            </a:ext>
          </a:extLst>
        </xdr:cNvPr>
        <xdr:cNvSpPr txBox="1"/>
      </xdr:nvSpPr>
      <xdr:spPr>
        <a:xfrm>
          <a:off x="8862118" y="584409"/>
          <a:ext cx="670948" cy="646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C3C8620-A21A-4ABC-896C-11090622327E}" type="TxLink">
            <a:rPr lang="en-US" sz="1800" b="0" i="0" u="none" strike="noStrike">
              <a:solidFill>
                <a:srgbClr val="000000"/>
              </a:solidFill>
              <a:latin typeface="Calibri"/>
              <a:ea typeface="+mn-ea"/>
              <a:cs typeface="Calibri"/>
            </a:rPr>
            <a:pPr marL="0" indent="0" algn="ctr"/>
            <a:t>88</a:t>
          </a:fld>
          <a:endParaRPr lang="en-US" sz="1800" b="0" i="0" u="none" strike="noStrike">
            <a:solidFill>
              <a:srgbClr val="000000"/>
            </a:solidFill>
            <a:latin typeface="Calibri"/>
            <a:ea typeface="+mn-ea"/>
            <a:cs typeface="Calibri"/>
          </a:endParaRPr>
        </a:p>
      </xdr:txBody>
    </xdr:sp>
    <xdr:clientData/>
  </xdr:twoCellAnchor>
  <xdr:twoCellAnchor>
    <xdr:from>
      <xdr:col>16</xdr:col>
      <xdr:colOff>27568</xdr:colOff>
      <xdr:row>2</xdr:row>
      <xdr:rowOff>72071</xdr:rowOff>
    </xdr:from>
    <xdr:to>
      <xdr:col>18</xdr:col>
      <xdr:colOff>590339</xdr:colOff>
      <xdr:row>6</xdr:row>
      <xdr:rowOff>160760</xdr:rowOff>
    </xdr:to>
    <xdr:sp macro="" textlink="">
      <xdr:nvSpPr>
        <xdr:cNvPr id="76" name="Rectanle 1">
          <a:extLst>
            <a:ext uri="{FF2B5EF4-FFF2-40B4-BE49-F238E27FC236}">
              <a16:creationId xmlns:a16="http://schemas.microsoft.com/office/drawing/2014/main" id="{5ADC5696-4A2D-4ECE-A861-4F87F7EB6D70}"/>
            </a:ext>
          </a:extLst>
        </xdr:cNvPr>
        <xdr:cNvSpPr/>
      </xdr:nvSpPr>
      <xdr:spPr>
        <a:xfrm>
          <a:off x="11203568" y="453071"/>
          <a:ext cx="1959771" cy="850689"/>
        </a:xfrm>
        <a:prstGeom prst="roundRect">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800" b="1" i="0" u="none" strike="noStrike">
            <a:solidFill>
              <a:schemeClr val="accent4">
                <a:lumMod val="50000"/>
              </a:schemeClr>
            </a:solidFill>
            <a:effectLst/>
            <a:latin typeface="Calibri"/>
            <a:cs typeface="Calibri"/>
          </a:endParaRPr>
        </a:p>
      </xdr:txBody>
    </xdr:sp>
    <xdr:clientData/>
  </xdr:twoCellAnchor>
  <xdr:twoCellAnchor>
    <xdr:from>
      <xdr:col>15</xdr:col>
      <xdr:colOff>681324</xdr:colOff>
      <xdr:row>2</xdr:row>
      <xdr:rowOff>126481</xdr:rowOff>
    </xdr:from>
    <xdr:to>
      <xdr:col>18</xdr:col>
      <xdr:colOff>152038</xdr:colOff>
      <xdr:row>4</xdr:row>
      <xdr:rowOff>92953</xdr:rowOff>
    </xdr:to>
    <xdr:sp macro="" textlink="">
      <xdr:nvSpPr>
        <xdr:cNvPr id="13" name="TextBox 12">
          <a:extLst>
            <a:ext uri="{FF2B5EF4-FFF2-40B4-BE49-F238E27FC236}">
              <a16:creationId xmlns:a16="http://schemas.microsoft.com/office/drawing/2014/main" id="{6274A5C8-30F2-4164-A35A-796692E8CBD0}"/>
            </a:ext>
          </a:extLst>
        </xdr:cNvPr>
        <xdr:cNvSpPr txBox="1"/>
      </xdr:nvSpPr>
      <xdr:spPr>
        <a:xfrm>
          <a:off x="11158824" y="507481"/>
          <a:ext cx="1566214" cy="347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Segoe UI Semibold" panose="020B0702040204020203" pitchFamily="34" charset="0"/>
              <a:cs typeface="Segoe UI Semibold" panose="020B0702040204020203" pitchFamily="34" charset="0"/>
            </a:rPr>
            <a:t>TP Required</a:t>
          </a:r>
        </a:p>
      </xdr:txBody>
    </xdr:sp>
    <xdr:clientData/>
  </xdr:twoCellAnchor>
  <xdr:twoCellAnchor>
    <xdr:from>
      <xdr:col>17</xdr:col>
      <xdr:colOff>86344</xdr:colOff>
      <xdr:row>0</xdr:row>
      <xdr:rowOff>184509</xdr:rowOff>
    </xdr:from>
    <xdr:to>
      <xdr:col>18</xdr:col>
      <xdr:colOff>573763</xdr:colOff>
      <xdr:row>8</xdr:row>
      <xdr:rowOff>2366</xdr:rowOff>
    </xdr:to>
    <xdr:graphicFrame macro="">
      <xdr:nvGraphicFramePr>
        <xdr:cNvPr id="79" name="Chart 78">
          <a:extLst>
            <a:ext uri="{FF2B5EF4-FFF2-40B4-BE49-F238E27FC236}">
              <a16:creationId xmlns:a16="http://schemas.microsoft.com/office/drawing/2014/main" id="{2ECE7E7B-A863-4866-A23D-90019EADB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292840</xdr:colOff>
      <xdr:row>2</xdr:row>
      <xdr:rowOff>128270</xdr:rowOff>
    </xdr:from>
    <xdr:to>
      <xdr:col>18</xdr:col>
      <xdr:colOff>363239</xdr:colOff>
      <xdr:row>6</xdr:row>
      <xdr:rowOff>40566</xdr:rowOff>
    </xdr:to>
    <xdr:sp macro="" textlink="Working!U6">
      <xdr:nvSpPr>
        <xdr:cNvPr id="43" name="TextBox 42">
          <a:extLst>
            <a:ext uri="{FF2B5EF4-FFF2-40B4-BE49-F238E27FC236}">
              <a16:creationId xmlns:a16="http://schemas.microsoft.com/office/drawing/2014/main" id="{C3A8F83C-0EFF-4783-92E4-0B235D48F765}"/>
            </a:ext>
          </a:extLst>
        </xdr:cNvPr>
        <xdr:cNvSpPr txBox="1"/>
      </xdr:nvSpPr>
      <xdr:spPr>
        <a:xfrm>
          <a:off x="12167340" y="509270"/>
          <a:ext cx="768899" cy="674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F9FD103-AD2B-4330-8116-5D3D9E46DDD3}" type="TxLink">
            <a:rPr lang="en-US" sz="1800" b="0" i="0" u="none" strike="noStrike">
              <a:solidFill>
                <a:srgbClr val="000000"/>
              </a:solidFill>
              <a:latin typeface="Calibri"/>
              <a:ea typeface="+mn-ea"/>
              <a:cs typeface="Calibri"/>
            </a:rPr>
            <a:pPr marL="0" indent="0" algn="ctr"/>
            <a:t>11</a:t>
          </a:fld>
          <a:endParaRPr lang="en-US" sz="1800" b="0" i="0" u="none" strike="noStrike">
            <a:solidFill>
              <a:srgbClr val="000000"/>
            </a:solidFill>
            <a:latin typeface="Calibri"/>
            <a:ea typeface="+mn-ea"/>
            <a:cs typeface="Calibri"/>
          </a:endParaRPr>
        </a:p>
      </xdr:txBody>
    </xdr:sp>
    <xdr:clientData/>
  </xdr:twoCellAnchor>
  <xdr:twoCellAnchor>
    <xdr:from>
      <xdr:col>19</xdr:col>
      <xdr:colOff>57530</xdr:colOff>
      <xdr:row>2</xdr:row>
      <xdr:rowOff>72071</xdr:rowOff>
    </xdr:from>
    <xdr:to>
      <xdr:col>22</xdr:col>
      <xdr:colOff>7980</xdr:colOff>
      <xdr:row>6</xdr:row>
      <xdr:rowOff>160760</xdr:rowOff>
    </xdr:to>
    <xdr:sp macro="" textlink="">
      <xdr:nvSpPr>
        <xdr:cNvPr id="84" name="Rectanle 1">
          <a:extLst>
            <a:ext uri="{FF2B5EF4-FFF2-40B4-BE49-F238E27FC236}">
              <a16:creationId xmlns:a16="http://schemas.microsoft.com/office/drawing/2014/main" id="{C30D6E22-B7D6-4EED-B5DB-912622DB71CC}"/>
            </a:ext>
          </a:extLst>
        </xdr:cNvPr>
        <xdr:cNvSpPr/>
      </xdr:nvSpPr>
      <xdr:spPr>
        <a:xfrm>
          <a:off x="11667247" y="449477"/>
          <a:ext cx="1783563" cy="843500"/>
        </a:xfrm>
        <a:prstGeom prst="roundRect">
          <a:avLst/>
        </a:prstGeom>
        <a:solidFill>
          <a:srgbClr val="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800" b="1" i="0" u="none" strike="noStrike">
            <a:solidFill>
              <a:schemeClr val="accent4">
                <a:lumMod val="50000"/>
              </a:schemeClr>
            </a:solidFill>
            <a:effectLst/>
            <a:latin typeface="Calibri"/>
            <a:cs typeface="Calibri"/>
          </a:endParaRPr>
        </a:p>
      </xdr:txBody>
    </xdr:sp>
    <xdr:clientData/>
  </xdr:twoCellAnchor>
  <xdr:twoCellAnchor>
    <xdr:from>
      <xdr:col>19</xdr:col>
      <xdr:colOff>80015</xdr:colOff>
      <xdr:row>2</xdr:row>
      <xdr:rowOff>117168</xdr:rowOff>
    </xdr:from>
    <xdr:to>
      <xdr:col>21</xdr:col>
      <xdr:colOff>274923</xdr:colOff>
      <xdr:row>4</xdr:row>
      <xdr:rowOff>54334</xdr:rowOff>
    </xdr:to>
    <xdr:sp macro="" textlink="">
      <xdr:nvSpPr>
        <xdr:cNvPr id="12" name="TextBox 11">
          <a:extLst>
            <a:ext uri="{FF2B5EF4-FFF2-40B4-BE49-F238E27FC236}">
              <a16:creationId xmlns:a16="http://schemas.microsoft.com/office/drawing/2014/main" id="{5F02B2E6-156E-4B63-A038-A9F8F4ADC80A}"/>
            </a:ext>
          </a:extLst>
        </xdr:cNvPr>
        <xdr:cNvSpPr txBox="1"/>
      </xdr:nvSpPr>
      <xdr:spPr>
        <a:xfrm>
          <a:off x="13351515" y="498168"/>
          <a:ext cx="1591908" cy="31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Segoe UI Semibold" panose="020B0702040204020203" pitchFamily="34" charset="0"/>
              <a:cs typeface="Segoe UI Semibold" panose="020B0702040204020203" pitchFamily="34" charset="0"/>
            </a:rPr>
            <a:t>Extra Days</a:t>
          </a:r>
        </a:p>
      </xdr:txBody>
    </xdr:sp>
    <xdr:clientData/>
  </xdr:twoCellAnchor>
  <xdr:twoCellAnchor>
    <xdr:from>
      <xdr:col>20</xdr:col>
      <xdr:colOff>64052</xdr:colOff>
      <xdr:row>1</xdr:row>
      <xdr:rowOff>76368</xdr:rowOff>
    </xdr:from>
    <xdr:to>
      <xdr:col>21</xdr:col>
      <xdr:colOff>547265</xdr:colOff>
      <xdr:row>7</xdr:row>
      <xdr:rowOff>163634</xdr:rowOff>
    </xdr:to>
    <xdr:grpSp>
      <xdr:nvGrpSpPr>
        <xdr:cNvPr id="38" name="Group 37">
          <a:extLst>
            <a:ext uri="{FF2B5EF4-FFF2-40B4-BE49-F238E27FC236}">
              <a16:creationId xmlns:a16="http://schemas.microsoft.com/office/drawing/2014/main" id="{D5C64927-06C1-41F4-9521-162C16E4B931}"/>
            </a:ext>
          </a:extLst>
        </xdr:cNvPr>
        <xdr:cNvGrpSpPr/>
      </xdr:nvGrpSpPr>
      <xdr:grpSpPr>
        <a:xfrm>
          <a:off x="12333544" y="270097"/>
          <a:ext cx="1096687" cy="1249639"/>
          <a:chOff x="23761306" y="1435583"/>
          <a:chExt cx="1773764" cy="1333251"/>
        </a:xfrm>
      </xdr:grpSpPr>
      <xdr:graphicFrame macro="">
        <xdr:nvGraphicFramePr>
          <xdr:cNvPr id="39" name="Chart 38">
            <a:extLst>
              <a:ext uri="{FF2B5EF4-FFF2-40B4-BE49-F238E27FC236}">
                <a16:creationId xmlns:a16="http://schemas.microsoft.com/office/drawing/2014/main" id="{7561F5FE-0A7C-8F92-9FCA-8ADE622597C7}"/>
              </a:ext>
            </a:extLst>
          </xdr:cNvPr>
          <xdr:cNvGraphicFramePr/>
        </xdr:nvGraphicFramePr>
        <xdr:xfrm>
          <a:off x="23761306" y="1435583"/>
          <a:ext cx="1773764" cy="1333251"/>
        </xdr:xfrm>
        <a:graphic>
          <a:graphicData uri="http://schemas.openxmlformats.org/drawingml/2006/chart">
            <c:chart xmlns:c="http://schemas.openxmlformats.org/drawingml/2006/chart" xmlns:r="http://schemas.openxmlformats.org/officeDocument/2006/relationships" r:id="rId10"/>
          </a:graphicData>
        </a:graphic>
      </xdr:graphicFrame>
      <xdr:sp macro="" textlink="Working!U4">
        <xdr:nvSpPr>
          <xdr:cNvPr id="40" name="TextBox 39">
            <a:extLst>
              <a:ext uri="{FF2B5EF4-FFF2-40B4-BE49-F238E27FC236}">
                <a16:creationId xmlns:a16="http://schemas.microsoft.com/office/drawing/2014/main" id="{A6AE7D08-06C1-3664-0853-A53673235FCA}"/>
              </a:ext>
            </a:extLst>
          </xdr:cNvPr>
          <xdr:cNvSpPr txBox="1"/>
        </xdr:nvSpPr>
        <xdr:spPr>
          <a:xfrm>
            <a:off x="24117404" y="1734231"/>
            <a:ext cx="1049982" cy="725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3DE14BF-563C-4B55-94AA-AB657955985E}" type="TxLink">
              <a:rPr lang="en-US" sz="1800" b="0" i="0" u="none" strike="noStrike">
                <a:solidFill>
                  <a:srgbClr val="000000"/>
                </a:solidFill>
                <a:latin typeface="Calibri"/>
                <a:ea typeface="+mn-ea"/>
                <a:cs typeface="Calibri"/>
              </a:rPr>
              <a:pPr marL="0" indent="0" algn="ctr"/>
              <a:t>50</a:t>
            </a:fld>
            <a:endParaRPr lang="en-US" sz="1800" b="0" i="0" u="none" strike="noStrike">
              <a:solidFill>
                <a:srgbClr val="000000"/>
              </a:solidFill>
              <a:latin typeface="Calibri"/>
              <a:ea typeface="+mn-ea"/>
              <a:cs typeface="Calibri"/>
            </a:endParaRPr>
          </a:p>
        </xdr:txBody>
      </xdr:sp>
    </xdr:grpSp>
    <xdr:clientData/>
  </xdr:twoCellAnchor>
  <xdr:twoCellAnchor>
    <xdr:from>
      <xdr:col>3</xdr:col>
      <xdr:colOff>476250</xdr:colOff>
      <xdr:row>7</xdr:row>
      <xdr:rowOff>16422</xdr:rowOff>
    </xdr:from>
    <xdr:to>
      <xdr:col>12</xdr:col>
      <xdr:colOff>541939</xdr:colOff>
      <xdr:row>23</xdr:row>
      <xdr:rowOff>46812</xdr:rowOff>
    </xdr:to>
    <xdr:graphicFrame macro="">
      <xdr:nvGraphicFramePr>
        <xdr:cNvPr id="2" name="Chart 1">
          <a:extLst>
            <a:ext uri="{FF2B5EF4-FFF2-40B4-BE49-F238E27FC236}">
              <a16:creationId xmlns:a16="http://schemas.microsoft.com/office/drawing/2014/main" id="{2295A1F8-5794-4419-BF81-473CA515C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87811</xdr:colOff>
      <xdr:row>24</xdr:row>
      <xdr:rowOff>77230</xdr:rowOff>
    </xdr:from>
    <xdr:to>
      <xdr:col>21</xdr:col>
      <xdr:colOff>447087</xdr:colOff>
      <xdr:row>32</xdr:row>
      <xdr:rowOff>69348</xdr:rowOff>
    </xdr:to>
    <xdr:graphicFrame macro="">
      <xdr:nvGraphicFramePr>
        <xdr:cNvPr id="7" name="Chart 6">
          <a:extLst>
            <a:ext uri="{FF2B5EF4-FFF2-40B4-BE49-F238E27FC236}">
              <a16:creationId xmlns:a16="http://schemas.microsoft.com/office/drawing/2014/main" id="{55A7A121-87FB-4F22-84B2-79EBA56FB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52436</xdr:colOff>
      <xdr:row>7</xdr:row>
      <xdr:rowOff>118879</xdr:rowOff>
    </xdr:from>
    <xdr:to>
      <xdr:col>21</xdr:col>
      <xdr:colOff>502134</xdr:colOff>
      <xdr:row>22</xdr:row>
      <xdr:rowOff>96988</xdr:rowOff>
    </xdr:to>
    <xdr:graphicFrame macro="">
      <xdr:nvGraphicFramePr>
        <xdr:cNvPr id="14" name="Chart 13">
          <a:extLst>
            <a:ext uri="{FF2B5EF4-FFF2-40B4-BE49-F238E27FC236}">
              <a16:creationId xmlns:a16="http://schemas.microsoft.com/office/drawing/2014/main" id="{5AAC8748-A0AE-47B6-9C72-1B3273430E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164230</xdr:colOff>
      <xdr:row>23</xdr:row>
      <xdr:rowOff>127001</xdr:rowOff>
    </xdr:from>
    <xdr:to>
      <xdr:col>15</xdr:col>
      <xdr:colOff>177102</xdr:colOff>
      <xdr:row>25</xdr:row>
      <xdr:rowOff>65217</xdr:rowOff>
    </xdr:to>
    <xdr:sp macro="" textlink="">
      <xdr:nvSpPr>
        <xdr:cNvPr id="6" name="TextBox 5">
          <a:extLst>
            <a:ext uri="{FF2B5EF4-FFF2-40B4-BE49-F238E27FC236}">
              <a16:creationId xmlns:a16="http://schemas.microsoft.com/office/drawing/2014/main" id="{9E92E994-DC8C-7440-5B03-71F92911B7C0}"/>
            </a:ext>
          </a:extLst>
        </xdr:cNvPr>
        <xdr:cNvSpPr txBox="1"/>
      </xdr:nvSpPr>
      <xdr:spPr>
        <a:xfrm>
          <a:off x="8101730" y="4508501"/>
          <a:ext cx="1234026" cy="319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P&amp;L by Trades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291304</xdr:colOff>
      <xdr:row>19</xdr:row>
      <xdr:rowOff>155863</xdr:rowOff>
    </xdr:from>
    <xdr:to>
      <xdr:col>9</xdr:col>
      <xdr:colOff>136139</xdr:colOff>
      <xdr:row>35</xdr:row>
      <xdr:rowOff>72256</xdr:rowOff>
    </xdr:to>
    <xdr:graphicFrame macro="">
      <xdr:nvGraphicFramePr>
        <xdr:cNvPr id="14" name="Chart 4">
          <a:extLst>
            <a:ext uri="{FF2B5EF4-FFF2-40B4-BE49-F238E27FC236}">
              <a16:creationId xmlns:a16="http://schemas.microsoft.com/office/drawing/2014/main" id="{EFC02EA0-C317-42EB-AF33-D4C87F43ED74}"/>
            </a:ext>
            <a:ext uri="{147F2762-F138-4A5C-976F-8EAC2B608ADB}">
              <a16:predDERef xmlns:a16="http://schemas.microsoft.com/office/drawing/2014/main" pred="{1B0E157E-CB60-4D11-A1C0-80F9BB1BE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77.893832060188" createdVersion="8" refreshedVersion="8" minRefreshableVersion="3" recordCount="45" xr:uid="{3FD56D13-27BD-44CC-B6C1-A6184C134403}">
  <cacheSource type="worksheet">
    <worksheetSource name="My­_Journal"/>
  </cacheSource>
  <cacheFields count="32">
    <cacheField name="#" numFmtId="0">
      <sharedItems containsSemiMixedTypes="0" containsString="0" containsNumber="1" containsInteger="1" minValue="1" maxValue="45"/>
    </cacheField>
    <cacheField name="Date" numFmtId="14">
      <sharedItems containsSemiMixedTypes="0" containsNonDate="0" containsDate="1" containsString="0" minDate="2025-01-01T00:00:00" maxDate="2025-08-07T00:00:00" count="39">
        <d v="2025-06-16T00:00:00"/>
        <d v="2025-06-27T00:00:00"/>
        <d v="2025-06-30T00:00:00"/>
        <d v="2025-07-01T00:00:00"/>
        <d v="2025-07-02T00:00:00"/>
        <d v="2025-07-03T00:00:00"/>
        <d v="2025-07-04T00:00:00"/>
        <d v="2025-07-07T00:00:00"/>
        <d v="2025-07-08T00:00:00"/>
        <d v="2025-07-10T00:00:00"/>
        <d v="2025-07-11T00:00:00"/>
        <d v="2025-07-14T00:00:00"/>
        <d v="2025-07-15T00:00:00"/>
        <d v="2025-07-17T00:00:00"/>
        <d v="2025-07-21T00:00:00"/>
        <d v="2025-07-22T00:00:00"/>
        <d v="2025-07-26T00:00:00"/>
        <d v="2025-08-01T00:00:00"/>
        <d v="2025-08-02T00:00:00"/>
        <d v="2025-08-03T00:00:00"/>
        <d v="2025-08-04T00:00:00"/>
        <d v="2025-08-05T00:00:00"/>
        <d v="2025-08-06T00:00:00"/>
        <d v="2025-06-17T00:00:00" u="1"/>
        <d v="2025-06-18T00:00:00" u="1"/>
        <d v="2025-06-19T00:00:00" u="1"/>
        <d v="2025-06-20T00:00:00" u="1"/>
        <d v="2025-06-23T00:00:00" u="1"/>
        <d v="2025-06-24T00:00:00" u="1"/>
        <d v="2025-06-25T00:00:00" u="1"/>
        <d v="2025-06-26T00:00:00" u="1"/>
        <d v="2025-06-28T00:00:00" u="1"/>
        <d v="2025-01-01T00:00:00" u="1"/>
        <d v="2025-02-07T00:00:00" u="1"/>
        <d v="2025-03-06T00:00:00" u="1"/>
        <d v="2025-06-05T00:00:00" u="1"/>
        <d v="2025-06-12T00:00:00" u="1"/>
        <d v="2025-07-24T00:00:00" u="1"/>
        <d v="2025-04-19T00:00:00" u="1"/>
      </sharedItems>
    </cacheField>
    <cacheField name="Trade Month" numFmtId="0">
      <sharedItems containsBlank="1" count="9">
        <s v="June"/>
        <s v="July"/>
        <s v="August"/>
        <s v="" u="1"/>
        <m u="1"/>
        <s v="January" u="1"/>
        <s v="February" u="1"/>
        <s v="March" u="1"/>
        <s v="April" u="1"/>
      </sharedItems>
    </cacheField>
    <cacheField name="Date Close" numFmtId="14">
      <sharedItems containsSemiMixedTypes="0" containsNonDate="0" containsDate="1" containsString="0" minDate="2025-06-16T00:00:00" maxDate="2025-07-23T00:00:00"/>
    </cacheField>
    <cacheField name="Currency Pair" numFmtId="0">
      <sharedItems containsBlank="1" count="17">
        <s v="USD/CAD"/>
        <s v="US30"/>
        <s v="XAUUSD"/>
        <s v="USD/CHF"/>
        <s v="AUD/USD"/>
        <s v="NZD/USD"/>
        <s v="USD/JPY"/>
        <s v="S&amp;P500"/>
        <s v="GBP/USD"/>
        <s v="AUD/JPY"/>
        <m u="1"/>
        <s v="EUR/USD" u="1"/>
        <s v="uk100" u="1"/>
        <s v="AUD/CHF" u="1"/>
        <s v="AUD/NZD" u="1"/>
        <s v="CAD/JPY" u="1"/>
        <s v="NZD/CHF" u="1"/>
      </sharedItems>
    </cacheField>
    <cacheField name="Position Size" numFmtId="0">
      <sharedItems containsSemiMixedTypes="0" containsString="0" containsNumber="1" minValue="0.1" maxValue="7.82"/>
    </cacheField>
    <cacheField name="Time Frame" numFmtId="0">
      <sharedItems containsMixedTypes="1" containsNumber="1" containsInteger="1" minValue="5" maxValue="15" count="4">
        <s v="5 minutes"/>
        <s v="15 minutes"/>
        <n v="5" u="1"/>
        <n v="15" u="1"/>
      </sharedItems>
    </cacheField>
    <cacheField name="Direction" numFmtId="0">
      <sharedItems containsBlank="1" count="3">
        <s v="Long"/>
        <s v="Short"/>
        <m u="1"/>
      </sharedItems>
    </cacheField>
    <cacheField name="Entry Price" numFmtId="164">
      <sharedItems containsSemiMixedTypes="0" containsString="0" containsNumber="1" minValue="0.79735" maxValue="44624.2"/>
    </cacheField>
    <cacheField name="Stop Loss" numFmtId="164">
      <sharedItems containsSemiMixedTypes="0" containsString="0" containsNumber="1" minValue="0.79568000000000005" maxValue="44656.75"/>
    </cacheField>
    <cacheField name="Take Profit" numFmtId="164">
      <sharedItems containsSemiMixedTypes="0" containsString="0" containsNumber="1" minValue="0.79908000000000001" maxValue="44589.75"/>
    </cacheField>
    <cacheField name="Exit Price" numFmtId="164">
      <sharedItems containsSemiMixedTypes="0" containsString="0" containsNumber="1" minValue="0.79908000000000001" maxValue="44619.4"/>
    </cacheField>
    <cacheField name="Risk/Reward_New" numFmtId="2">
      <sharedItems containsSemiMixedTypes="0" containsString="0" containsNumber="1" minValue="0.96249999999994074" maxValue="12788.434042553687"/>
    </cacheField>
    <cacheField name="Win / Loss" numFmtId="0">
      <sharedItems containsBlank="1" count="5">
        <s v="Loss"/>
        <s v="Win"/>
        <s v="Manually-Closed"/>
        <s v="" u="1"/>
        <m u="1"/>
      </sharedItems>
    </cacheField>
    <cacheField name="$ Loss" numFmtId="164">
      <sharedItems containsSemiMixedTypes="0" containsString="0" containsNumber="1" minValue="0" maxValue="655.62"/>
    </cacheField>
    <cacheField name="$ Profit" numFmtId="164">
      <sharedItems containsSemiMixedTypes="0" containsString="0" containsNumber="1" minValue="0" maxValue="1083"/>
    </cacheField>
    <cacheField name="Commison" numFmtId="164">
      <sharedItems containsSemiMixedTypes="0" containsString="0" containsNumber="1" minValue="0.4" maxValue="39.1"/>
    </cacheField>
    <cacheField name="Net P&amp;L" numFmtId="164">
      <sharedItems containsSemiMixedTypes="0" containsString="0" containsNumber="1" minValue="-653.66" maxValue="1082.4000000000001"/>
    </cacheField>
    <cacheField name="Net P&amp;L %" numFmtId="10">
      <sharedItems containsSemiMixedTypes="0" containsString="0" containsNumber="1" minValue="-6.5366E-3" maxValue="1.0824E-2"/>
    </cacheField>
    <cacheField name="% Net_Profit" numFmtId="10">
      <sharedItems containsSemiMixedTypes="0" containsString="0" containsNumber="1" minValue="-5.2599999999999991E-5" maxValue="1.0824E-2"/>
    </cacheField>
    <cacheField name="% Net_Loss" numFmtId="10">
      <sharedItems containsSemiMixedTypes="0" containsString="0" containsNumber="1" minValue="0" maxValue="6.5561999999999999E-3"/>
    </cacheField>
    <cacheField name="Comission_1" numFmtId="164">
      <sharedItems containsSemiMixedTypes="0" containsString="0" containsNumber="1" minValue="0.4" maxValue="39.1"/>
    </cacheField>
    <cacheField name="Balance" numFmtId="164">
      <sharedItems containsSemiMixedTypes="0" containsString="0" containsNumber="1" minValue="97296.489999999976" maxValue="106351.28"/>
    </cacheField>
    <cacheField name="Date-Month" numFmtId="164">
      <sharedItems/>
    </cacheField>
    <cacheField name="Month-Year" numFmtId="0">
      <sharedItems count="5">
        <s v="Jun-2025"/>
        <s v="Jul-2025"/>
        <s v="Aug-2025"/>
        <s v="" u="1"/>
        <s v="Jan-1900" u="1"/>
      </sharedItems>
    </cacheField>
    <cacheField name="Net_Profit" numFmtId="164">
      <sharedItems containsMixedTypes="1" containsNumber="1" minValue="-5.2599999999999989" maxValue="1082.4000000000001"/>
    </cacheField>
    <cacheField name="Net_Loss" numFmtId="164">
      <sharedItems containsSemiMixedTypes="0" containsString="0" containsNumber="1" minValue="0" maxValue="653.66"/>
    </cacheField>
    <cacheField name="End Trade of month" numFmtId="14">
      <sharedItems containsSemiMixedTypes="0" containsNonDate="0" containsDate="1" containsString="0" minDate="2025-06-30T00:00:00" maxDate="2025-08-07T00:00:00"/>
    </cacheField>
    <cacheField name="End Month equity" numFmtId="164">
      <sharedItems containsSemiMixedTypes="0" containsString="0" containsNumber="1" minValue="97442.419999999984" maxValue="106351.28"/>
    </cacheField>
    <cacheField name="Achieved Target" numFmtId="2">
      <sharedItems containsSemiMixedTypes="0" containsString="0" containsNumber="1" minValue="-4.357733333333333" maxValue="7.2160000000000002"/>
    </cacheField>
    <cacheField name="Capacity_Days Finding" numFmtId="1">
      <sharedItems containsSemiMixedTypes="0" containsString="0" containsNumber="1" minValue="0.33473333333333821" maxValue="33.815599999999996"/>
    </cacheField>
    <cacheField name="Signal" numFmtId="0">
      <sharedItems containsBlank="1"/>
    </cacheField>
  </cacheFields>
  <extLst>
    <ext xmlns:x14="http://schemas.microsoft.com/office/spreadsheetml/2009/9/main" uri="{725AE2AE-9491-48be-B2B4-4EB974FC3084}">
      <x14:pivotCacheDefinition pivotCacheId="894419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77.893861921293" createdVersion="8" refreshedVersion="8" minRefreshableVersion="3" recordCount="14" xr:uid="{645752CE-7117-4E45-8FDF-2173A7C90991}">
  <cacheSource type="worksheet">
    <worksheetSource name="Table8"/>
  </cacheSource>
  <cacheFields count="8">
    <cacheField name="Date" numFmtId="14">
      <sharedItems containsDate="1" containsMixedTypes="1" minDate="1899-12-30T00:00:00" maxDate="2025-06-27T00:00:00" count="42">
        <s v="15-Jul"/>
        <s v="17-Jul"/>
        <s v="21-Jul"/>
        <s v="22-Jul"/>
        <s v="26-Jul"/>
        <s v="01-Aug"/>
        <s v="02-Aug"/>
        <s v="03-Aug"/>
        <s v="04-Aug"/>
        <s v="05-Aug"/>
        <s v="06-Aug"/>
        <s v="14-Jul" u="1"/>
        <s v="10-Jul" u="1"/>
        <s v="11-Jul" u="1"/>
        <s v="08-Jul" u="1"/>
        <s v="07-Jul" u="1"/>
        <s v="04-Jul" u="1"/>
        <s v="03-Jul" u="1"/>
        <s v="02-Jul" u="1"/>
        <s v="01-Jul" u="1"/>
        <s v="30-Jun" u="1"/>
        <s v="27-Jun" u="1"/>
        <s v="16-Jun" u="1"/>
        <s v="" u="1"/>
        <d v="1899-12-30T00:00:00" u="1"/>
        <s v="17-Jun" u="1"/>
        <s v="18-Jun" u="1"/>
        <s v="19-Jun" u="1"/>
        <s v="20-Jun" u="1"/>
        <s v="23-Jun" u="1"/>
        <s v="24-Jun" u="1"/>
        <s v="25-Jun" u="1"/>
        <s v="26-Jun" u="1"/>
        <d v="2025-06-16T00:00:00" u="1"/>
        <d v="2025-06-17T00:00:00" u="1"/>
        <d v="2025-06-18T00:00:00" u="1"/>
        <d v="2025-06-19T00:00:00" u="1"/>
        <d v="2025-06-20T00:00:00" u="1"/>
        <d v="2025-06-23T00:00:00" u="1"/>
        <d v="2025-06-24T00:00:00" u="1"/>
        <d v="2025-06-25T00:00:00" u="1"/>
        <d v="2025-06-26T00:00:00" u="1"/>
      </sharedItems>
    </cacheField>
    <cacheField name="#" numFmtId="1">
      <sharedItems containsSemiMixedTypes="0" containsString="0" containsNumber="1" containsInteger="1" minValue="0" maxValue="45" count="46">
        <n v="32"/>
        <n v="33"/>
        <n v="34"/>
        <n v="35"/>
        <n v="36"/>
        <n v="37"/>
        <n v="38"/>
        <n v="39"/>
        <n v="40"/>
        <n v="41"/>
        <n v="42"/>
        <n v="43"/>
        <n v="44"/>
        <n v="45"/>
        <n v="25" u="1"/>
        <n v="26" u="1"/>
        <n v="27" u="1"/>
        <n v="28" u="1"/>
        <n v="29" u="1"/>
        <n v="30" u="1"/>
        <n v="31" u="1"/>
        <n v="23" u="1"/>
        <n v="24" u="1"/>
        <n v="22" u="1"/>
        <n v="21" u="1"/>
        <n v="19" u="1"/>
        <n v="20" u="1"/>
        <n v="17" u="1"/>
        <n v="18" u="1"/>
        <n v="16" u="1"/>
        <n v="14" u="1"/>
        <n v="15" u="1"/>
        <n v="13" u="1"/>
        <n v="12" u="1"/>
        <n v="11" u="1"/>
        <n v="10" u="1"/>
        <n v="9" u="1"/>
        <n v="8" u="1"/>
        <n v="7" u="1"/>
        <n v="5" u="1"/>
        <n v="6" u="1"/>
        <n v="4" u="1"/>
        <n v="3" u="1"/>
        <n v="2" u="1"/>
        <n v="1" u="1"/>
        <n v="0" u="1"/>
      </sharedItems>
    </cacheField>
    <cacheField name="Net_Profit%" numFmtId="10">
      <sharedItems containsSemiMixedTypes="0" containsString="0" containsNumber="1" minValue="0" maxValue="1.0824E-2"/>
    </cacheField>
    <cacheField name="New Net_Profit" numFmtId="10">
      <sharedItems containsMixedTypes="1" containsNumber="1" minValue="2.6926999999999997E-3" maxValue="1.0824E-2"/>
    </cacheField>
    <cacheField name="Net_Loss" numFmtId="10">
      <sharedItems containsSemiMixedTypes="0" containsString="0" containsNumber="1" minValue="0" maxValue="8.1840000000000005E-4"/>
    </cacheField>
    <cacheField name="New_Net_Loss" numFmtId="10">
      <sharedItems containsMixedTypes="1" containsNumber="1" minValue="8.1840000000000005E-4" maxValue="8.1840000000000005E-4"/>
    </cacheField>
    <cacheField name="Current Balance" numFmtId="164">
      <sharedItems containsSemiMixedTypes="0" containsString="0" containsNumber="1" minValue="0" maxValue="1.0824E-2"/>
    </cacheField>
    <cacheField name="Starting Balance" numFmtId="164">
      <sharedItems containsSemiMixedTypes="0" containsString="0" containsNumber="1" containsInteger="1" minValue="100000" maxValue="1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n v="1"/>
    <x v="0"/>
    <x v="0"/>
    <d v="2025-06-16T00:00:00"/>
    <x v="0"/>
    <n v="7.82"/>
    <x v="0"/>
    <x v="0"/>
    <n v="1.3573500000000001"/>
    <n v="1.3570599999999999"/>
    <n v="1.35764"/>
    <n v="1.3570599999999999"/>
    <n v="0.99999999999923428"/>
    <x v="0"/>
    <n v="184.4"/>
    <n v="0"/>
    <n v="39.1"/>
    <n v="-145.30000000000001"/>
    <n v="-1.4530000000000001E-3"/>
    <n v="0"/>
    <n v="1.8440000000000002E-3"/>
    <n v="39.1"/>
    <n v="99776.5"/>
    <s v="16-Jun"/>
    <x v="0"/>
    <s v="$0.00"/>
    <n v="145.30000000000001"/>
    <d v="2025-06-30T00:00:00"/>
    <n v="97442.419999999984"/>
    <n v="-0.96866666666666668"/>
    <n v="32.698"/>
    <s v="Cambist"/>
  </r>
  <r>
    <n v="2"/>
    <x v="0"/>
    <x v="0"/>
    <d v="2025-06-16T00:00:00"/>
    <x v="1"/>
    <n v="2.7"/>
    <x v="0"/>
    <x v="1"/>
    <n v="42429.2"/>
    <n v="42478.720000000001"/>
    <n v="42379.68"/>
    <n v="42478.720000000001"/>
    <n v="0.99999999999985312"/>
    <x v="0"/>
    <n v="138.24"/>
    <n v="0"/>
    <n v="5.4"/>
    <n v="-132.84"/>
    <n v="-1.3284E-3"/>
    <n v="0"/>
    <n v="1.3824E-3"/>
    <n v="5.4"/>
    <n v="99632.86"/>
    <s v="16-Jun"/>
    <x v="0"/>
    <s v="$0.00"/>
    <n v="132.84"/>
    <d v="2025-06-30T00:00:00"/>
    <n v="97442.419999999984"/>
    <n v="-0.88559999999999994"/>
    <n v="30.8124"/>
    <s v="Cambist"/>
  </r>
  <r>
    <n v="3"/>
    <x v="1"/>
    <x v="0"/>
    <d v="2025-06-27T00:00:00"/>
    <x v="2"/>
    <n v="0.23"/>
    <x v="1"/>
    <x v="0"/>
    <n v="3288.03"/>
    <n v="3281.48"/>
    <n v="3294.64"/>
    <n v="3281.48"/>
    <n v="1.0091603053434335"/>
    <x v="0"/>
    <n v="155.71"/>
    <n v="0"/>
    <n v="0.46"/>
    <n v="-155.25"/>
    <n v="-1.5525000000000001E-3"/>
    <n v="0"/>
    <n v="1.5571000000000001E-3"/>
    <n v="0.46"/>
    <n v="99476.689999999988"/>
    <s v="27-Jun"/>
    <x v="0"/>
    <s v="$0.00"/>
    <n v="155.25"/>
    <d v="2025-06-30T00:00:00"/>
    <n v="97442.419999999984"/>
    <n v="-1.0349999999999999"/>
    <n v="28.7774"/>
    <s v="Cambist"/>
  </r>
  <r>
    <n v="4"/>
    <x v="1"/>
    <x v="0"/>
    <d v="2025-06-27T00:00:00"/>
    <x v="2"/>
    <n v="0.46"/>
    <x v="1"/>
    <x v="0"/>
    <n v="3286.57"/>
    <n v="3279.37"/>
    <n v="3293.5"/>
    <n v="3279.37"/>
    <n v="0.96249999999994074"/>
    <x v="0"/>
    <n v="354.66"/>
    <n v="0"/>
    <n v="0.92"/>
    <n v="-353.74"/>
    <n v="-3.5374E-3"/>
    <n v="0"/>
    <n v="3.5466000000000004E-3"/>
    <n v="0.92"/>
    <n v="99121.109999999986"/>
    <s v="27-Jun"/>
    <x v="0"/>
    <s v="$0.00"/>
    <n v="353.74"/>
    <d v="2025-06-30T00:00:00"/>
    <n v="97442.419999999984"/>
    <n v="-2.3582666666666667"/>
    <n v="25.419133333333335"/>
    <s v="Cambist"/>
  </r>
  <r>
    <n v="5"/>
    <x v="1"/>
    <x v="0"/>
    <d v="2025-06-27T00:00:00"/>
    <x v="2"/>
    <n v="0.98"/>
    <x v="1"/>
    <x v="0"/>
    <n v="3281.63"/>
    <n v="3275.59"/>
    <n v="3287.65"/>
    <n v="3275.59"/>
    <n v="0.99668874172185729"/>
    <x v="0"/>
    <n v="655.62"/>
    <n v="0"/>
    <n v="1.96"/>
    <n v="-653.66"/>
    <n v="-6.5366E-3"/>
    <n v="0"/>
    <n v="6.5561999999999999E-3"/>
    <n v="1.96"/>
    <n v="98463.529999999984"/>
    <s v="27-Jun"/>
    <x v="0"/>
    <s v="$0.00"/>
    <n v="653.66"/>
    <d v="2025-06-30T00:00:00"/>
    <n v="97442.419999999984"/>
    <n v="-4.357733333333333"/>
    <n v="20.061400000000003"/>
    <s v="Cambist"/>
  </r>
  <r>
    <n v="6"/>
    <x v="1"/>
    <x v="0"/>
    <d v="2025-06-27T00:00:00"/>
    <x v="3"/>
    <n v="0.69"/>
    <x v="1"/>
    <x v="0"/>
    <n v="0.79735"/>
    <n v="0.79568000000000005"/>
    <n v="0.79908000000000001"/>
    <n v="0.79908000000000001"/>
    <n v="1.0359281437126118"/>
    <x v="1"/>
    <n v="0"/>
    <n v="149.38"/>
    <n v="3.45"/>
    <n v="145.93"/>
    <n v="1.4593E-3"/>
    <n v="1.4593E-3"/>
    <n v="0"/>
    <n v="3.45"/>
    <n v="98609.459999999992"/>
    <s v="27-Jun"/>
    <x v="0"/>
    <n v="145.93"/>
    <n v="0"/>
    <d v="2025-06-30T00:00:00"/>
    <n v="97442.419999999984"/>
    <n v="0.97286666666666666"/>
    <n v="20.034266666666671"/>
    <s v="Cambist"/>
  </r>
  <r>
    <n v="7"/>
    <x v="1"/>
    <x v="0"/>
    <d v="2025-06-27T00:00:00"/>
    <x v="4"/>
    <n v="1.97"/>
    <x v="0"/>
    <x v="1"/>
    <n v="42429.2"/>
    <n v="42478.720000000001"/>
    <n v="42379.68"/>
    <n v="42478.720000000001"/>
    <n v="0.99999999999985312"/>
    <x v="0"/>
    <n v="138.24"/>
    <n v="0"/>
    <n v="5.4"/>
    <n v="-132.84"/>
    <n v="-1.3284E-3"/>
    <n v="0"/>
    <n v="1.3824E-3"/>
    <n v="5.4"/>
    <n v="98465.819999999992"/>
    <s v="27-Jun"/>
    <x v="0"/>
    <s v="$0.00"/>
    <n v="132.84"/>
    <d v="2025-06-30T00:00:00"/>
    <n v="97442.419999999984"/>
    <n v="-0.88559999999999994"/>
    <n v="18.148666666666671"/>
    <s v="Cambist"/>
  </r>
  <r>
    <n v="8"/>
    <x v="1"/>
    <x v="0"/>
    <d v="2025-06-27T00:00:00"/>
    <x v="5"/>
    <n v="2.73"/>
    <x v="0"/>
    <x v="0"/>
    <n v="3288.03"/>
    <n v="3281.48"/>
    <n v="3294.64"/>
    <n v="3281.48"/>
    <n v="1.0091603053434335"/>
    <x v="0"/>
    <n v="155.71"/>
    <n v="0"/>
    <n v="0.46"/>
    <n v="-155.25"/>
    <n v="-1.5525000000000001E-3"/>
    <n v="0"/>
    <n v="1.5571000000000001E-3"/>
    <n v="0.46"/>
    <n v="98309.64999999998"/>
    <s v="27-Jun"/>
    <x v="0"/>
    <s v="$0.00"/>
    <n v="155.25"/>
    <d v="2025-06-30T00:00:00"/>
    <n v="97442.419999999984"/>
    <n v="-1.0349999999999999"/>
    <n v="16.113666666666671"/>
    <s v="Cambist"/>
  </r>
  <r>
    <n v="9"/>
    <x v="1"/>
    <x v="0"/>
    <d v="2025-06-27T00:00:00"/>
    <x v="2"/>
    <n v="0.59"/>
    <x v="1"/>
    <x v="0"/>
    <n v="3286.57"/>
    <n v="3279.37"/>
    <n v="3293.5"/>
    <n v="3279.37"/>
    <n v="0.96249999999994074"/>
    <x v="0"/>
    <n v="354.66"/>
    <n v="0"/>
    <n v="0.92"/>
    <n v="-353.74"/>
    <n v="-3.5374E-3"/>
    <n v="0"/>
    <n v="3.5466000000000004E-3"/>
    <n v="0.92"/>
    <n v="97954.069999999978"/>
    <s v="27-Jun"/>
    <x v="0"/>
    <s v="$0.00"/>
    <n v="353.74"/>
    <d v="2025-06-30T00:00:00"/>
    <n v="97442.419999999984"/>
    <n v="-2.3582666666666667"/>
    <n v="12.755400000000003"/>
    <s v="Cambist"/>
  </r>
  <r>
    <n v="10"/>
    <x v="2"/>
    <x v="0"/>
    <d v="2025-06-30T00:00:00"/>
    <x v="2"/>
    <n v="0.5"/>
    <x v="1"/>
    <x v="0"/>
    <n v="3281.63"/>
    <n v="3275.59"/>
    <n v="3287.65"/>
    <n v="3275.59"/>
    <n v="0.99668874172185729"/>
    <x v="0"/>
    <n v="655.62"/>
    <n v="0"/>
    <n v="1.96"/>
    <n v="-653.66"/>
    <n v="-6.5366E-3"/>
    <n v="0"/>
    <n v="6.5561999999999999E-3"/>
    <n v="1.96"/>
    <n v="97296.489999999976"/>
    <s v="30-Jun"/>
    <x v="0"/>
    <s v="$0.00"/>
    <n v="653.66"/>
    <d v="2025-06-30T00:00:00"/>
    <n v="97442.419999999984"/>
    <n v="-4.357733333333333"/>
    <n v="7.3976666666666704"/>
    <s v="Cambist"/>
  </r>
  <r>
    <n v="11"/>
    <x v="2"/>
    <x v="0"/>
    <d v="2025-06-30T00:00:00"/>
    <x v="3"/>
    <n v="1.89"/>
    <x v="0"/>
    <x v="0"/>
    <n v="0.79735"/>
    <n v="0.79568000000000005"/>
    <n v="0.79908000000000001"/>
    <n v="0.79908000000000001"/>
    <n v="1.0359281437126118"/>
    <x v="1"/>
    <n v="0"/>
    <n v="149.38"/>
    <n v="3.45"/>
    <n v="145.93"/>
    <n v="1.4593E-3"/>
    <n v="1.4593E-3"/>
    <n v="0"/>
    <n v="3.45"/>
    <n v="97442.419999999984"/>
    <s v="30-Jun"/>
    <x v="0"/>
    <n v="145.93"/>
    <n v="0"/>
    <d v="2025-06-30T00:00:00"/>
    <n v="97442.419999999984"/>
    <n v="0.97286666666666666"/>
    <n v="7.3705333333333369"/>
    <s v="Cambist"/>
  </r>
  <r>
    <n v="12"/>
    <x v="3"/>
    <x v="1"/>
    <d v="2025-07-01T00:00:00"/>
    <x v="6"/>
    <n v="2.39"/>
    <x v="0"/>
    <x v="0"/>
    <n v="142.90700000000001"/>
    <n v="142.81299999999999"/>
    <n v="143.001"/>
    <n v="142.911"/>
    <n v="0.99999999999969769"/>
    <x v="2"/>
    <n v="0"/>
    <n v="6.69"/>
    <n v="11.95"/>
    <n v="-5.2599999999999989"/>
    <n v="-5.2599999999999991E-5"/>
    <n v="-5.2599999999999991E-5"/>
    <n v="0"/>
    <n v="11.95"/>
    <n v="97437.159999999989"/>
    <s v="01-Jul"/>
    <x v="1"/>
    <n v="-5.2599999999999989"/>
    <n v="0"/>
    <d v="2025-07-26T00:00:00"/>
    <n v="103661.62999999999"/>
    <n v="-3.5066666666666663E-2"/>
    <n v="6.3354666666666706"/>
    <s v="Cambist"/>
  </r>
  <r>
    <n v="13"/>
    <x v="4"/>
    <x v="1"/>
    <d v="2025-07-02T00:00:00"/>
    <x v="7"/>
    <n v="4.2"/>
    <x v="0"/>
    <x v="1"/>
    <n v="6217.43"/>
    <n v="6220.87"/>
    <n v="6213.99"/>
    <n v="6213.99"/>
    <n v="1.0000000000002645"/>
    <x v="1"/>
    <n v="0"/>
    <n v="151.19999999999999"/>
    <n v="8.4"/>
    <n v="142.79999999999998"/>
    <n v="1.4279999999999998E-3"/>
    <n v="1.4279999999999998E-3"/>
    <n v="0"/>
    <n v="8.4"/>
    <n v="97579.959999999992"/>
    <s v="02-Jul"/>
    <x v="1"/>
    <n v="142.79999999999998"/>
    <n v="0"/>
    <d v="2025-07-26T00:00:00"/>
    <n v="103661.62999999999"/>
    <n v="0.95199999999999985"/>
    <n v="6.2874666666666705"/>
    <s v="Cambist"/>
  </r>
  <r>
    <n v="14"/>
    <x v="4"/>
    <x v="1"/>
    <d v="2025-07-02T00:00:00"/>
    <x v="1"/>
    <n v="4.4000000000000004"/>
    <x v="0"/>
    <x v="1"/>
    <n v="44624.2"/>
    <n v="44656.75"/>
    <n v="44589.75"/>
    <n v="44619.4"/>
    <n v="1.0583717357909066"/>
    <x v="2"/>
    <n v="0"/>
    <n v="21.12"/>
    <n v="8.8000000000000007"/>
    <n v="12.32"/>
    <n v="1.2320000000000001E-4"/>
    <n v="1.2320000000000001E-4"/>
    <n v="0"/>
    <n v="8.8000000000000007"/>
    <n v="97592.279999999984"/>
    <s v="02-Jul"/>
    <x v="1"/>
    <n v="12.32"/>
    <n v="0"/>
    <d v="2025-07-26T00:00:00"/>
    <n v="103661.62999999999"/>
    <n v="8.2133333333333336E-2"/>
    <n v="5.3696000000000037"/>
    <m/>
  </r>
  <r>
    <n v="15"/>
    <x v="5"/>
    <x v="1"/>
    <d v="2025-07-03T00:00:00"/>
    <x v="6"/>
    <n v="3.66"/>
    <x v="0"/>
    <x v="1"/>
    <n v="143.875"/>
    <n v="143.93600000000001"/>
    <n v="143.81200000000001"/>
    <n v="143.81200000000001"/>
    <n v="1.0327868852455884"/>
    <x v="1"/>
    <n v="0"/>
    <n v="150.15"/>
    <n v="18.3"/>
    <n v="131.85"/>
    <n v="1.3185E-3"/>
    <n v="1.3185E-3"/>
    <n v="0"/>
    <n v="18.3"/>
    <n v="97724.129999999976"/>
    <s v="03-Jul"/>
    <x v="1"/>
    <n v="131.85"/>
    <n v="0"/>
    <d v="2025-07-26T00:00:00"/>
    <n v="103661.62999999999"/>
    <n v="0.879"/>
    <n v="5.2486000000000033"/>
    <s v="Cambist"/>
  </r>
  <r>
    <n v="16"/>
    <x v="5"/>
    <x v="1"/>
    <d v="2025-07-03T00:00:00"/>
    <x v="2"/>
    <n v="1.38"/>
    <x v="0"/>
    <x v="1"/>
    <n v="3325.73"/>
    <n v="3340.18"/>
    <n v="3311.62"/>
    <n v="3325.72"/>
    <n v="0.97647058823531518"/>
    <x v="2"/>
    <n v="0"/>
    <n v="1.28"/>
    <n v="2.76"/>
    <n v="-1.4799999999999998"/>
    <n v="-1.4799999999999997E-5"/>
    <n v="-1.4799999999999997E-5"/>
    <n v="0"/>
    <n v="2.76"/>
    <n v="97722.64999999998"/>
    <s v="03-Jul"/>
    <x v="1"/>
    <n v="-1.4799999999999998"/>
    <n v="0"/>
    <d v="2025-07-26T00:00:00"/>
    <n v="103661.62999999999"/>
    <n v="-9.8666666666666642E-3"/>
    <n v="4.2387333333333368"/>
    <m/>
  </r>
  <r>
    <n v="17"/>
    <x v="6"/>
    <x v="1"/>
    <d v="2025-07-04T00:00:00"/>
    <x v="7"/>
    <n v="2.6"/>
    <x v="0"/>
    <x v="0"/>
    <n v="142.90700000000001"/>
    <n v="142.81299999999999"/>
    <n v="143.001"/>
    <n v="142.911"/>
    <n v="0.99999999999969769"/>
    <x v="2"/>
    <n v="0"/>
    <n v="6.69"/>
    <n v="11.95"/>
    <n v="-5.2599999999999989"/>
    <n v="-5.2599999999999991E-5"/>
    <n v="-5.2599999999999991E-5"/>
    <n v="0"/>
    <n v="11.95"/>
    <n v="97717.389999999985"/>
    <s v="04-Jul"/>
    <x v="1"/>
    <n v="-5.2599999999999989"/>
    <n v="0"/>
    <d v="2025-07-26T00:00:00"/>
    <n v="103661.62999999999"/>
    <n v="-3.5066666666666663E-2"/>
    <n v="3.2036666666666704"/>
    <s v="Cambist"/>
  </r>
  <r>
    <n v="18"/>
    <x v="6"/>
    <x v="1"/>
    <d v="2025-07-04T00:00:00"/>
    <x v="1"/>
    <n v="2.4"/>
    <x v="0"/>
    <x v="1"/>
    <n v="6217.43"/>
    <n v="6220.87"/>
    <n v="6213.99"/>
    <n v="6213.99"/>
    <n v="1.0000000000002645"/>
    <x v="1"/>
    <n v="0"/>
    <n v="151.19999999999999"/>
    <n v="8.4"/>
    <n v="142.79999999999998"/>
    <n v="1.4279999999999998E-3"/>
    <n v="1.4279999999999998E-3"/>
    <n v="0"/>
    <n v="8.4"/>
    <n v="97860.189999999988"/>
    <s v="04-Jul"/>
    <x v="1"/>
    <n v="142.79999999999998"/>
    <n v="0"/>
    <d v="2025-07-26T00:00:00"/>
    <n v="103661.62999999999"/>
    <n v="0.95199999999999985"/>
    <n v="3.1556666666666704"/>
    <s v="Cambist"/>
  </r>
  <r>
    <n v="19"/>
    <x v="7"/>
    <x v="1"/>
    <d v="2025-07-07T00:00:00"/>
    <x v="6"/>
    <n v="3.02"/>
    <x v="0"/>
    <x v="1"/>
    <n v="44624.2"/>
    <n v="44656.75"/>
    <n v="44589.75"/>
    <n v="44619.4"/>
    <n v="1.0583717357909066"/>
    <x v="2"/>
    <n v="0"/>
    <n v="21.12"/>
    <n v="8.8000000000000007"/>
    <n v="12.32"/>
    <n v="1.2320000000000001E-4"/>
    <n v="1.2320000000000001E-4"/>
    <n v="0"/>
    <n v="8.8000000000000007"/>
    <n v="97872.50999999998"/>
    <s v="07-Jul"/>
    <x v="1"/>
    <n v="12.32"/>
    <n v="0"/>
    <d v="2025-07-26T00:00:00"/>
    <n v="103661.62999999999"/>
    <n v="8.2133333333333336E-2"/>
    <n v="2.2378000000000036"/>
    <m/>
  </r>
  <r>
    <n v="20"/>
    <x v="7"/>
    <x v="1"/>
    <d v="2025-07-07T00:00:00"/>
    <x v="5"/>
    <n v="1.75"/>
    <x v="0"/>
    <x v="1"/>
    <n v="143.875"/>
    <n v="143.93600000000001"/>
    <n v="143.81200000000001"/>
    <n v="143.81200000000001"/>
    <n v="1.0327868852455884"/>
    <x v="1"/>
    <n v="0"/>
    <n v="150.15"/>
    <n v="18.3"/>
    <n v="131.85"/>
    <n v="1.3185E-3"/>
    <n v="1.3185E-3"/>
    <n v="0"/>
    <n v="18.3"/>
    <n v="98004.359999999971"/>
    <s v="07-Jul"/>
    <x v="1"/>
    <n v="131.85"/>
    <n v="0"/>
    <d v="2025-07-26T00:00:00"/>
    <n v="103661.62999999999"/>
    <n v="0.879"/>
    <n v="2.1168000000000036"/>
    <s v="Cambist"/>
  </r>
  <r>
    <n v="21"/>
    <x v="7"/>
    <x v="1"/>
    <d v="2025-07-07T00:00:00"/>
    <x v="2"/>
    <n v="0.4"/>
    <x v="1"/>
    <x v="1"/>
    <n v="3325.73"/>
    <n v="3340.18"/>
    <n v="3311.62"/>
    <n v="3325.72"/>
    <n v="0.97647058823531518"/>
    <x v="2"/>
    <n v="0"/>
    <n v="1.28"/>
    <n v="2.76"/>
    <n v="-1.4799999999999998"/>
    <n v="-1.4799999999999997E-5"/>
    <n v="-1.4799999999999997E-5"/>
    <n v="0"/>
    <n v="2.76"/>
    <n v="98002.879999999976"/>
    <s v="07-Jul"/>
    <x v="1"/>
    <n v="-1.4799999999999998"/>
    <n v="0"/>
    <d v="2025-07-26T00:00:00"/>
    <n v="103661.62999999999"/>
    <n v="-9.8666666666666642E-3"/>
    <n v="1.1069333333333369"/>
    <m/>
  </r>
  <r>
    <n v="22"/>
    <x v="8"/>
    <x v="1"/>
    <d v="2025-07-08T00:00:00"/>
    <x v="0"/>
    <n v="3"/>
    <x v="1"/>
    <x v="0"/>
    <n v="1.3650500000000001"/>
    <n v="1.3643400000000001"/>
    <n v="1.3795599999999999"/>
    <n v="1.3675999999999999"/>
    <n v="20.436619718309913"/>
    <x v="2"/>
    <n v="0"/>
    <n v="559.37"/>
    <n v="15"/>
    <n v="544.37"/>
    <n v="5.4437000000000001E-3"/>
    <n v="5.4437000000000001E-3"/>
    <n v="0"/>
    <n v="15"/>
    <n v="98547.249999999971"/>
    <s v="08-Jul"/>
    <x v="1"/>
    <n v="544.37"/>
    <n v="0"/>
    <d v="2025-07-26T00:00:00"/>
    <n v="103661.62999999999"/>
    <n v="3.6291333333333333"/>
    <n v="3.7360666666666704"/>
    <s v="Supoort Rasistence"/>
  </r>
  <r>
    <n v="23"/>
    <x v="9"/>
    <x v="1"/>
    <d v="2025-07-10T00:00:00"/>
    <x v="2"/>
    <n v="0.2"/>
    <x v="0"/>
    <x v="0"/>
    <n v="3319.3"/>
    <n v="3311.71"/>
    <n v="3344.6"/>
    <n v="3327.35"/>
    <n v="3.3333333333332336"/>
    <x v="2"/>
    <n v="0"/>
    <n v="161"/>
    <n v="0.4"/>
    <n v="160.6"/>
    <n v="1.606E-3"/>
    <n v="1.606E-3"/>
    <n v="0"/>
    <n v="0.4"/>
    <n v="98707.849999999977"/>
    <s v="10-Jul"/>
    <x v="1"/>
    <n v="160.6"/>
    <n v="0"/>
    <d v="2025-07-26T00:00:00"/>
    <n v="103661.62999999999"/>
    <n v="1.0706666666666667"/>
    <n v="3.8067333333333373"/>
    <s v="Price Action "/>
  </r>
  <r>
    <n v="24"/>
    <x v="10"/>
    <x v="1"/>
    <d v="2025-07-11T00:00:00"/>
    <x v="2"/>
    <n v="1.2"/>
    <x v="1"/>
    <x v="0"/>
    <n v="3347.18"/>
    <n v="3344.83"/>
    <n v="33400"/>
    <n v="3351.21"/>
    <n v="12788.434042553687"/>
    <x v="2"/>
    <n v="0"/>
    <n v="435.4"/>
    <n v="2.4"/>
    <n v="433"/>
    <n v="4.3299999999999996E-3"/>
    <n v="4.3299999999999996E-3"/>
    <n v="0"/>
    <n v="2.4"/>
    <n v="99140.849999999977"/>
    <s v="11-Jul"/>
    <x v="1"/>
    <n v="433"/>
    <n v="0"/>
    <d v="2025-07-26T00:00:00"/>
    <n v="103661.62999999999"/>
    <n v="2.8866666666666663"/>
    <n v="5.693400000000004"/>
    <s v="Price Action "/>
  </r>
  <r>
    <n v="25"/>
    <x v="11"/>
    <x v="1"/>
    <d v="2025-07-14T00:00:00"/>
    <x v="2"/>
    <n v="0.31"/>
    <x v="0"/>
    <x v="0"/>
    <n v="3360.93"/>
    <n v="3355.69"/>
    <n v="3371.39"/>
    <n v="3371.39"/>
    <n v="1.9961832061069604"/>
    <x v="1"/>
    <n v="0"/>
    <n v="305.35000000000002"/>
    <n v="0.62"/>
    <n v="304.73"/>
    <n v="3.0473000000000002E-3"/>
    <n v="3.0473000000000002E-3"/>
    <n v="0"/>
    <n v="0.62"/>
    <n v="99445.579999999987"/>
    <s v="14-Jul"/>
    <x v="1"/>
    <n v="304.73"/>
    <n v="0"/>
    <d v="2025-07-26T00:00:00"/>
    <n v="103661.62999999999"/>
    <n v="2.0315333333333334"/>
    <n v="6.7249333333333379"/>
    <s v="Price Action "/>
  </r>
  <r>
    <n v="26"/>
    <x v="11"/>
    <x v="1"/>
    <d v="2025-07-14T00:00:00"/>
    <x v="0"/>
    <n v="6.42"/>
    <x v="0"/>
    <x v="0"/>
    <n v="1.3676200000000001"/>
    <n v="1.3672500000000001"/>
    <n v="1.3680099999999999"/>
    <n v="1.3672500000000001"/>
    <n v="1.0540540540538108"/>
    <x v="0"/>
    <n v="173.74"/>
    <n v="0"/>
    <n v="32.1"/>
    <n v="-141.64000000000001"/>
    <n v="-1.4164000000000002E-3"/>
    <n v="0"/>
    <n v="1.7374000000000001E-3"/>
    <n v="32.1"/>
    <n v="99239.739999999976"/>
    <s v="14-Jul"/>
    <x v="1"/>
    <s v="$0.00"/>
    <n v="141.64000000000001"/>
    <d v="2025-07-26T00:00:00"/>
    <n v="103661.62999999999"/>
    <n v="-0.94426666666666681"/>
    <n v="4.7806666666666713"/>
    <s v="Price Action "/>
  </r>
  <r>
    <n v="27"/>
    <x v="11"/>
    <x v="1"/>
    <d v="2025-07-14T00:00:00"/>
    <x v="2"/>
    <n v="0.2"/>
    <x v="0"/>
    <x v="0"/>
    <n v="3354.86"/>
    <n v="3344.72"/>
    <n v="3374.67"/>
    <n v="3344.72"/>
    <n v="1.9536489151873082"/>
    <x v="0"/>
    <n v="211.2"/>
    <n v="0"/>
    <n v="0.4"/>
    <n v="-210.79999999999998"/>
    <n v="-2.1079999999999996E-3"/>
    <n v="0"/>
    <n v="2.1119999999999997E-3"/>
    <n v="0.4"/>
    <n v="99028.139999999985"/>
    <s v="14-Jul"/>
    <x v="1"/>
    <s v="$0.00"/>
    <n v="210.79999999999998"/>
    <d v="2025-07-26T00:00:00"/>
    <n v="103661.62999999999"/>
    <n v="-1.4053333333333331"/>
    <n v="2.3753333333333382"/>
    <s v="Price Action "/>
  </r>
  <r>
    <n v="28"/>
    <x v="11"/>
    <x v="1"/>
    <d v="2025-07-14T00:00:00"/>
    <x v="8"/>
    <n v="1.29"/>
    <x v="0"/>
    <x v="0"/>
    <n v="1.34385"/>
    <n v="1.3426199999999999"/>
    <n v="1.3450800000000001"/>
    <n v="1.3426199999999999"/>
    <n v="1"/>
    <x v="0"/>
    <n v="162.54"/>
    <n v="0"/>
    <n v="6.45"/>
    <n v="-156.09"/>
    <n v="-1.5609E-3"/>
    <n v="0"/>
    <n v="1.6253999999999999E-3"/>
    <n v="6.45"/>
    <n v="98859.15"/>
    <s v="14-Jul"/>
    <x v="1"/>
    <s v="$0.00"/>
    <n v="156.09"/>
    <d v="2025-07-26T00:00:00"/>
    <n v="103661.62999999999"/>
    <n v="-1.0406"/>
    <n v="0.33473333333333821"/>
    <s v="Cambist"/>
  </r>
  <r>
    <n v="29"/>
    <x v="12"/>
    <x v="1"/>
    <d v="2025-07-15T00:00:00"/>
    <x v="2"/>
    <n v="0.3"/>
    <x v="1"/>
    <x v="0"/>
    <n v="3352.45"/>
    <n v="3339.68"/>
    <n v="3378.18"/>
    <n v="3378.18"/>
    <n v="2.0148786217697774"/>
    <x v="1"/>
    <n v="0"/>
    <n v="306.89999999999998"/>
    <n v="0.6"/>
    <n v="306.29999999999995"/>
    <n v="3.0629999999999998E-3"/>
    <n v="3.0629999999999998E-3"/>
    <n v="0"/>
    <n v="0.6"/>
    <n v="99165.449999999983"/>
    <s v="15-Jul"/>
    <x v="1"/>
    <n v="306.29999999999995"/>
    <n v="0"/>
    <d v="2025-07-26T00:00:00"/>
    <n v="103661.62999999999"/>
    <n v="2.0419999999999998"/>
    <n v="1.376733333333338"/>
    <s v="Price Action "/>
  </r>
  <r>
    <n v="30"/>
    <x v="12"/>
    <x v="1"/>
    <d v="2025-07-15T00:00:00"/>
    <x v="2"/>
    <n v="0.28999999999999998"/>
    <x v="1"/>
    <x v="0"/>
    <n v="3343.21"/>
    <n v="3309.43"/>
    <n v="3378.03"/>
    <n v="3361.86"/>
    <n v="1.0307874481941965"/>
    <x v="2"/>
    <n v="0"/>
    <n v="540.85"/>
    <n v="15.32"/>
    <n v="525.53"/>
    <n v="5.2553000000000001E-3"/>
    <n v="5.2553000000000001E-3"/>
    <n v="0"/>
    <n v="15.32"/>
    <n v="99690.979999999981"/>
    <s v="15-Jul"/>
    <x v="1"/>
    <n v="525.53"/>
    <n v="0"/>
    <d v="2025-07-26T00:00:00"/>
    <n v="103661.62999999999"/>
    <n v="3.5035333333333334"/>
    <n v="3.8802666666666714"/>
    <s v="Price Action "/>
  </r>
  <r>
    <n v="31"/>
    <x v="12"/>
    <x v="1"/>
    <d v="2025-07-15T00:00:00"/>
    <x v="2"/>
    <n v="0.1"/>
    <x v="1"/>
    <x v="0"/>
    <n v="3341.3"/>
    <n v="3316.12"/>
    <n v="3376.46"/>
    <n v="3367.34"/>
    <n v="1.3963463065925119"/>
    <x v="2"/>
    <n v="0"/>
    <n v="260.39999999999998"/>
    <n v="5.28"/>
    <n v="255.11999999999998"/>
    <n v="2.5511999999999996E-3"/>
    <n v="2.5511999999999996E-3"/>
    <n v="0"/>
    <n v="5.28"/>
    <n v="99946.099999999977"/>
    <s v="15-Jul"/>
    <x v="1"/>
    <n v="255.11999999999998"/>
    <n v="0"/>
    <d v="2025-07-26T00:00:00"/>
    <n v="103661.62999999999"/>
    <n v="1.7007999999999996"/>
    <n v="4.5810666666666711"/>
    <s v="Price Action "/>
  </r>
  <r>
    <n v="32"/>
    <x v="12"/>
    <x v="1"/>
    <d v="2025-07-15T00:00:00"/>
    <x v="2"/>
    <n v="0.21"/>
    <x v="1"/>
    <x v="0"/>
    <n v="3329.24"/>
    <n v="3316.03"/>
    <n v="3376.61"/>
    <n v="3376.34"/>
    <n v="3.5859197577594131"/>
    <x v="2"/>
    <n v="0"/>
    <n v="800.1"/>
    <n v="11.1"/>
    <n v="789"/>
    <n v="7.8899999999999994E-3"/>
    <n v="7.8899999999999994E-3"/>
    <n v="0"/>
    <n v="11.1"/>
    <n v="100735.09999999998"/>
    <s v="15-Jul"/>
    <x v="1"/>
    <n v="789"/>
    <n v="0"/>
    <d v="2025-07-26T00:00:00"/>
    <n v="103661.62999999999"/>
    <n v="5.26"/>
    <n v="8.84106666666667"/>
    <s v="Price Action "/>
  </r>
  <r>
    <n v="33"/>
    <x v="13"/>
    <x v="1"/>
    <d v="2025-07-18T00:00:00"/>
    <x v="2"/>
    <n v="0.15"/>
    <x v="1"/>
    <x v="0"/>
    <n v="3331.06"/>
    <n v="3315.32"/>
    <n v="3379.64"/>
    <n v="3349.54"/>
    <n v="3.0864040660737357"/>
    <x v="2"/>
    <n v="0"/>
    <n v="277.2"/>
    <n v="7.93"/>
    <n v="269.27"/>
    <n v="2.6926999999999997E-3"/>
    <n v="2.6926999999999997E-3"/>
    <n v="0"/>
    <n v="7.93"/>
    <n v="101004.36999999998"/>
    <s v="17-Jul"/>
    <x v="1"/>
    <n v="269.27"/>
    <n v="0"/>
    <d v="2025-07-26T00:00:00"/>
    <n v="103661.62999999999"/>
    <n v="1.795133333333333"/>
    <n v="9.6362000000000023"/>
    <s v="Price Action "/>
  </r>
  <r>
    <n v="34"/>
    <x v="13"/>
    <x v="1"/>
    <d v="2025-07-18T00:00:00"/>
    <x v="9"/>
    <n v="1.27"/>
    <x v="1"/>
    <x v="0"/>
    <n v="96.194000000000003"/>
    <n v="96.19"/>
    <n v="97.385999999999996"/>
    <n v="97.385999999999996"/>
    <n v="297.9999999996341"/>
    <x v="1"/>
    <n v="0"/>
    <n v="610.20000000000005"/>
    <n v="6.35"/>
    <n v="603.85"/>
    <n v="6.0385000000000005E-3"/>
    <n v="6.0385000000000005E-3"/>
    <n v="0"/>
    <n v="6.35"/>
    <n v="101608.21999999997"/>
    <s v="17-Jul"/>
    <x v="1"/>
    <n v="603.85"/>
    <n v="0"/>
    <d v="2025-07-26T00:00:00"/>
    <n v="103661.62999999999"/>
    <n v="4.0256666666666669"/>
    <n v="12.661866666666668"/>
    <s v="Price Action "/>
  </r>
  <r>
    <n v="35"/>
    <x v="13"/>
    <x v="1"/>
    <d v="2025-07-18T00:00:00"/>
    <x v="2"/>
    <n v="0.15"/>
    <x v="1"/>
    <x v="0"/>
    <n v="3315.44"/>
    <n v="3315.83"/>
    <n v="3379.5"/>
    <n v="3349.43"/>
    <n v="164.25641025646374"/>
    <x v="2"/>
    <n v="0"/>
    <n v="509.85"/>
    <n v="7.93"/>
    <n v="501.92"/>
    <n v="5.0192000000000006E-3"/>
    <n v="5.0192000000000006E-3"/>
    <n v="0"/>
    <n v="7.93"/>
    <n v="102110.13999999998"/>
    <s v="17-Jul"/>
    <x v="1"/>
    <n v="501.92"/>
    <n v="0"/>
    <d v="2025-07-26T00:00:00"/>
    <n v="103661.62999999999"/>
    <n v="3.3461333333333338"/>
    <n v="15.008000000000003"/>
    <s v="Price Action "/>
  </r>
  <r>
    <n v="36"/>
    <x v="14"/>
    <x v="1"/>
    <d v="2025-07-21T00:00:00"/>
    <x v="2"/>
    <n v="0.3"/>
    <x v="1"/>
    <x v="0"/>
    <n v="3345.55"/>
    <n v="3339.27"/>
    <n v="3381.65"/>
    <n v="3381.65"/>
    <n v="5.7484076433119045"/>
    <x v="1"/>
    <n v="0"/>
    <n v="1083"/>
    <n v="0.6"/>
    <n v="1082.4000000000001"/>
    <n v="1.0824E-2"/>
    <n v="1.0824E-2"/>
    <n v="0"/>
    <n v="0.6"/>
    <n v="103192.53999999998"/>
    <s v="21-Jul"/>
    <x v="1"/>
    <n v="1082.4000000000001"/>
    <n v="0"/>
    <d v="2025-07-26T00:00:00"/>
    <n v="103661.62999999999"/>
    <n v="7.2160000000000002"/>
    <n v="21.224000000000004"/>
    <s v="Price Action "/>
  </r>
  <r>
    <n v="37"/>
    <x v="15"/>
    <x v="1"/>
    <d v="2025-07-22T00:00:00"/>
    <x v="0"/>
    <n v="4"/>
    <x v="1"/>
    <x v="0"/>
    <n v="1.36879"/>
    <n v="1.36859"/>
    <n v="1.36232"/>
    <n v="1.3673599999999999"/>
    <n v="32.35000000000344"/>
    <x v="1"/>
    <n v="81.84"/>
    <n v="0"/>
    <n v="20"/>
    <n v="-61.84"/>
    <n v="-6.1840000000000007E-4"/>
    <n v="0"/>
    <n v="8.1840000000000005E-4"/>
    <n v="20"/>
    <n v="103090.69999999998"/>
    <s v="22-Jul"/>
    <x v="1"/>
    <s v="$0.00"/>
    <n v="61.84"/>
    <d v="2025-07-26T00:00:00"/>
    <n v="103661.62999999999"/>
    <n v="-0.41226666666666673"/>
    <n v="19.811733333333336"/>
    <m/>
  </r>
  <r>
    <n v="38"/>
    <x v="15"/>
    <x v="1"/>
    <d v="2025-07-22T00:00:00"/>
    <x v="0"/>
    <n v="4.96"/>
    <x v="1"/>
    <x v="1"/>
    <n v="1.36829"/>
    <n v="1.36921"/>
    <n v="1.3673599999999999"/>
    <n v="1.3673599999999999"/>
    <n v="1.0108695652174622"/>
    <x v="1"/>
    <n v="0"/>
    <n v="326.45999999999998"/>
    <n v="24.8"/>
    <n v="301.65999999999997"/>
    <n v="3.0165999999999995E-3"/>
    <n v="3.0165999999999995E-3"/>
    <n v="0"/>
    <n v="24.8"/>
    <n v="103392.35999999999"/>
    <s v="22-Jul"/>
    <x v="1"/>
    <n v="301.65999999999997"/>
    <n v="0"/>
    <d v="2025-07-26T00:00:00"/>
    <n v="103661.62999999999"/>
    <n v="2.0110666666666663"/>
    <n v="20.822800000000001"/>
    <m/>
  </r>
  <r>
    <n v="39"/>
    <x v="16"/>
    <x v="1"/>
    <d v="2025-07-14T00:00:00"/>
    <x v="2"/>
    <n v="0.15"/>
    <x v="1"/>
    <x v="0"/>
    <n v="3331.06"/>
    <n v="3315.32"/>
    <n v="3379.64"/>
    <n v="3349.54"/>
    <n v="3.0864040660737357"/>
    <x v="2"/>
    <n v="0"/>
    <n v="277.2"/>
    <n v="7.93"/>
    <n v="269.27"/>
    <n v="2.6926999999999997E-3"/>
    <n v="2.6926999999999997E-3"/>
    <n v="0"/>
    <n v="7.93"/>
    <n v="103661.62999999999"/>
    <s v="26-Jul"/>
    <x v="1"/>
    <n v="269.27"/>
    <n v="0"/>
    <d v="2025-07-26T00:00:00"/>
    <n v="103661.62999999999"/>
    <n v="1.795133333333333"/>
    <n v="21.617933333333333"/>
    <s v="Price Action "/>
  </r>
  <r>
    <n v="40"/>
    <x v="17"/>
    <x v="2"/>
    <d v="2025-07-14T00:00:00"/>
    <x v="9"/>
    <n v="1.27"/>
    <x v="1"/>
    <x v="0"/>
    <n v="96.194000000000003"/>
    <n v="96.19"/>
    <n v="97.385999999999996"/>
    <n v="97.385999999999996"/>
    <n v="297.9999999996341"/>
    <x v="1"/>
    <n v="0"/>
    <n v="610.20000000000005"/>
    <n v="6.35"/>
    <n v="603.85"/>
    <n v="6.0385000000000005E-3"/>
    <n v="6.0385000000000005E-3"/>
    <n v="0"/>
    <n v="6.35"/>
    <n v="104265.47999999998"/>
    <s v="01-Aug"/>
    <x v="2"/>
    <n v="603.85"/>
    <n v="0"/>
    <d v="2025-08-06T00:00:00"/>
    <n v="106351.28"/>
    <n v="4.0256666666666669"/>
    <n v="24.643599999999999"/>
    <s v="Price Action "/>
  </r>
  <r>
    <n v="41"/>
    <x v="18"/>
    <x v="2"/>
    <d v="2025-07-14T00:00:00"/>
    <x v="2"/>
    <n v="0.15"/>
    <x v="1"/>
    <x v="0"/>
    <n v="3315.44"/>
    <n v="3315.83"/>
    <n v="3379.5"/>
    <n v="3349.43"/>
    <n v="164.25641025646374"/>
    <x v="2"/>
    <n v="0"/>
    <n v="509.85"/>
    <n v="7.93"/>
    <n v="501.92"/>
    <n v="5.0192000000000006E-3"/>
    <n v="5.0192000000000006E-3"/>
    <n v="0"/>
    <n v="7.93"/>
    <n v="104767.4"/>
    <s v="02-Aug"/>
    <x v="2"/>
    <n v="501.92"/>
    <n v="0"/>
    <d v="2025-08-06T00:00:00"/>
    <n v="106351.28"/>
    <n v="3.3461333333333338"/>
    <n v="26.989733333333334"/>
    <s v="Price Action "/>
  </r>
  <r>
    <n v="42"/>
    <x v="19"/>
    <x v="2"/>
    <d v="2025-07-15T00:00:00"/>
    <x v="2"/>
    <n v="0.3"/>
    <x v="1"/>
    <x v="0"/>
    <n v="3345.55"/>
    <n v="3339.27"/>
    <n v="3381.65"/>
    <n v="3381.65"/>
    <n v="5.7484076433119045"/>
    <x v="1"/>
    <n v="0"/>
    <n v="1083"/>
    <n v="0.6"/>
    <n v="1082.4000000000001"/>
    <n v="1.0824E-2"/>
    <n v="1.0824E-2"/>
    <n v="0"/>
    <n v="0.6"/>
    <n v="105849.79999999999"/>
    <s v="03-Aug"/>
    <x v="2"/>
    <n v="1082.4000000000001"/>
    <n v="0"/>
    <d v="2025-08-06T00:00:00"/>
    <n v="106351.28"/>
    <n v="7.2160000000000002"/>
    <n v="33.205733333333335"/>
    <s v="Price Action "/>
  </r>
  <r>
    <n v="43"/>
    <x v="20"/>
    <x v="2"/>
    <d v="2025-07-15T00:00:00"/>
    <x v="0"/>
    <n v="4"/>
    <x v="1"/>
    <x v="0"/>
    <n v="1.36879"/>
    <n v="1.36859"/>
    <n v="1.36232"/>
    <n v="1.3673599999999999"/>
    <n v="32.35000000000344"/>
    <x v="1"/>
    <n v="81.84"/>
    <n v="0"/>
    <n v="20"/>
    <n v="-61.84"/>
    <n v="-6.1840000000000007E-4"/>
    <n v="0"/>
    <n v="8.1840000000000005E-4"/>
    <n v="20"/>
    <n v="105747.95999999999"/>
    <s v="04-Aug"/>
    <x v="2"/>
    <s v="$0.00"/>
    <n v="61.84"/>
    <d v="2025-08-06T00:00:00"/>
    <n v="106351.28"/>
    <n v="-0.41226666666666673"/>
    <n v="31.793466666666667"/>
    <m/>
  </r>
  <r>
    <n v="44"/>
    <x v="21"/>
    <x v="2"/>
    <d v="2025-07-15T00:00:00"/>
    <x v="0"/>
    <n v="4.96"/>
    <x v="1"/>
    <x v="1"/>
    <n v="1.36829"/>
    <n v="1.36921"/>
    <n v="1.3673599999999999"/>
    <n v="1.3673599999999999"/>
    <n v="1.0108695652174622"/>
    <x v="1"/>
    <n v="0"/>
    <n v="326.45999999999998"/>
    <n v="24.8"/>
    <n v="301.65999999999997"/>
    <n v="3.0165999999999995E-3"/>
    <n v="3.0165999999999995E-3"/>
    <n v="0"/>
    <n v="24.8"/>
    <n v="106049.62"/>
    <s v="05-Aug"/>
    <x v="2"/>
    <n v="301.65999999999997"/>
    <n v="0"/>
    <d v="2025-08-06T00:00:00"/>
    <n v="106351.28"/>
    <n v="2.0110666666666663"/>
    <n v="32.804533333333332"/>
    <m/>
  </r>
  <r>
    <n v="45"/>
    <x v="22"/>
    <x v="2"/>
    <d v="2025-07-15T00:00:00"/>
    <x v="0"/>
    <n v="4.96"/>
    <x v="1"/>
    <x v="1"/>
    <n v="1.36829"/>
    <n v="1.36921"/>
    <n v="1.3673599999999999"/>
    <n v="1.3673599999999999"/>
    <n v="1.0108695652174622"/>
    <x v="1"/>
    <n v="0"/>
    <n v="326.45999999999998"/>
    <n v="24.8"/>
    <n v="301.65999999999997"/>
    <n v="3.0165999999999995E-3"/>
    <n v="3.0165999999999995E-3"/>
    <n v="0"/>
    <n v="24.8"/>
    <n v="106351.28"/>
    <s v="06-Aug"/>
    <x v="2"/>
    <n v="301.65999999999997"/>
    <n v="0"/>
    <d v="2025-08-06T00:00:00"/>
    <n v="106351.28"/>
    <n v="2.0110666666666663"/>
    <n v="33.815599999999996"/>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7.8899999999999994E-3"/>
    <n v="7.8899999999999994E-3"/>
    <n v="0"/>
    <e v="#N/A"/>
    <n v="7.8899999999999994E-3"/>
    <n v="100000"/>
  </r>
  <r>
    <x v="1"/>
    <x v="1"/>
    <n v="2.6926999999999997E-3"/>
    <n v="2.6926999999999997E-3"/>
    <n v="0"/>
    <e v="#N/A"/>
    <n v="2.6926999999999997E-3"/>
    <n v="100000"/>
  </r>
  <r>
    <x v="1"/>
    <x v="2"/>
    <n v="6.0385000000000005E-3"/>
    <n v="6.0385000000000005E-3"/>
    <n v="0"/>
    <e v="#N/A"/>
    <n v="6.0385000000000005E-3"/>
    <n v="100000"/>
  </r>
  <r>
    <x v="1"/>
    <x v="3"/>
    <n v="5.0192000000000006E-3"/>
    <n v="5.0192000000000006E-3"/>
    <n v="0"/>
    <e v="#N/A"/>
    <n v="5.0192000000000006E-3"/>
    <n v="100000"/>
  </r>
  <r>
    <x v="2"/>
    <x v="4"/>
    <n v="1.0824E-2"/>
    <n v="1.0824E-2"/>
    <n v="0"/>
    <e v="#N/A"/>
    <n v="1.0824E-2"/>
    <n v="100000"/>
  </r>
  <r>
    <x v="3"/>
    <x v="5"/>
    <n v="0"/>
    <e v="#N/A"/>
    <n v="8.1840000000000005E-4"/>
    <n v="8.1840000000000005E-4"/>
    <n v="0"/>
    <n v="100000"/>
  </r>
  <r>
    <x v="3"/>
    <x v="6"/>
    <n v="3.0165999999999995E-3"/>
    <n v="3.0165999999999995E-3"/>
    <n v="0"/>
    <e v="#N/A"/>
    <n v="3.0165999999999995E-3"/>
    <n v="100000"/>
  </r>
  <r>
    <x v="4"/>
    <x v="7"/>
    <n v="2.6926999999999997E-3"/>
    <n v="2.6926999999999997E-3"/>
    <n v="0"/>
    <e v="#N/A"/>
    <n v="2.6926999999999997E-3"/>
    <n v="100000"/>
  </r>
  <r>
    <x v="5"/>
    <x v="8"/>
    <n v="6.0385000000000005E-3"/>
    <n v="6.0385000000000005E-3"/>
    <n v="0"/>
    <e v="#N/A"/>
    <n v="6.0385000000000005E-3"/>
    <n v="100000"/>
  </r>
  <r>
    <x v="6"/>
    <x v="9"/>
    <n v="5.0192000000000006E-3"/>
    <n v="5.0192000000000006E-3"/>
    <n v="0"/>
    <e v="#N/A"/>
    <n v="5.0192000000000006E-3"/>
    <n v="100000"/>
  </r>
  <r>
    <x v="7"/>
    <x v="10"/>
    <n v="1.0824E-2"/>
    <n v="1.0824E-2"/>
    <n v="0"/>
    <e v="#N/A"/>
    <n v="1.0824E-2"/>
    <n v="100000"/>
  </r>
  <r>
    <x v="8"/>
    <x v="11"/>
    <n v="0"/>
    <e v="#N/A"/>
    <n v="8.1840000000000005E-4"/>
    <n v="8.1840000000000005E-4"/>
    <n v="0"/>
    <n v="100000"/>
  </r>
  <r>
    <x v="9"/>
    <x v="12"/>
    <n v="3.0165999999999995E-3"/>
    <n v="3.0165999999999995E-3"/>
    <n v="0"/>
    <e v="#N/A"/>
    <n v="3.0165999999999995E-3"/>
    <n v="100000"/>
  </r>
  <r>
    <x v="10"/>
    <x v="13"/>
    <n v="3.0165999999999995E-3"/>
    <n v="3.0165999999999995E-3"/>
    <n v="0"/>
    <e v="#N/A"/>
    <n v="3.0165999999999995E-3"/>
    <n v="1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527AD5-5195-445A-B8DA-AC6C5059845E}" name="PivotTable1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4:G30" firstHeaderRow="0" firstDataRow="1" firstDataCol="1"/>
  <pivotFields count="8">
    <pivotField axis="axisRow" numFmtId="14" showAll="0">
      <items count="43">
        <item m="1" x="24"/>
        <item m="1" x="33"/>
        <item m="1" x="34"/>
        <item m="1" x="35"/>
        <item m="1" x="36"/>
        <item m="1" x="37"/>
        <item m="1" x="38"/>
        <item m="1" x="39"/>
        <item m="1" x="40"/>
        <item m="1" x="41"/>
        <item m="1" x="22"/>
        <item m="1" x="25"/>
        <item m="1" x="26"/>
        <item m="1" x="27"/>
        <item m="1" x="28"/>
        <item m="1" x="29"/>
        <item m="1" x="30"/>
        <item m="1" x="31"/>
        <item m="1" x="32"/>
        <item m="1" x="21"/>
        <item m="1" x="23"/>
        <item m="1" x="20"/>
        <item m="1" x="19"/>
        <item m="1" x="18"/>
        <item m="1" x="17"/>
        <item m="1" x="16"/>
        <item m="1" x="15"/>
        <item m="1" x="14"/>
        <item m="1" x="12"/>
        <item m="1" x="13"/>
        <item m="1" x="11"/>
        <item x="0"/>
        <item x="1"/>
        <item x="2"/>
        <item x="3"/>
        <item x="4"/>
        <item x="5"/>
        <item x="6"/>
        <item x="7"/>
        <item x="8"/>
        <item x="9"/>
        <item x="10"/>
        <item t="default"/>
      </items>
    </pivotField>
    <pivotField axis="axisRow" numFmtId="1" showAll="0">
      <items count="47">
        <item m="1" x="45"/>
        <item m="1" x="44"/>
        <item m="1" x="43"/>
        <item m="1" x="42"/>
        <item m="1" x="41"/>
        <item m="1" x="39"/>
        <item m="1" x="40"/>
        <item m="1" x="38"/>
        <item m="1" x="37"/>
        <item m="1" x="36"/>
        <item m="1" x="35"/>
        <item m="1" x="34"/>
        <item m="1" x="33"/>
        <item m="1" x="32"/>
        <item m="1" x="30"/>
        <item m="1" x="31"/>
        <item m="1" x="29"/>
        <item m="1" x="27"/>
        <item m="1" x="28"/>
        <item m="1" x="25"/>
        <item m="1" x="26"/>
        <item m="1" x="24"/>
        <item m="1" x="23"/>
        <item m="1" x="21"/>
        <item m="1" x="22"/>
        <item m="1" x="14"/>
        <item m="1" x="15"/>
        <item m="1" x="16"/>
        <item m="1" x="17"/>
        <item m="1" x="18"/>
        <item m="1" x="19"/>
        <item m="1" x="20"/>
        <item x="0"/>
        <item x="1"/>
        <item x="2"/>
        <item x="3"/>
        <item x="4"/>
        <item x="5"/>
        <item x="6"/>
        <item x="7"/>
        <item x="8"/>
        <item x="9"/>
        <item x="10"/>
        <item x="11"/>
        <item x="12"/>
        <item x="13"/>
        <item t="default"/>
      </items>
    </pivotField>
    <pivotField numFmtId="10" showAll="0"/>
    <pivotField dataField="1" showAll="0"/>
    <pivotField numFmtId="10" showAll="0"/>
    <pivotField dataField="1" showAll="0"/>
    <pivotField numFmtId="164" showAll="0"/>
    <pivotField numFmtId="164" showAll="0"/>
  </pivotFields>
  <rowFields count="2">
    <field x="0"/>
    <field x="1"/>
  </rowFields>
  <rowItems count="26">
    <i>
      <x v="31"/>
    </i>
    <i r="1">
      <x v="32"/>
    </i>
    <i>
      <x v="32"/>
    </i>
    <i r="1">
      <x v="33"/>
    </i>
    <i r="1">
      <x v="34"/>
    </i>
    <i r="1">
      <x v="35"/>
    </i>
    <i>
      <x v="33"/>
    </i>
    <i r="1">
      <x v="36"/>
    </i>
    <i>
      <x v="34"/>
    </i>
    <i r="1">
      <x v="37"/>
    </i>
    <i r="1">
      <x v="38"/>
    </i>
    <i>
      <x v="35"/>
    </i>
    <i r="1">
      <x v="39"/>
    </i>
    <i>
      <x v="36"/>
    </i>
    <i r="1">
      <x v="40"/>
    </i>
    <i>
      <x v="37"/>
    </i>
    <i r="1">
      <x v="41"/>
    </i>
    <i>
      <x v="38"/>
    </i>
    <i r="1">
      <x v="42"/>
    </i>
    <i>
      <x v="39"/>
    </i>
    <i r="1">
      <x v="43"/>
    </i>
    <i>
      <x v="40"/>
    </i>
    <i r="1">
      <x v="44"/>
    </i>
    <i>
      <x v="41"/>
    </i>
    <i r="1">
      <x v="45"/>
    </i>
    <i t="grand">
      <x/>
    </i>
  </rowItems>
  <colFields count="1">
    <field x="-2"/>
  </colFields>
  <colItems count="2">
    <i>
      <x/>
    </i>
    <i i="1">
      <x v="1"/>
    </i>
  </colItems>
  <dataFields count="2">
    <dataField name="Sum of New Net_Profit" fld="3" baseField="1" baseItem="0"/>
    <dataField name="Sum of New_Net_Loss" fld="5" baseField="1" baseItem="0"/>
  </dataFields>
  <formats count="2">
    <format dxfId="19">
      <pivotArea outline="0" collapsedLevelsAreSubtotals="1" fieldPosition="0"/>
    </format>
    <format dxfId="18">
      <pivotArea outline="0" collapsedLevelsAreSubtotals="1" fieldPosition="0"/>
    </format>
  </formats>
  <chartFormats count="2">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414745-ADEE-4C1A-BB0E-5F29297C84A7}" name="PivotTable4" cacheId="1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1">
  <location ref="M4:O7" firstHeaderRow="0" firstDataRow="1" firstDataCol="1"/>
  <pivotFields count="32">
    <pivotField compact="0" outline="0" showAll="0"/>
    <pivotField compact="0" numFmtId="14" outline="0" showAll="0">
      <items count="40">
        <item m="1" x="32"/>
        <item m="1" x="33"/>
        <item m="1" x="34"/>
        <item m="1" x="38"/>
        <item m="1" x="35"/>
        <item m="1" x="36"/>
        <item x="0"/>
        <item m="1" x="23"/>
        <item m="1" x="24"/>
        <item m="1" x="25"/>
        <item m="1" x="26"/>
        <item m="1" x="27"/>
        <item m="1" x="28"/>
        <item m="1" x="29"/>
        <item m="1" x="30"/>
        <item x="1"/>
        <item m="1" x="31"/>
        <item x="2"/>
        <item x="3"/>
        <item x="4"/>
        <item x="5"/>
        <item x="6"/>
        <item x="7"/>
        <item x="8"/>
        <item x="9"/>
        <item x="10"/>
        <item x="11"/>
        <item x="12"/>
        <item x="13"/>
        <item x="14"/>
        <item x="15"/>
        <item m="1" x="37"/>
        <item x="16"/>
        <item x="17"/>
        <item x="18"/>
        <item x="19"/>
        <item x="20"/>
        <item x="21"/>
        <item x="22"/>
        <item t="default"/>
      </items>
    </pivotField>
    <pivotField compact="0" outline="0" showAll="0">
      <items count="10">
        <item m="1" x="5"/>
        <item m="1" x="6"/>
        <item m="1" x="7"/>
        <item m="1" x="8"/>
        <item x="0"/>
        <item x="1"/>
        <item x="2"/>
        <item m="1" x="3"/>
        <item m="1" x="4"/>
        <item t="default"/>
      </items>
    </pivotField>
    <pivotField compact="0" numFmtId="14" outline="0" showAll="0"/>
    <pivotField compact="0" outline="0" showAll="0">
      <items count="18">
        <item m="1" x="13"/>
        <item x="9"/>
        <item m="1" x="14"/>
        <item x="4"/>
        <item m="1" x="15"/>
        <item m="1" x="11"/>
        <item x="8"/>
        <item m="1" x="16"/>
        <item x="5"/>
        <item x="7"/>
        <item m="1" x="12"/>
        <item x="1"/>
        <item x="0"/>
        <item x="3"/>
        <item x="6"/>
        <item x="2"/>
        <item m="1" x="10"/>
        <item t="default"/>
      </items>
    </pivotField>
    <pivotField compact="0" outline="0" showAll="0"/>
    <pivotField axis="axisRow" compact="0" outline="0" showAll="0">
      <items count="5">
        <item m="1" x="2"/>
        <item m="1" x="3"/>
        <item x="0"/>
        <item x="1"/>
        <item t="default"/>
      </items>
    </pivotField>
    <pivotField compact="0" outline="0" showAll="0"/>
    <pivotField compact="0" outline="0" showAll="0"/>
    <pivotField compact="0" outline="0" showAll="0"/>
    <pivotField compact="0" outline="0" showAll="0"/>
    <pivotField compact="0" outline="0" showAll="0"/>
    <pivotField compact="0" numFmtId="2" outline="0" showAll="0"/>
    <pivotField compact="0" outline="0" showAll="0"/>
    <pivotField compact="0" outline="0" showAll="0"/>
    <pivotField compact="0" outline="0" showAll="0"/>
    <pivotField compact="0" numFmtId="164" outline="0" showAll="0"/>
    <pivotField compact="0" outline="0" showAll="0"/>
    <pivotField compact="0" numFmtId="10" outline="0" showAll="0"/>
    <pivotField dataField="1" compact="0" numFmtId="10" outline="0" showAll="0"/>
    <pivotField dataField="1" compact="0" numFmtId="10" outline="0" showAll="0"/>
    <pivotField compact="0" numFmtId="164" outline="0" showAll="0"/>
    <pivotField compact="0" outline="0" showAll="0"/>
    <pivotField compact="0" outline="0" showAll="0"/>
    <pivotField compact="0" outline="0" showAll="0"/>
    <pivotField compact="0" outline="0" showAll="0"/>
    <pivotField compact="0" numFmtId="164" outline="0" showAll="0"/>
    <pivotField compact="0" numFmtId="14" outline="0" showAll="0"/>
    <pivotField compact="0" numFmtId="164" outline="0" showAll="0"/>
    <pivotField compact="0" numFmtId="2" outline="0" showAll="0"/>
    <pivotField compact="0" numFmtId="1" outline="0" showAll="0"/>
    <pivotField compact="0" outline="0" showAll="0"/>
  </pivotFields>
  <rowFields count="1">
    <field x="6"/>
  </rowFields>
  <rowItems count="3">
    <i>
      <x v="2"/>
    </i>
    <i>
      <x v="3"/>
    </i>
    <i t="grand">
      <x/>
    </i>
  </rowItems>
  <colFields count="1">
    <field x="-2"/>
  </colFields>
  <colItems count="2">
    <i>
      <x/>
    </i>
    <i i="1">
      <x v="1"/>
    </i>
  </colItems>
  <dataFields count="2">
    <dataField name="Sum of % Net_Profit" fld="19" baseField="0" baseItem="0" numFmtId="10"/>
    <dataField name="Sum of % Net_Loss" fld="20" baseField="0" baseItem="0" numFmtId="10"/>
  </dataFields>
  <chartFormats count="2">
    <chartFormat chart="15" format="27" series="1">
      <pivotArea type="data" outline="0" fieldPosition="0">
        <references count="1">
          <reference field="4294967294" count="1" selected="0">
            <x v="0"/>
          </reference>
        </references>
      </pivotArea>
    </chartFormat>
    <chartFormat chart="15" format="2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3A8FD0-0B05-4CB8-899E-DBB9C3EFA291}" name="PivotTable7" cacheId="1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Y4:AA5" firstHeaderRow="0" firstDataRow="1" firstDataCol="0"/>
  <pivotFields count="32">
    <pivotField compact="0" outline="0" showAll="0"/>
    <pivotField compact="0" numFmtId="14" outline="0" showAll="0">
      <items count="40">
        <item m="1" x="32"/>
        <item m="1" x="33"/>
        <item m="1" x="34"/>
        <item m="1" x="38"/>
        <item m="1" x="35"/>
        <item m="1" x="36"/>
        <item x="0"/>
        <item m="1" x="23"/>
        <item m="1" x="24"/>
        <item m="1" x="25"/>
        <item m="1" x="26"/>
        <item m="1" x="27"/>
        <item m="1" x="28"/>
        <item m="1" x="29"/>
        <item m="1" x="30"/>
        <item x="1"/>
        <item m="1" x="31"/>
        <item x="2"/>
        <item x="3"/>
        <item x="4"/>
        <item x="5"/>
        <item x="6"/>
        <item x="7"/>
        <item x="8"/>
        <item x="9"/>
        <item x="10"/>
        <item x="11"/>
        <item x="12"/>
        <item x="13"/>
        <item x="14"/>
        <item x="15"/>
        <item m="1" x="37"/>
        <item x="16"/>
        <item x="17"/>
        <item x="18"/>
        <item x="19"/>
        <item x="20"/>
        <item x="21"/>
        <item x="22"/>
        <item t="default"/>
      </items>
    </pivotField>
    <pivotField compact="0" outline="0" showAll="0">
      <items count="10">
        <item m="1" x="5"/>
        <item m="1" x="6"/>
        <item m="1" x="7"/>
        <item m="1" x="8"/>
        <item x="0"/>
        <item x="1"/>
        <item x="2"/>
        <item m="1" x="3"/>
        <item m="1" x="4"/>
        <item t="default"/>
      </items>
    </pivotField>
    <pivotField compact="0" numFmtId="14" outline="0" showAll="0"/>
    <pivotField compact="0" outline="0" showAll="0">
      <items count="18">
        <item m="1" x="13"/>
        <item x="9"/>
        <item m="1" x="14"/>
        <item x="4"/>
        <item m="1" x="15"/>
        <item m="1" x="11"/>
        <item x="8"/>
        <item m="1" x="16"/>
        <item x="5"/>
        <item x="7"/>
        <item m="1" x="12"/>
        <item x="1"/>
        <item x="0"/>
        <item x="3"/>
        <item x="6"/>
        <item x="2"/>
        <item m="1"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pivotField compact="0" outline="0" showAll="0"/>
    <pivotField dataField="1" compact="0" outline="0" showAll="0"/>
    <pivotField dataField="1" compact="0" outline="0" showAll="0"/>
    <pivotField compact="0" numFmtId="164" outline="0" showAll="0"/>
    <pivotField dataField="1" compact="0" outline="0" showAll="0"/>
    <pivotField compact="0" numFmtId="10" outline="0" showAll="0"/>
    <pivotField compact="0" numFmtId="10" outline="0" showAll="0"/>
    <pivotField compact="0" numFmtId="10" outline="0" showAll="0"/>
    <pivotField compact="0" numFmtId="164" outline="0" showAll="0"/>
    <pivotField compact="0" outline="0" showAll="0"/>
    <pivotField compact="0" outline="0" showAll="0"/>
    <pivotField compact="0" outline="0" showAll="0"/>
    <pivotField compact="0" outline="0" showAll="0"/>
    <pivotField compact="0" numFmtId="164" outline="0" showAll="0"/>
    <pivotField compact="0" numFmtId="14" outline="0" showAll="0"/>
    <pivotField compact="0" numFmtId="164" outline="0" showAll="0"/>
    <pivotField compact="0" numFmtId="2" outline="0" showAll="0"/>
    <pivotField compact="0" numFmtId="1" outline="0" showAll="0"/>
    <pivotField compact="0" outline="0" showAll="0"/>
  </pivotFields>
  <rowItems count="1">
    <i/>
  </rowItems>
  <colFields count="1">
    <field x="-2"/>
  </colFields>
  <colItems count="3">
    <i>
      <x/>
    </i>
    <i i="1">
      <x v="1"/>
    </i>
    <i i="2">
      <x v="2"/>
    </i>
  </colItems>
  <dataFields count="3">
    <dataField name="Average of $ Loss" fld="14" subtotal="average" baseField="0" baseItem="0" numFmtId="165"/>
    <dataField name="Average of $ Profit" fld="15" subtotal="average" baseField="0" baseItem="0" numFmtId="165"/>
    <dataField name="Sum of Net P&amp;L" fld="17" baseField="0" baseItem="0"/>
  </dataFields>
  <formats count="2">
    <format dxfId="21">
      <pivotArea outline="0" fieldPosition="0">
        <references count="1">
          <reference field="4294967294" count="1" selected="0">
            <x v="1"/>
          </reference>
        </references>
      </pivotArea>
    </format>
    <format dxfId="20">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347CB3-63C2-47CB-9518-F0C260FD387E}" name="PivotTable3" cacheId="1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9">
  <location ref="I4:J8" firstHeaderRow="1" firstDataRow="1" firstDataCol="1"/>
  <pivotFields count="32">
    <pivotField compact="0" outline="0" showAll="0"/>
    <pivotField compact="0" numFmtId="14" outline="0" showAll="0">
      <items count="40">
        <item m="1" x="32"/>
        <item m="1" x="33"/>
        <item m="1" x="34"/>
        <item m="1" x="38"/>
        <item m="1" x="35"/>
        <item m="1" x="36"/>
        <item x="0"/>
        <item m="1" x="23"/>
        <item m="1" x="24"/>
        <item m="1" x="25"/>
        <item m="1" x="26"/>
        <item m="1" x="27"/>
        <item m="1" x="28"/>
        <item m="1" x="29"/>
        <item m="1" x="30"/>
        <item x="1"/>
        <item m="1" x="31"/>
        <item x="2"/>
        <item x="3"/>
        <item x="4"/>
        <item x="5"/>
        <item x="6"/>
        <item x="7"/>
        <item x="8"/>
        <item x="9"/>
        <item x="10"/>
        <item x="11"/>
        <item x="12"/>
        <item x="13"/>
        <item x="14"/>
        <item x="15"/>
        <item m="1" x="37"/>
        <item x="16"/>
        <item x="17"/>
        <item x="18"/>
        <item x="19"/>
        <item x="20"/>
        <item x="21"/>
        <item x="22"/>
        <item t="default"/>
      </items>
    </pivotField>
    <pivotField compact="0" outline="0" showAll="0" sortType="descending">
      <items count="10">
        <item m="1" x="4"/>
        <item m="1" x="3"/>
        <item x="2"/>
        <item x="1"/>
        <item x="0"/>
        <item m="1" x="8"/>
        <item m="1" x="7"/>
        <item m="1" x="6"/>
        <item m="1" x="5"/>
        <item t="default"/>
      </items>
    </pivotField>
    <pivotField compact="0" numFmtId="14" outline="0" showAll="0"/>
    <pivotField compact="0" outline="0" showAll="0">
      <items count="18">
        <item m="1" x="13"/>
        <item x="9"/>
        <item m="1" x="14"/>
        <item x="4"/>
        <item m="1" x="15"/>
        <item m="1" x="11"/>
        <item x="8"/>
        <item m="1" x="16"/>
        <item x="5"/>
        <item x="7"/>
        <item m="1" x="12"/>
        <item x="1"/>
        <item x="0"/>
        <item x="3"/>
        <item x="6"/>
        <item x="2"/>
        <item m="1"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pivotField compact="0" outline="0" showAll="0"/>
    <pivotField compact="0" outline="0" showAll="0"/>
    <pivotField compact="0" outline="0" showAll="0"/>
    <pivotField compact="0" numFmtId="164" outline="0" showAll="0"/>
    <pivotField compact="0" outline="0" showAll="0"/>
    <pivotField dataField="1" compact="0" numFmtId="10" outline="0" showAll="0"/>
    <pivotField compact="0" numFmtId="10" outline="0" showAll="0"/>
    <pivotField compact="0" numFmtId="10" outline="0" showAll="0"/>
    <pivotField compact="0" numFmtId="164" outline="0" showAll="0"/>
    <pivotField compact="0" outline="0" showAll="0"/>
    <pivotField compact="0" outline="0" showAll="0"/>
    <pivotField axis="axisRow" compact="0" outline="0" showAll="0">
      <items count="6">
        <item x="1"/>
        <item x="0"/>
        <item m="1" x="4"/>
        <item m="1" x="3"/>
        <item x="2"/>
        <item t="default"/>
      </items>
    </pivotField>
    <pivotField compact="0" outline="0" showAll="0"/>
    <pivotField compact="0" numFmtId="164" outline="0" showAll="0"/>
    <pivotField compact="0" numFmtId="14" outline="0" showAll="0"/>
    <pivotField compact="0" numFmtId="164" outline="0" showAll="0"/>
    <pivotField compact="0" numFmtId="2" outline="0" showAll="0"/>
    <pivotField compact="0" numFmtId="1" outline="0" showAll="0"/>
    <pivotField compact="0" outline="0" showAll="0"/>
  </pivotFields>
  <rowFields count="1">
    <field x="24"/>
  </rowFields>
  <rowItems count="4">
    <i>
      <x/>
    </i>
    <i>
      <x v="1"/>
    </i>
    <i>
      <x v="4"/>
    </i>
    <i t="grand">
      <x/>
    </i>
  </rowItems>
  <colItems count="1">
    <i/>
  </colItems>
  <dataFields count="1">
    <dataField name="Sum of Net P&amp;L %" fld="18"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1D8188-9773-45B6-AF2E-A400CB938148}" name="PivotTable5" cacheId="1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Q4:S7" firstHeaderRow="0" firstDataRow="1" firstDataCol="1"/>
  <pivotFields count="32">
    <pivotField compact="0" outline="0" showAll="0"/>
    <pivotField compact="0" numFmtId="14" outline="0" showAll="0">
      <items count="40">
        <item m="1" x="32"/>
        <item m="1" x="33"/>
        <item m="1" x="34"/>
        <item m="1" x="38"/>
        <item m="1" x="35"/>
        <item m="1" x="36"/>
        <item x="0"/>
        <item m="1" x="23"/>
        <item m="1" x="24"/>
        <item m="1" x="25"/>
        <item m="1" x="26"/>
        <item m="1" x="27"/>
        <item m="1" x="28"/>
        <item m="1" x="29"/>
        <item m="1" x="30"/>
        <item x="1"/>
        <item m="1" x="31"/>
        <item x="2"/>
        <item x="3"/>
        <item x="4"/>
        <item x="5"/>
        <item x="6"/>
        <item x="7"/>
        <item x="8"/>
        <item x="9"/>
        <item x="10"/>
        <item x="11"/>
        <item x="12"/>
        <item x="13"/>
        <item x="14"/>
        <item x="15"/>
        <item m="1" x="37"/>
        <item x="16"/>
        <item x="17"/>
        <item x="18"/>
        <item x="19"/>
        <item x="20"/>
        <item x="21"/>
        <item x="22"/>
        <item t="default"/>
      </items>
    </pivotField>
    <pivotField compact="0" outline="0" showAll="0">
      <items count="10">
        <item m="1" x="5"/>
        <item m="1" x="6"/>
        <item m="1" x="7"/>
        <item m="1" x="8"/>
        <item x="0"/>
        <item x="1"/>
        <item x="2"/>
        <item m="1" x="3"/>
        <item m="1" x="4"/>
        <item t="default"/>
      </items>
    </pivotField>
    <pivotField compact="0" numFmtId="14" outline="0" showAll="0"/>
    <pivotField compact="0" outline="0" showAll="0">
      <items count="18">
        <item m="1" x="13"/>
        <item x="9"/>
        <item m="1" x="14"/>
        <item x="4"/>
        <item m="1" x="15"/>
        <item m="1" x="11"/>
        <item x="8"/>
        <item m="1" x="16"/>
        <item x="5"/>
        <item x="7"/>
        <item m="1" x="12"/>
        <item x="1"/>
        <item x="0"/>
        <item x="3"/>
        <item x="6"/>
        <item x="2"/>
        <item m="1" x="10"/>
        <item t="default"/>
      </items>
    </pivotField>
    <pivotField compact="0" outline="0" showAll="0"/>
    <pivotField compact="0" outline="0" showAll="0"/>
    <pivotField axis="axisRow" compact="0" outline="0" showAll="0">
      <items count="4">
        <item x="0"/>
        <item x="1"/>
        <item h="1" m="1" x="2"/>
        <item t="default"/>
      </items>
    </pivotField>
    <pivotField compact="0" outline="0" showAll="0"/>
    <pivotField compact="0" outline="0" showAll="0"/>
    <pivotField compact="0" outline="0" showAll="0"/>
    <pivotField compact="0" outline="0" showAll="0"/>
    <pivotField compact="0" numFmtId="2" outline="0" showAll="0"/>
    <pivotField compact="0" outline="0" showAll="0"/>
    <pivotField compact="0" outline="0" showAll="0"/>
    <pivotField compact="0" outline="0" showAll="0"/>
    <pivotField compact="0" numFmtId="164" outline="0" showAll="0"/>
    <pivotField compact="0" outline="0" showAll="0"/>
    <pivotField compact="0" numFmtId="10" outline="0" showAll="0"/>
    <pivotField dataField="1" compact="0" numFmtId="10" outline="0" showAll="0"/>
    <pivotField dataField="1" compact="0" numFmtId="10" outline="0" showAll="0"/>
    <pivotField compact="0" numFmtId="164" outline="0" showAll="0"/>
    <pivotField compact="0" outline="0" showAll="0"/>
    <pivotField compact="0" outline="0" showAll="0"/>
    <pivotField compact="0" outline="0" showAll="0"/>
    <pivotField compact="0" outline="0" showAll="0"/>
    <pivotField compact="0" numFmtId="164" outline="0" showAll="0"/>
    <pivotField compact="0" numFmtId="14" outline="0" showAll="0"/>
    <pivotField compact="0" numFmtId="164" outline="0" showAll="0"/>
    <pivotField compact="0" numFmtId="2" outline="0" showAll="0"/>
    <pivotField compact="0" numFmtId="1" outline="0" showAll="0"/>
    <pivotField compact="0" outline="0" showAll="0"/>
  </pivotFields>
  <rowFields count="1">
    <field x="7"/>
  </rowFields>
  <rowItems count="3">
    <i>
      <x/>
    </i>
    <i>
      <x v="1"/>
    </i>
    <i t="grand">
      <x/>
    </i>
  </rowItems>
  <colFields count="1">
    <field x="-2"/>
  </colFields>
  <colItems count="2">
    <i>
      <x/>
    </i>
    <i i="1">
      <x v="1"/>
    </i>
  </colItems>
  <dataFields count="2">
    <dataField name="Sum of % Net_Profit" fld="19" baseField="0" baseItem="0" numFmtId="10"/>
    <dataField name="Sum of % Net_Loss" fld="20" baseField="0" baseItem="0" numFmtId="10"/>
  </dataFields>
  <chartFormats count="2">
    <chartFormat chart="14" format="18" series="1">
      <pivotArea type="data" outline="0" fieldPosition="0">
        <references count="1">
          <reference field="4294967294" count="1" selected="0">
            <x v="0"/>
          </reference>
        </references>
      </pivotArea>
    </chartFormat>
    <chartFormat chart="14" format="1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F5BA17-0BF4-4D9C-8276-40FED27FB9E7}" name="PivotTable8" cacheId="1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8">
  <location ref="AD4:AE7" firstHeaderRow="1" firstDataRow="1" firstDataCol="1"/>
  <pivotFields count="32">
    <pivotField compact="0" outline="0" showAll="0"/>
    <pivotField compact="0" numFmtId="14" outline="0" showAll="0">
      <items count="40">
        <item m="1" x="32"/>
        <item m="1" x="33"/>
        <item m="1" x="34"/>
        <item m="1" x="38"/>
        <item m="1" x="35"/>
        <item m="1" x="36"/>
        <item x="0"/>
        <item m="1" x="23"/>
        <item m="1" x="24"/>
        <item m="1" x="25"/>
        <item m="1" x="26"/>
        <item m="1" x="27"/>
        <item m="1" x="28"/>
        <item m="1" x="29"/>
        <item m="1" x="30"/>
        <item x="1"/>
        <item m="1" x="31"/>
        <item x="2"/>
        <item x="3"/>
        <item x="4"/>
        <item x="5"/>
        <item x="6"/>
        <item x="7"/>
        <item x="8"/>
        <item x="9"/>
        <item x="10"/>
        <item x="11"/>
        <item x="12"/>
        <item x="13"/>
        <item x="14"/>
        <item x="15"/>
        <item m="1" x="37"/>
        <item x="16"/>
        <item x="17"/>
        <item x="18"/>
        <item x="19"/>
        <item x="20"/>
        <item x="21"/>
        <item x="22"/>
        <item t="default"/>
      </items>
    </pivotField>
    <pivotField compact="0" outline="0" showAll="0" sortType="descending">
      <items count="10">
        <item m="1" x="4"/>
        <item m="1" x="3"/>
        <item x="2"/>
        <item x="1"/>
        <item x="0"/>
        <item m="1" x="8"/>
        <item m="1" x="7"/>
        <item m="1" x="6"/>
        <item m="1" x="5"/>
        <item t="default"/>
      </items>
    </pivotField>
    <pivotField compact="0" numFmtId="14" outline="0" showAll="0"/>
    <pivotField compact="0" outline="0" showAll="0">
      <items count="18">
        <item m="1" x="13"/>
        <item x="9"/>
        <item m="1" x="14"/>
        <item x="4"/>
        <item m="1" x="15"/>
        <item m="1" x="11"/>
        <item x="8"/>
        <item m="1" x="16"/>
        <item x="5"/>
        <item x="7"/>
        <item m="1" x="12"/>
        <item x="1"/>
        <item x="0"/>
        <item x="3"/>
        <item x="6"/>
        <item x="2"/>
        <item m="1"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pivotField axis="axisRow" dataField="1" compact="0" outline="0" showAll="0">
      <items count="6">
        <item x="0"/>
        <item x="1"/>
        <item h="1" x="2"/>
        <item h="1" m="1" x="4"/>
        <item h="1" m="1" x="3"/>
        <item t="default"/>
      </items>
    </pivotField>
    <pivotField compact="0" outline="0" showAll="0"/>
    <pivotField compact="0" outline="0" showAll="0"/>
    <pivotField compact="0" numFmtId="164" outline="0" showAll="0"/>
    <pivotField compact="0" outline="0" showAll="0"/>
    <pivotField compact="0" numFmtId="10" outline="0" showAll="0"/>
    <pivotField compact="0" numFmtId="10" outline="0" showAll="0"/>
    <pivotField compact="0" numFmtId="10" outline="0" showAll="0"/>
    <pivotField compact="0" numFmtId="164" outline="0" showAll="0"/>
    <pivotField compact="0" outline="0" showAll="0"/>
    <pivotField compact="0" outline="0" showAll="0"/>
    <pivotField compact="0" outline="0" showAll="0"/>
    <pivotField compact="0" outline="0" showAll="0"/>
    <pivotField compact="0" numFmtId="164" outline="0" showAll="0"/>
    <pivotField compact="0" numFmtId="14" outline="0" showAll="0"/>
    <pivotField compact="0" numFmtId="164" outline="0" showAll="0"/>
    <pivotField compact="0" numFmtId="2" outline="0" showAll="0"/>
    <pivotField compact="0" numFmtId="1" outline="0" showAll="0"/>
    <pivotField compact="0" outline="0" showAll="0"/>
  </pivotFields>
  <rowFields count="1">
    <field x="13"/>
  </rowFields>
  <rowItems count="3">
    <i>
      <x/>
    </i>
    <i>
      <x v="1"/>
    </i>
    <i t="grand">
      <x/>
    </i>
  </rowItems>
  <colItems count="1">
    <i/>
  </colItems>
  <dataFields count="1">
    <dataField name="Count of Win / Loss" fld="13" subtotal="count" baseField="0" baseItem="0"/>
  </dataFields>
  <chartFormats count="12">
    <chartFormat chart="29" format="16" series="1">
      <pivotArea type="data" outline="0" fieldPosition="0">
        <references count="1">
          <reference field="4294967294" count="1" selected="0">
            <x v="0"/>
          </reference>
        </references>
      </pivotArea>
    </chartFormat>
    <chartFormat chart="29" format="17">
      <pivotArea type="data" outline="0" fieldPosition="0">
        <references count="2">
          <reference field="4294967294" count="1" selected="0">
            <x v="0"/>
          </reference>
          <reference field="13" count="1" selected="0">
            <x v="0"/>
          </reference>
        </references>
      </pivotArea>
    </chartFormat>
    <chartFormat chart="29" format="18">
      <pivotArea type="data" outline="0" fieldPosition="0">
        <references count="2">
          <reference field="4294967294" count="1" selected="0">
            <x v="0"/>
          </reference>
          <reference field="13" count="1" selected="0">
            <x v="1"/>
          </reference>
        </references>
      </pivotArea>
    </chartFormat>
    <chartFormat chart="36"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0" format="1">
      <pivotArea type="data" outline="0" fieldPosition="0">
        <references count="2">
          <reference field="4294967294" count="1" selected="0">
            <x v="0"/>
          </reference>
          <reference field="13" count="1" selected="0">
            <x v="1"/>
          </reference>
        </references>
      </pivotArea>
    </chartFormat>
    <chartFormat chart="40" format="2">
      <pivotArea type="data" outline="0" fieldPosition="0">
        <references count="2">
          <reference field="4294967294" count="1" selected="0">
            <x v="0"/>
          </reference>
          <reference field="13" count="1" selected="0">
            <x v="0"/>
          </reference>
        </references>
      </pivotArea>
    </chartFormat>
    <chartFormat chart="40" format="3">
      <pivotArea type="data" outline="0" fieldPosition="0">
        <references count="2">
          <reference field="4294967294" count="1" selected="0">
            <x v="0"/>
          </reference>
          <reference field="13" count="1" selected="0">
            <x v="2"/>
          </reference>
        </references>
      </pivotArea>
    </chartFormat>
    <chartFormat chart="57" format="4" series="1">
      <pivotArea type="data" outline="0" fieldPosition="0">
        <references count="1">
          <reference field="4294967294" count="1" selected="0">
            <x v="0"/>
          </reference>
        </references>
      </pivotArea>
    </chartFormat>
    <chartFormat chart="57" format="5">
      <pivotArea type="data" outline="0" fieldPosition="0">
        <references count="2">
          <reference field="4294967294" count="1" selected="0">
            <x v="0"/>
          </reference>
          <reference field="13" count="1" selected="0">
            <x v="0"/>
          </reference>
        </references>
      </pivotArea>
    </chartFormat>
    <chartFormat chart="57" format="6">
      <pivotArea type="data" outline="0" fieldPosition="0">
        <references count="2">
          <reference field="4294967294" count="1" selected="0">
            <x v="0"/>
          </reference>
          <reference field="13" count="1" selected="0">
            <x v="1"/>
          </reference>
        </references>
      </pivotArea>
    </chartFormat>
    <chartFormat chart="57"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732D75-9921-4202-901A-F8F2F8160297}" name="PivotTable9" cacheId="1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1">
  <location ref="AG4:AH8" firstHeaderRow="1" firstDataRow="1" firstDataCol="1"/>
  <pivotFields count="32">
    <pivotField compact="0" outline="0" showAll="0"/>
    <pivotField compact="0" numFmtId="14" outline="0" showAll="0">
      <items count="40">
        <item m="1" x="32"/>
        <item m="1" x="33"/>
        <item m="1" x="34"/>
        <item m="1" x="38"/>
        <item m="1" x="35"/>
        <item m="1" x="36"/>
        <item x="0"/>
        <item m="1" x="23"/>
        <item m="1" x="24"/>
        <item m="1" x="25"/>
        <item m="1" x="26"/>
        <item m="1" x="27"/>
        <item m="1" x="28"/>
        <item m="1" x="29"/>
        <item m="1" x="30"/>
        <item x="1"/>
        <item m="1" x="31"/>
        <item x="2"/>
        <item x="3"/>
        <item x="4"/>
        <item x="5"/>
        <item x="6"/>
        <item x="7"/>
        <item x="8"/>
        <item x="9"/>
        <item x="10"/>
        <item x="11"/>
        <item x="12"/>
        <item x="13"/>
        <item x="14"/>
        <item x="15"/>
        <item m="1" x="37"/>
        <item x="16"/>
        <item x="17"/>
        <item x="18"/>
        <item x="19"/>
        <item x="20"/>
        <item x="21"/>
        <item x="22"/>
        <item t="default"/>
      </items>
    </pivotField>
    <pivotField compact="0" outline="0" showAll="0" sortType="descending">
      <items count="10">
        <item m="1" x="4"/>
        <item m="1" x="3"/>
        <item x="2"/>
        <item x="1"/>
        <item x="0"/>
        <item m="1" x="8"/>
        <item m="1" x="7"/>
        <item m="1" x="6"/>
        <item m="1" x="5"/>
        <item t="default"/>
      </items>
    </pivotField>
    <pivotField compact="0" numFmtId="14" outline="0" showAll="0"/>
    <pivotField compact="0" outline="0" showAll="0">
      <items count="18">
        <item m="1" x="13"/>
        <item x="9"/>
        <item m="1" x="14"/>
        <item x="4"/>
        <item m="1" x="15"/>
        <item m="1" x="11"/>
        <item x="8"/>
        <item m="1" x="16"/>
        <item x="5"/>
        <item x="7"/>
        <item m="1" x="12"/>
        <item x="1"/>
        <item x="0"/>
        <item x="3"/>
        <item x="6"/>
        <item x="2"/>
        <item m="1"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pivotField compact="0" outline="0" showAll="0"/>
    <pivotField compact="0" outline="0" showAll="0"/>
    <pivotField compact="0" outline="0" showAll="0"/>
    <pivotField compact="0" numFmtId="164" outline="0" showAll="0"/>
    <pivotField compact="0" outline="0" showAll="0"/>
    <pivotField compact="0" numFmtId="10" outline="0" showAll="0"/>
    <pivotField compact="0" numFmtId="10" outline="0" showAll="0"/>
    <pivotField compact="0" numFmtId="10" outline="0" showAll="0"/>
    <pivotField compact="0" numFmtId="164" outline="0" showAll="0"/>
    <pivotField compact="0" outline="0" showAll="0"/>
    <pivotField compact="0" outline="0" showAll="0"/>
    <pivotField axis="axisRow" compact="0" outline="0" showAll="0">
      <items count="6">
        <item x="0"/>
        <item x="1"/>
        <item m="1" x="4"/>
        <item m="1" x="3"/>
        <item x="2"/>
        <item t="default"/>
      </items>
    </pivotField>
    <pivotField compact="0" outline="0" showAll="0"/>
    <pivotField compact="0" numFmtId="164" outline="0" showAll="0"/>
    <pivotField compact="0" numFmtId="14" outline="0" showAll="0"/>
    <pivotField dataField="1" compact="0" numFmtId="164" outline="0" showAll="0"/>
    <pivotField compact="0" numFmtId="2" outline="0" showAll="0"/>
    <pivotField compact="0" numFmtId="1" outline="0" showAll="0"/>
    <pivotField compact="0" outline="0" showAll="0"/>
  </pivotFields>
  <rowFields count="1">
    <field x="24"/>
  </rowFields>
  <rowItems count="4">
    <i>
      <x/>
    </i>
    <i>
      <x v="1"/>
    </i>
    <i>
      <x v="4"/>
    </i>
    <i t="grand">
      <x/>
    </i>
  </rowItems>
  <colItems count="1">
    <i/>
  </colItems>
  <dataFields count="1">
    <dataField name="Max of End Month equity" fld="28" subtotal="max" baseField="0" baseItem="0" numFmtId="164"/>
  </dataFields>
  <formats count="1">
    <format dxfId="22">
      <pivotArea outline="0" collapsedLevelsAreSubtotals="1" fieldPosition="0"/>
    </format>
  </formats>
  <chartFormats count="1">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425069-94A9-498C-B308-47E3E6E44C02}" name="PivotTable2" cacheId="1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B4:C8" firstHeaderRow="1" firstDataRow="1" firstDataCol="1"/>
  <pivotFields count="32">
    <pivotField compact="0" outline="0" showAll="0"/>
    <pivotField compact="0" numFmtId="14" outline="0" showAll="0">
      <items count="40">
        <item m="1" x="32"/>
        <item m="1" x="33"/>
        <item m="1" x="34"/>
        <item m="1" x="38"/>
        <item m="1" x="35"/>
        <item m="1" x="36"/>
        <item x="0"/>
        <item m="1" x="23"/>
        <item m="1" x="24"/>
        <item m="1" x="25"/>
        <item m="1" x="26"/>
        <item m="1" x="27"/>
        <item m="1" x="28"/>
        <item m="1" x="29"/>
        <item m="1" x="30"/>
        <item x="1"/>
        <item m="1" x="31"/>
        <item x="2"/>
        <item x="3"/>
        <item x="4"/>
        <item x="5"/>
        <item x="6"/>
        <item x="7"/>
        <item x="8"/>
        <item x="9"/>
        <item x="10"/>
        <item x="11"/>
        <item x="12"/>
        <item x="13"/>
        <item x="14"/>
        <item x="15"/>
        <item m="1" x="37"/>
        <item x="16"/>
        <item x="17"/>
        <item x="18"/>
        <item x="19"/>
        <item x="20"/>
        <item x="21"/>
        <item x="22"/>
        <item t="default"/>
      </items>
    </pivotField>
    <pivotField axis="axisRow" compact="0" outline="0" showAll="0">
      <items count="10">
        <item m="1" x="5"/>
        <item m="1" x="6"/>
        <item m="1" x="7"/>
        <item m="1" x="8"/>
        <item x="0"/>
        <item m="1" x="3"/>
        <item x="1"/>
        <item x="2"/>
        <item m="1" x="4"/>
        <item t="default"/>
      </items>
    </pivotField>
    <pivotField compact="0" numFmtId="14" outline="0" showAll="0"/>
    <pivotField compact="0" outline="0" showAll="0">
      <items count="18">
        <item m="1" x="13"/>
        <item x="9"/>
        <item m="1" x="14"/>
        <item x="4"/>
        <item m="1" x="15"/>
        <item m="1" x="11"/>
        <item x="8"/>
        <item m="1" x="16"/>
        <item x="5"/>
        <item x="7"/>
        <item m="1" x="12"/>
        <item x="1"/>
        <item x="0"/>
        <item x="3"/>
        <item x="6"/>
        <item x="2"/>
        <item m="1"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pivotField compact="0" outline="0" showAll="0"/>
    <pivotField compact="0" outline="0" showAll="0"/>
    <pivotField compact="0" outline="0" showAll="0"/>
    <pivotField compact="0" numFmtId="164" outline="0" showAll="0"/>
    <pivotField compact="0" outline="0" showAll="0"/>
    <pivotField compact="0" numFmtId="10" outline="0" showAll="0"/>
    <pivotField compact="0" numFmtId="10" outline="0" showAll="0"/>
    <pivotField compact="0" numFmtId="10" outline="0" showAll="0"/>
    <pivotField compact="0" numFmtId="164" outline="0" showAll="0"/>
    <pivotField dataField="1" compact="0" outline="0" showAll="0"/>
    <pivotField compact="0" outline="0" showAll="0"/>
    <pivotField compact="0" outline="0" showAll="0"/>
    <pivotField compact="0" outline="0" showAll="0"/>
    <pivotField compact="0" numFmtId="164" outline="0" showAll="0"/>
    <pivotField compact="0" numFmtId="14" outline="0" showAll="0"/>
    <pivotField compact="0" numFmtId="164" outline="0" showAll="0"/>
    <pivotField compact="0" numFmtId="2" outline="0" showAll="0"/>
    <pivotField compact="0" numFmtId="1" outline="0" showAll="0"/>
    <pivotField compact="0" outline="0" showAll="0"/>
  </pivotFields>
  <rowFields count="1">
    <field x="2"/>
  </rowFields>
  <rowItems count="4">
    <i>
      <x v="4"/>
    </i>
    <i>
      <x v="6"/>
    </i>
    <i>
      <x v="7"/>
    </i>
    <i t="grand">
      <x/>
    </i>
  </rowItems>
  <colItems count="1">
    <i/>
  </colItems>
  <dataFields count="1">
    <dataField name="Average of Balance" fld="22" subtotal="average" baseField="0" baseItem="0"/>
  </dataFields>
  <formats count="1">
    <format dxfId="23">
      <pivotArea outline="0" fieldPosition="0">
        <references count="1">
          <reference field="2" count="0" selected="0"/>
        </references>
      </pivotArea>
    </format>
  </formats>
  <chartFormats count="3">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43592B8-B772-441E-94A6-36F33984B28C}" name="PivotTable6" cacheId="1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9">
  <location ref="U4:W15" firstHeaderRow="0" firstDataRow="1" firstDataCol="1"/>
  <pivotFields count="32">
    <pivotField compact="0" outline="0" showAll="0"/>
    <pivotField compact="0" numFmtId="14" outline="0" showAll="0">
      <items count="40">
        <item m="1" x="32"/>
        <item m="1" x="33"/>
        <item m="1" x="34"/>
        <item m="1" x="38"/>
        <item m="1" x="35"/>
        <item m="1" x="36"/>
        <item x="0"/>
        <item m="1" x="23"/>
        <item m="1" x="24"/>
        <item m="1" x="25"/>
        <item m="1" x="26"/>
        <item m="1" x="27"/>
        <item m="1" x="28"/>
        <item m="1" x="29"/>
        <item m="1" x="30"/>
        <item x="1"/>
        <item m="1" x="31"/>
        <item x="2"/>
        <item x="3"/>
        <item x="4"/>
        <item x="5"/>
        <item x="6"/>
        <item x="7"/>
        <item x="8"/>
        <item x="9"/>
        <item x="10"/>
        <item x="11"/>
        <item x="12"/>
        <item x="13"/>
        <item x="14"/>
        <item x="15"/>
        <item m="1" x="37"/>
        <item x="16"/>
        <item x="17"/>
        <item x="18"/>
        <item x="19"/>
        <item x="20"/>
        <item x="21"/>
        <item x="22"/>
        <item t="default"/>
      </items>
    </pivotField>
    <pivotField compact="0" outline="0" showAll="0">
      <items count="10">
        <item m="1" x="5"/>
        <item m="1" x="6"/>
        <item m="1" x="7"/>
        <item m="1" x="8"/>
        <item x="0"/>
        <item x="1"/>
        <item x="2"/>
        <item m="1" x="3"/>
        <item m="1" x="4"/>
        <item t="default"/>
      </items>
    </pivotField>
    <pivotField compact="0" numFmtId="14" outline="0" showAll="0"/>
    <pivotField axis="axisRow" compact="0" outline="0" showAll="0">
      <items count="18">
        <item m="1" x="13"/>
        <item m="1" x="14"/>
        <item m="1" x="15"/>
        <item x="1"/>
        <item x="0"/>
        <item m="1" x="10"/>
        <item x="4"/>
        <item x="9"/>
        <item m="1" x="16"/>
        <item x="6"/>
        <item m="1" x="11"/>
        <item x="2"/>
        <item m="1" x="12"/>
        <item x="3"/>
        <item x="5"/>
        <item x="7"/>
        <item x="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pivotField compact="0" outline="0" showAll="0"/>
    <pivotField compact="0" outline="0" showAll="0"/>
    <pivotField compact="0" outline="0" showAll="0"/>
    <pivotField compact="0" numFmtId="164" outline="0" showAll="0"/>
    <pivotField compact="0" outline="0" showAll="0"/>
    <pivotField compact="0" numFmtId="10" outline="0" showAll="0"/>
    <pivotField dataField="1" compact="0" numFmtId="10" outline="0" showAll="0"/>
    <pivotField dataField="1" compact="0" numFmtId="10" outline="0" showAll="0"/>
    <pivotField compact="0" numFmtId="164" outline="0" showAll="0"/>
    <pivotField compact="0" outline="0" showAll="0"/>
    <pivotField compact="0" outline="0" showAll="0"/>
    <pivotField compact="0" outline="0" showAll="0"/>
    <pivotField compact="0" outline="0" showAll="0"/>
    <pivotField compact="0" numFmtId="164" outline="0" showAll="0"/>
    <pivotField compact="0" numFmtId="14" outline="0" showAll="0"/>
    <pivotField compact="0" numFmtId="164" outline="0" showAll="0"/>
    <pivotField compact="0" numFmtId="2" outline="0" showAll="0"/>
    <pivotField compact="0" numFmtId="1" outline="0" showAll="0"/>
    <pivotField compact="0" outline="0" showAll="0"/>
  </pivotFields>
  <rowFields count="1">
    <field x="4"/>
  </rowFields>
  <rowItems count="11">
    <i>
      <x v="3"/>
    </i>
    <i>
      <x v="4"/>
    </i>
    <i>
      <x v="6"/>
    </i>
    <i>
      <x v="7"/>
    </i>
    <i>
      <x v="9"/>
    </i>
    <i>
      <x v="11"/>
    </i>
    <i>
      <x v="13"/>
    </i>
    <i>
      <x v="14"/>
    </i>
    <i>
      <x v="15"/>
    </i>
    <i>
      <x v="16"/>
    </i>
    <i t="grand">
      <x/>
    </i>
  </rowItems>
  <colFields count="1">
    <field x="-2"/>
  </colFields>
  <colItems count="2">
    <i>
      <x/>
    </i>
    <i i="1">
      <x v="1"/>
    </i>
  </colItems>
  <dataFields count="2">
    <dataField name="Sum of % Net_Profit" fld="19" baseField="0" baseItem="0" numFmtId="10"/>
    <dataField name="Sum of % Net_Loss" fld="20" baseField="0" baseItem="0" numFmtId="10"/>
  </dataFields>
  <chartFormats count="2">
    <chartFormat chart="11" format="16" series="1">
      <pivotArea type="data" outline="0" fieldPosition="0">
        <references count="1">
          <reference field="4294967294" count="1" selected="0">
            <x v="0"/>
          </reference>
        </references>
      </pivotArea>
    </chartFormat>
    <chartFormat chart="11"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de_Month" xr10:uid="{D1A8CC82-C06D-4C86-877E-DB027DC81F30}" sourceName="Trade Month">
  <pivotTables>
    <pivotTable tabId="21" name="PivotTable2"/>
    <pivotTable tabId="21" name="PivotTable3"/>
    <pivotTable tabId="21" name="PivotTable4"/>
    <pivotTable tabId="21" name="PivotTable5"/>
    <pivotTable tabId="21" name="PivotTable6"/>
    <pivotTable tabId="21" name="PivotTable7"/>
    <pivotTable tabId="21" name="PivotTable8"/>
    <pivotTable tabId="21" name="PivotTable9"/>
  </pivotTables>
  <data>
    <tabular pivotCacheId="89441900">
      <items count="9">
        <i x="0" s="1"/>
        <i x="1" s="1"/>
        <i x="2" s="1"/>
        <i x="5" s="1" nd="1"/>
        <i x="6" s="1" nd="1"/>
        <i x="7" s="1" nd="1"/>
        <i x="8" s="1" nd="1"/>
        <i x="3"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cy_Pair" xr10:uid="{2492382A-830B-46F8-AA9B-00C2EA7A9C50}" sourceName="Currency Pair">
  <pivotTables>
    <pivotTable tabId="21" name="PivotTable7"/>
    <pivotTable tabId="21" name="PivotTable2"/>
    <pivotTable tabId="21" name="PivotTable3"/>
    <pivotTable tabId="21" name="PivotTable4"/>
    <pivotTable tabId="21" name="PivotTable5"/>
    <pivotTable tabId="21" name="PivotTable6"/>
    <pivotTable tabId="21" name="PivotTable8"/>
    <pivotTable tabId="21" name="PivotTable9"/>
  </pivotTables>
  <data>
    <tabular pivotCacheId="89441900">
      <items count="17">
        <i x="9" s="1"/>
        <i x="4" s="1"/>
        <i x="8" s="1"/>
        <i x="5" s="1"/>
        <i x="7" s="1"/>
        <i x="1" s="1"/>
        <i x="0" s="1"/>
        <i x="3" s="1"/>
        <i x="6" s="1"/>
        <i x="2" s="1"/>
        <i x="13" s="1" nd="1"/>
        <i x="14" s="1" nd="1"/>
        <i x="15" s="1" nd="1"/>
        <i x="11" s="1" nd="1"/>
        <i x="16" s="1" nd="1"/>
        <i x="12" s="1" nd="1"/>
        <i x="1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922673-39FD-4AF8-9A8C-2E6B96BF8BB9}" sourceName="Date">
  <pivotTables>
    <pivotTable tabId="21" name="PivotTable5"/>
    <pivotTable tabId="21" name="PivotTable2"/>
    <pivotTable tabId="21" name="PivotTable3"/>
    <pivotTable tabId="21" name="PivotTable4"/>
    <pivotTable tabId="21" name="PivotTable6"/>
    <pivotTable tabId="21" name="PivotTable7"/>
    <pivotTable tabId="21" name="PivotTable8"/>
    <pivotTable tabId="21" name="PivotTable9"/>
  </pivotTables>
  <data>
    <tabular pivotCacheId="89441900">
      <items count="39">
        <i x="0" s="1"/>
        <i x="1" s="1"/>
        <i x="2" s="1"/>
        <i x="3" s="1"/>
        <i x="4" s="1"/>
        <i x="5" s="1"/>
        <i x="6" s="1"/>
        <i x="7" s="1"/>
        <i x="8" s="1"/>
        <i x="9" s="1"/>
        <i x="10" s="1"/>
        <i x="11" s="1"/>
        <i x="12" s="1"/>
        <i x="13" s="1"/>
        <i x="14" s="1"/>
        <i x="15" s="1"/>
        <i x="16" s="1"/>
        <i x="17" s="1"/>
        <i x="18" s="1"/>
        <i x="19" s="1"/>
        <i x="20" s="1"/>
        <i x="21" s="1"/>
        <i x="22" s="1"/>
        <i x="32" s="1" nd="1"/>
        <i x="33" s="1" nd="1"/>
        <i x="34" s="1" nd="1"/>
        <i x="38" s="1" nd="1"/>
        <i x="35" s="1" nd="1"/>
        <i x="36" s="1" nd="1"/>
        <i x="23" s="1" nd="1"/>
        <i x="24" s="1" nd="1"/>
        <i x="25" s="1" nd="1"/>
        <i x="26" s="1" nd="1"/>
        <i x="27" s="1" nd="1"/>
        <i x="28" s="1" nd="1"/>
        <i x="29" s="1" nd="1"/>
        <i x="30" s="1" nd="1"/>
        <i x="31" s="1" nd="1"/>
        <i x="3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de Month 3" xr10:uid="{42D8F51B-1F19-4BE2-8D35-8F5A91486D03}" cache="Slicer_Trade_Month" caption="Months" rowHeight="257175"/>
  <slicer name="Currency Pair 1" xr10:uid="{633F7DB4-F4F2-4FE5-9D2C-429B3F24B21D}" cache="Slicer_Currency_Pair" caption="Currency Pair" rowHeight="241300"/>
  <slicer name="Date 3" xr10:uid="{56DCA60A-BC7B-4307-8C4C-63925058402E}" cache="Slicer_Date" cap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081A38C-07FD-41ED-A122-A418D8D0017C}" name="My­_Journal" displayName="My­_Journal" ref="A1:AF46" totalsRowShown="0" headerRowDxfId="57" dataDxfId="56">
  <autoFilter ref="A1:AF46" xr:uid="{A081A38C-07FD-41ED-A122-A418D8D0017C}"/>
  <tableColumns count="32">
    <tableColumn id="1" xr3:uid="{69A5DD14-A82B-47A2-9FE4-FA33829D5D41}" name="#" dataDxfId="55">
      <calculatedColumnFormula>ROW()-1</calculatedColumnFormula>
    </tableColumn>
    <tableColumn id="2" xr3:uid="{4D6B8180-6E4E-4BAD-9F56-7DDFBC247136}" name="Date" dataDxfId="54"/>
    <tableColumn id="3" xr3:uid="{23993A73-8235-48E2-9BA9-4B4B49E459E7}" name="Trade Month" dataDxfId="53">
      <calculatedColumnFormula>IF(B2="","",TEXT(B2,"mmmm"))</calculatedColumnFormula>
    </tableColumn>
    <tableColumn id="4" xr3:uid="{F1306B95-ED43-4D81-994D-CC99CBE8EB3D}" name="Date Close" dataDxfId="52"/>
    <tableColumn id="5" xr3:uid="{7973D917-B9C9-412A-B9E2-D2D299F2038C}" name="Currency Pair" dataDxfId="51"/>
    <tableColumn id="6" xr3:uid="{6B8525A9-D358-48F9-A294-A4651F9BEE5A}" name="Position Size" dataDxfId="50"/>
    <tableColumn id="7" xr3:uid="{D64289C9-A9FA-487C-A465-3A818FFD3410}" name="Time Frame" dataDxfId="49"/>
    <tableColumn id="8" xr3:uid="{DD51477C-00D9-4F2C-B641-919B6785820F}" name="Direction" dataDxfId="48"/>
    <tableColumn id="9" xr3:uid="{92D01015-0B43-42CA-8D0B-0096E0E47E12}" name="Entry Price" dataDxfId="47"/>
    <tableColumn id="10" xr3:uid="{ED373FC6-A804-455B-ABDC-9147C8176E5A}" name="Stop Loss" dataDxfId="46"/>
    <tableColumn id="11" xr3:uid="{74C632CA-26AB-40CB-A900-3BC8A8AA6FF5}" name="Take Profit" dataDxfId="45"/>
    <tableColumn id="12" xr3:uid="{1DD9B514-21EB-4C75-8BB9-3E8ABDA79B84}" name="Exit Price" dataDxfId="44"/>
    <tableColumn id="22" xr3:uid="{C0035444-1438-4067-B311-1C12E2CF0854}" name="Risk/Reward_New" dataDxfId="43">
      <calculatedColumnFormula>IF(AND(I2&lt;&gt;"", J2&lt;&gt;"", K2&lt;&gt;""), IF(ABS(I2 - J2)&lt;0.0001, "Invalid", ABS(K2 - I2)/ABS(I2 - J2)), "")</calculatedColumnFormula>
    </tableColumn>
    <tableColumn id="14" xr3:uid="{6B6618C3-4222-4273-819A-93A9C5AC3A56}" name="Win / Loss" dataDxfId="42">
      <calculatedColumnFormula>IF(H2="Long",IF(L2&gt;=K2,"Win",IF(L2&lt;=J2,"Loss","Manually-Closed")),IF(My­_Journal[[#This Row],[Direction]]="Short",IF(My­_Journal[[#This Row],[Exit Price]]&lt;=My­_Journal[[#This Row],[Take Profit]],"Win",IF(My­_Journal[[#This Row],[Exit Price]]&gt;=My­_Journal[[#This Row],[Stop Loss]],"Loss","Manually-Closed")),""))</calculatedColumnFormula>
    </tableColumn>
    <tableColumn id="15" xr3:uid="{CDE9574B-F6EB-4525-B7A3-63DE6B3F5329}" name="$ Loss" dataDxfId="41"/>
    <tableColumn id="16" xr3:uid="{307808DF-79BD-4F34-BF90-1BF8E4FCA55D}" name="$ Profit" dataDxfId="40"/>
    <tableColumn id="40" xr3:uid="{5B705883-80CF-4FEE-ABED-38A2BFFF0E85}" name="Commison" dataDxfId="39"/>
    <tableColumn id="23" xr3:uid="{2E5B0967-67E6-4047-97FC-959636DF58C6}" name="Net P&amp;L" dataDxfId="38">
      <calculatedColumnFormula>IF(My­_Journal[[#This Row],[$ Loss]]="","",My­_Journal[[#This Row],[Net_Profit]]-My­_Journal[[#This Row],[Net_Loss]])</calculatedColumnFormula>
    </tableColumn>
    <tableColumn id="32" xr3:uid="{30F8FB08-A491-4894-8263-C844693AF4DD}" name="Net P&amp;L %" dataDxfId="37">
      <calculatedColumnFormula>IF(My­_Journal[[#This Row],[Net P&amp;L]]="","",My­_Journal[[#This Row],[Net P&amp;L]]/Working!$B$4)</calculatedColumnFormula>
    </tableColumn>
    <tableColumn id="17" xr3:uid="{B01DC77A-B4C1-46D7-BC9A-0EA8721A0010}" name="% Net_Profit" dataDxfId="36">
      <calculatedColumnFormula>IF(I2="","",Z2/Working!$B$4)</calculatedColumnFormula>
    </tableColumn>
    <tableColumn id="18" xr3:uid="{0E486B8A-F730-452F-BF96-DC1725E631A3}" name="% Net_Loss" dataDxfId="35">
      <calculatedColumnFormula>IF(I2="","",(O2/Working!$B$4))</calculatedColumnFormula>
    </tableColumn>
    <tableColumn id="13" xr3:uid="{D101AF97-B2AD-4837-8503-F915B8BC313F}" name="Comission_1" dataDxfId="34">
      <calculatedColumnFormula>IF(My­_Journal[[#This Row],[Commison]]="","",My­_Journal[[#This Row],[Commison]])</calculatedColumnFormula>
    </tableColumn>
    <tableColumn id="27" xr3:uid="{DE32EA9A-13E2-43D8-A8F6-F25A883E26B2}" name="Balance" dataDxfId="33">
      <calculatedColumnFormula>IF(My­_Journal[[#This Row],[Date]]="","",IF(ROW()&gt;2,W1-O2+P2-My­_Journal[[#This Row],[Comission_1]],Working!B4-My­_Journal[[#This Row],[Comission_1]]+My­_Journal[[#This Row],[$ Profit]]-My­_Journal[[#This Row],[$ Loss]]))</calculatedColumnFormula>
    </tableColumn>
    <tableColumn id="30" xr3:uid="{5EDC936E-AC11-46E7-8C13-43321361395D}" name="Date-Month" dataDxfId="32">
      <calculatedColumnFormula>IF(My­_Journal[[#This Row],[Date]]="","",TEXT(My­_Journal[[#This Row],[Date]],"dd-mmm"))</calculatedColumnFormula>
    </tableColumn>
    <tableColumn id="26" xr3:uid="{D74E5998-11F8-4B68-907F-6F3201524ED5}" name="Month-Year" dataDxfId="31">
      <calculatedColumnFormula>IF(B2="","",TEXT(B2,"mmm-yyyy"))</calculatedColumnFormula>
    </tableColumn>
    <tableColumn id="34" xr3:uid="{FDB26F43-98BE-4D82-B9D8-C5495F2414DD}" name="Net_Profit" dataDxfId="30">
      <calculatedColumnFormula>IF(My­_Journal[[#This Row],[$ Profit]]="","",IF(My­_Journal[[#This Row],[$ Profit]]=0, TEXT(0, "$0.00"), My­_Journal[[#This Row],[$ Profit]]-My­_Journal[[#This Row],[Comission_1]]))</calculatedColumnFormula>
    </tableColumn>
    <tableColumn id="19" xr3:uid="{E5388D9B-7C43-4E2A-BD45-ED37DE72F5C9}" name="Net_Loss" dataDxfId="29">
      <calculatedColumnFormula>IF(My­_Journal[[#This Row],[$ Loss]]="","",IF(My­_Journal[[#This Row],[$ Loss]]=0,0,My­_Journal[[#This Row],[$ Loss]]-My­_Journal[[#This Row],[Comission_1]]))</calculatedColumnFormula>
    </tableColumn>
    <tableColumn id="25" xr3:uid="{EE2D3C22-741B-49DD-9C77-F20485069B48}" name="End Trade of month" dataDxfId="28">
      <calculatedColumnFormula>IF(B2="","",_xlfn.MAXIFS(B:B,Y:Y,My­_Journal[[#This Row],[Month-Year]]))</calculatedColumnFormula>
    </tableColumn>
    <tableColumn id="28" xr3:uid="{1DC96C9A-7F5D-40A7-B82D-D32C9ED7A5DE}" name="End Month equity" dataDxfId="27">
      <calculatedColumnFormula>LOOKUP(2,1/(B$2:B$1006=AB2),W$2:W$1006)</calculatedColumnFormula>
    </tableColumn>
    <tableColumn id="29" xr3:uid="{EA9BC473-1AF9-4FE7-AE9D-9BD767551ED6}" name="Achieved Target" dataDxfId="26">
      <calculatedColumnFormula>IF(My­_Journal[[#This Row],[Net P&amp;L %]]="","",My­_Journal[[#This Row],[Net P&amp;L %]]/Working!$Q$8)</calculatedColumnFormula>
    </tableColumn>
    <tableColumn id="31" xr3:uid="{F1AAEB7E-7665-46AD-8FB7-C9400611D657}" name="Capacity_Days Finding" dataDxfId="25">
      <calculatedColumnFormula>IF(My­_Journal[[#This Row],[Date]]="","",IF(ROW()&gt;2,AE1+(AD2-1),Working!$Q$10+(AD2-1)))</calculatedColumnFormula>
    </tableColumn>
    <tableColumn id="20" xr3:uid="{45B7A15E-8DB9-4406-B549-E7228737FAC6}" name="Signal"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877E312-1B06-4207-8DD3-D30243B3A7C5}" name="Table8" displayName="Table8" ref="AJ4:AQ18" totalsRowShown="0">
  <autoFilter ref="AJ4:AQ18" xr:uid="{B877E312-1B06-4207-8DD3-D30243B3A7C5}"/>
  <tableColumns count="8">
    <tableColumn id="1" xr3:uid="{F8F70C31-F5BC-4EFB-B426-9648BE13FF9A}" name="Date" dataDxfId="17">
      <calculatedColumnFormula>IF(ROW()-ROW(AJ5) +1&lt;= MIN(COUNTA(My_Journal!X:X), 14),
  INDEX(My_Journal!X:X,
    MAX(2, COUNTA(My_Journal!X:X) - MIN(COUNTA(My_Journal!X:X), 14) + 2 - 1) + ROW(A1) - 1
  ),
  ""
)</calculatedColumnFormula>
    </tableColumn>
    <tableColumn id="2" xr3:uid="{7C7F6891-F5B0-4010-B2B1-078C5D28679A}" name="#" dataDxfId="16">
      <calculatedColumnFormula>IF(ROW()-ROW(AK5)+1 &lt;= MIN(COUNTA(My_Journal!A:A), 14),
  INDEX(My_Journal!A:A,
    MAX(2, COUNTA(My_Journal!A:A) - MIN(COUNTA(My_Journal!A:A), 14) + 2 - 1) + ROW(A1) - 1
  ),
  ""
)</calculatedColumnFormula>
    </tableColumn>
    <tableColumn id="3" xr3:uid="{9382C29D-9290-4CF5-9ACB-89C19473D06E}" name="Net_Profit%" dataDxfId="15">
      <calculatedColumnFormula>IF(ROW()-ROW(AK5)+1 &lt;= MIN(COUNTA(My_Journal!T:T), 14),
  INDEX(My_Journal!T:T,
    MAX(2, COUNTA(My_Journal!T:T) - MIN(COUNTA(My_Journal!T:T), 14) + 2 - 1) + ROW(X1) - 1
  ),
  ""
)</calculatedColumnFormula>
    </tableColumn>
    <tableColumn id="6" xr3:uid="{2DE4A240-C7D3-40DB-B52D-74B4625E7C3F}" name="New Net_Profit" dataDxfId="14">
      <calculatedColumnFormula>IF(Table8[[#This Row],[Net_Profit%]]=0,NA(),AL5)</calculatedColumnFormula>
    </tableColumn>
    <tableColumn id="5" xr3:uid="{BB28750B-416C-498E-A6BD-7FBE42C52073}" name="Net_Loss" dataDxfId="13">
      <calculatedColumnFormula>IF(ROW()-ROW(AN5)+1 &lt;= MIN(COUNTA(My_Journal!U:U), 14),
  INDEX(My_Journal!U:U,
    MAX(2, COUNTA(My_Journal!U:U) - MIN(COUNTA(My_Journal!U:U), 14) + 2 - 1) + ROW(X1) - 1
  ),
  ""
)</calculatedColumnFormula>
    </tableColumn>
    <tableColumn id="7" xr3:uid="{EF5E6ED1-1E30-466E-B3F2-20F17E1CCE8B}" name="New_Net_Loss" dataDxfId="12">
      <calculatedColumnFormula>IF(AN5=0,NA(),AN5)</calculatedColumnFormula>
    </tableColumn>
    <tableColumn id="8" xr3:uid="{5425F6A9-DE7A-40B6-A843-ACD548666B51}" name="Current Balance" dataDxfId="11">
      <calculatedColumnFormula>IF(ROW()-ROW(AK5)+1 &lt;= MIN(COUNTA(My_Journal!T:T), 14),
  INDEX(My_Journal!T:T,
    MAX(2, COUNTA(My_Journal!T:T) - MIN(COUNTA(My_Journal!T:T), 14) + 2 - 1) + ROW(X1) - 1
  ),
  ""
)</calculatedColumnFormula>
    </tableColumn>
    <tableColumn id="9" xr3:uid="{CED9B13A-F565-4352-8BB0-66814DB07D63}" name="Starting Balance" dataDxfId="10">
      <calculatedColumnFormula>Working!$B$4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2E5FE5D-E6FA-49DA-9DFF-EFAC349C809D}" name="Table12" displayName="Table12" ref="AS5:AV15" totalsRowShown="0">
  <autoFilter ref="AS5:AV15" xr:uid="{C2E5FE5D-E6FA-49DA-9DFF-EFAC349C809D}"/>
  <tableColumns count="4">
    <tableColumn id="3" xr3:uid="{1473C12F-5534-4744-B55D-BF321B105C48}" name="Column1" dataDxfId="9">
      <calculatedColumnFormula>Working!$B$4</calculatedColumnFormula>
    </tableColumn>
    <tableColumn id="4" xr3:uid="{5663130C-E471-4FD8-8B2B-A5714451F7FF}" name="Column2" dataDxfId="8">
      <calculatedColumnFormula>Working!$B$9</calculatedColumnFormula>
    </tableColumn>
    <tableColumn id="1" xr3:uid="{2EA89EAA-034B-4567-ACC9-2219A353FF4E}" name="Starting Balance" dataDxfId="7">
      <calculatedColumnFormula>(Working!$B$4/AS6)-1</calculatedColumnFormula>
    </tableColumn>
    <tableColumn id="2" xr3:uid="{20013347-1379-417C-9013-50325316B426}" name="Current Balance" dataDxfId="6">
      <calculatedColumnFormula>(AT6/AS6)-1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544F3D-D0CD-432B-8892-77DBB654C19E}" name="Table3" displayName="Table3" ref="B3:B56" totalsRowShown="0" headerRowDxfId="5">
  <autoFilter ref="B3:B56" xr:uid="{BA544F3D-D0CD-432B-8892-77DBB654C19E}"/>
  <tableColumns count="1">
    <tableColumn id="1" xr3:uid="{F1FE4A30-A18D-4AAF-A669-329C55BE061B}" name="Currency Pair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17F5BF9-E7D8-498F-A1E9-112D32E364D6}" name="Table5" displayName="Table5" ref="E3:E13" totalsRowShown="0" headerRowDxfId="4">
  <autoFilter ref="E3:E13" xr:uid="{217F5BF9-E7D8-498F-A1E9-112D32E364D6}"/>
  <tableColumns count="1">
    <tableColumn id="1" xr3:uid="{A39D7F5F-DF44-4B40-8F0E-4BEE34426387}" name="Signal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3B3BDF2-A177-4983-BB0F-A59AD2C04556}" name="Table6" displayName="Table6" ref="G3:G5" totalsRowShown="0" headerRowDxfId="3">
  <autoFilter ref="G3:G5" xr:uid="{73B3BDF2-A177-4983-BB0F-A59AD2C04556}"/>
  <tableColumns count="1">
    <tableColumn id="1" xr3:uid="{D793A1F4-6719-4351-8A30-71D16724EDA3}" name="Win /  Los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2FDE44-DA1D-4A6B-9AE0-BB628D779360}" name="Table1" displayName="Table1" ref="I3:I13" totalsRowShown="0" headerRowDxfId="2">
  <autoFilter ref="I3:I13" xr:uid="{B32FDE44-DA1D-4A6B-9AE0-BB628D779360}"/>
  <tableColumns count="1">
    <tableColumn id="1" xr3:uid="{4200678D-B3F8-4F46-AEB0-1D559B75ACBB}" name="Time Fram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55BFAF-649E-4B8E-A53E-CBB69A9E312A}" name="Table2" displayName="Table2" ref="K3:K5" totalsRowShown="0" headerRowDxfId="1">
  <autoFilter ref="K3:K5" xr:uid="{8655BFAF-649E-4B8E-A53E-CBB69A9E312A}"/>
  <tableColumns count="1">
    <tableColumn id="1" xr3:uid="{3CCF0248-BC99-4A0E-AC2E-A01F1B75E126}" name="Dire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3087C9F-94ED-4543-9EF5-F43849DC1144}">
  <we:reference id="wa200005502" version="1.0.0.12" store="en-US" storeType="OMEX"/>
  <we:alternateReferences>
    <we:reference id="wa200005502" version="1.0.0.12" store="en-US" storeType="OMEX"/>
  </we:alternateReferences>
  <we:properties>
    <we:property name="docId" value="&quot;70FbPbUjKvJknhvDWTiZB&quot;"/>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3.xml"/><Relationship Id="rId5" Type="http://schemas.openxmlformats.org/officeDocument/2006/relationships/pivotTable" Target="../pivotTables/pivotTable5.xml"/><Relationship Id="rId10" Type="http://schemas.openxmlformats.org/officeDocument/2006/relationships/table" Target="../tables/table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5" Type="http://schemas.openxmlformats.org/officeDocument/2006/relationships/table" Target="../tables/table8.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246F1-6DB0-4347-A962-8C5BB7844A58}">
  <sheetPr codeName="Sheet4"/>
  <dimension ref="W21"/>
  <sheetViews>
    <sheetView showGridLines="0" tabSelected="1" zoomScale="59" zoomScaleNormal="85" workbookViewId="0">
      <selection activeCell="AA12" sqref="AA12"/>
    </sheetView>
  </sheetViews>
  <sheetFormatPr defaultColWidth="9.140625" defaultRowHeight="15" x14ac:dyDescent="0.25"/>
  <cols>
    <col min="1" max="16384" width="9.140625" style="7"/>
  </cols>
  <sheetData>
    <row r="21" spans="23:23" x14ac:dyDescent="0.25">
      <c r="W21" s="7" t="s">
        <v>0</v>
      </c>
    </row>
  </sheetData>
  <sheetProtection algorithmName="SHA-512" hashValue="1YD3DV2M2TPBaCCg+Ef7lLGt7HxjIHclRNNauUZvCy0x76elP8zoGzwUyegb5xoDRAyHSvLpDVY3EWQzKgsE3w==" saltValue="HLBiGTHMH6EBnEkA9DoeZ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269ED-2DC5-418D-8E20-42D3FB1CFC59}">
  <sheetPr codeName="Sheet2"/>
  <dimension ref="A1:AI46"/>
  <sheetViews>
    <sheetView zoomScale="87" zoomScaleNormal="100" workbookViewId="0">
      <pane ySplit="1" topLeftCell="A27" activePane="bottomLeft" state="frozen"/>
      <selection pane="bottomLeft" activeCell="E45" sqref="E45:E46"/>
    </sheetView>
  </sheetViews>
  <sheetFormatPr defaultColWidth="8.85546875" defaultRowHeight="15" x14ac:dyDescent="0.25"/>
  <cols>
    <col min="1" max="1" width="6.42578125" style="10" bestFit="1" customWidth="1"/>
    <col min="2" max="2" width="10.42578125" style="11" bestFit="1" customWidth="1"/>
    <col min="3" max="3" width="20.42578125" style="10" bestFit="1" customWidth="1"/>
    <col min="4" max="4" width="12.85546875" style="11" bestFit="1" customWidth="1"/>
    <col min="5" max="5" width="22" style="10" customWidth="1"/>
    <col min="6" max="6" width="21.140625" style="10" customWidth="1"/>
    <col min="7" max="7" width="19.42578125" style="10" customWidth="1"/>
    <col min="8" max="8" width="15.85546875" style="10" customWidth="1"/>
    <col min="9" max="9" width="18.42578125" style="12" customWidth="1"/>
    <col min="10" max="10" width="17" style="12" customWidth="1"/>
    <col min="11" max="11" width="18.42578125" style="12" customWidth="1"/>
    <col min="12" max="12" width="16.85546875" style="12" customWidth="1"/>
    <col min="13" max="13" width="26.42578125" style="13" customWidth="1"/>
    <col min="14" max="14" width="21" style="14" customWidth="1"/>
    <col min="15" max="15" width="12.85546875" style="12" customWidth="1"/>
    <col min="16" max="16" width="13.85546875" style="12" customWidth="1"/>
    <col min="17" max="17" width="17.42578125" style="12" customWidth="1"/>
    <col min="18" max="18" width="14.85546875" style="12" customWidth="1"/>
    <col min="19" max="19" width="17.85546875" style="12" customWidth="1"/>
    <col min="20" max="20" width="20.140625" style="15" customWidth="1"/>
    <col min="21" max="21" width="19.140625" style="12" customWidth="1"/>
    <col min="22" max="22" width="20.140625" style="12" customWidth="1"/>
    <col min="23" max="23" width="14.42578125" style="12" bestFit="1" customWidth="1"/>
    <col min="24" max="24" width="18.85546875" style="10" bestFit="1" customWidth="1"/>
    <col min="25" max="25" width="19.140625" style="10" bestFit="1" customWidth="1"/>
    <col min="26" max="26" width="17" style="12" customWidth="1"/>
    <col min="27" max="27" width="16" style="11" customWidth="1"/>
    <col min="28" max="28" width="29.85546875" style="12" bestFit="1" customWidth="1"/>
    <col min="29" max="29" width="27" style="12" bestFit="1" customWidth="1"/>
    <col min="30" max="30" width="25.28515625" style="12" bestFit="1" customWidth="1"/>
    <col min="31" max="31" width="33.7109375" style="10" bestFit="1" customWidth="1"/>
    <col min="32" max="32" width="16.42578125" style="10" customWidth="1"/>
    <col min="34" max="34" width="11.28515625" bestFit="1" customWidth="1"/>
    <col min="35" max="35" width="11.42578125" customWidth="1"/>
  </cols>
  <sheetData>
    <row r="1" spans="1:35" x14ac:dyDescent="0.25">
      <c r="A1" s="10" t="s">
        <v>1</v>
      </c>
      <c r="B1" s="11" t="s">
        <v>2</v>
      </c>
      <c r="C1" s="10" t="s">
        <v>3</v>
      </c>
      <c r="D1" s="11" t="s">
        <v>4</v>
      </c>
      <c r="E1" s="10" t="s">
        <v>5</v>
      </c>
      <c r="F1" s="10" t="s">
        <v>6</v>
      </c>
      <c r="G1" s="10" t="s">
        <v>7</v>
      </c>
      <c r="H1" s="10" t="s">
        <v>8</v>
      </c>
      <c r="I1" s="12" t="s">
        <v>9</v>
      </c>
      <c r="J1" s="12" t="s">
        <v>10</v>
      </c>
      <c r="K1" s="12" t="s">
        <v>11</v>
      </c>
      <c r="L1" s="12" t="s">
        <v>12</v>
      </c>
      <c r="M1" s="13" t="s">
        <v>13</v>
      </c>
      <c r="N1" s="14" t="s">
        <v>14</v>
      </c>
      <c r="O1" s="12" t="s">
        <v>15</v>
      </c>
      <c r="P1" s="12" t="s">
        <v>16</v>
      </c>
      <c r="Q1" s="12" t="s">
        <v>17</v>
      </c>
      <c r="R1" s="12" t="s">
        <v>18</v>
      </c>
      <c r="S1" s="12" t="s">
        <v>19</v>
      </c>
      <c r="T1" s="15" t="s">
        <v>20</v>
      </c>
      <c r="U1" s="15" t="s">
        <v>21</v>
      </c>
      <c r="V1" s="12" t="s">
        <v>22</v>
      </c>
      <c r="W1" s="12" t="s">
        <v>23</v>
      </c>
      <c r="X1" s="12" t="s">
        <v>24</v>
      </c>
      <c r="Y1" s="10" t="s">
        <v>25</v>
      </c>
      <c r="Z1" s="10" t="s">
        <v>26</v>
      </c>
      <c r="AA1" s="12" t="s">
        <v>27</v>
      </c>
      <c r="AB1" s="11" t="s">
        <v>28</v>
      </c>
      <c r="AC1" s="12" t="s">
        <v>29</v>
      </c>
      <c r="AD1" s="12" t="s">
        <v>30</v>
      </c>
      <c r="AE1" s="12" t="s">
        <v>31</v>
      </c>
      <c r="AF1" s="10" t="s">
        <v>32</v>
      </c>
    </row>
    <row r="2" spans="1:35" x14ac:dyDescent="0.25">
      <c r="A2" s="10">
        <f t="shared" ref="A2:A46" si="0">ROW()-1</f>
        <v>1</v>
      </c>
      <c r="B2" s="11">
        <v>45824</v>
      </c>
      <c r="C2" s="10" t="str">
        <f t="shared" ref="C2:C15" si="1">IF(B2="","",TEXT(B2,"mmmm"))</f>
        <v>June</v>
      </c>
      <c r="D2" s="11">
        <v>45824</v>
      </c>
      <c r="E2" s="10" t="s">
        <v>33</v>
      </c>
      <c r="F2" s="10">
        <v>7.82</v>
      </c>
      <c r="G2" s="10" t="s">
        <v>34</v>
      </c>
      <c r="H2" s="10" t="s">
        <v>35</v>
      </c>
      <c r="I2" s="12">
        <v>1.3573500000000001</v>
      </c>
      <c r="J2" s="12">
        <v>1.3570599999999999</v>
      </c>
      <c r="K2" s="12">
        <v>1.35764</v>
      </c>
      <c r="L2" s="12">
        <v>1.3570599999999999</v>
      </c>
      <c r="M2" s="13">
        <f t="shared" ref="M2:M3" si="2">IF(AND(I2&lt;&gt;"", J2&lt;&gt;"", K2&lt;&gt;""), IF(ABS(I2 - J2)&lt;0.0001, "Invalid", ABS(K2 - I2)/ABS(I2 - J2)), "")</f>
        <v>0.99999999999923428</v>
      </c>
      <c r="N2" s="14" t="str">
        <f>IF(H2="Long",IF(L2&gt;=K2,"Win",IF(L2&lt;=J2,"Loss","Manually-Closed")),IF(My­_Journal[[#This Row],[Direction]]="Short",IF(My­_Journal[[#This Row],[Exit Price]]&lt;=My­_Journal[[#This Row],[Take Profit]],"Win",IF(My­_Journal[[#This Row],[Exit Price]]&gt;=My­_Journal[[#This Row],[Stop Loss]],"Loss","Manually-Closed")),""))</f>
        <v>Loss</v>
      </c>
      <c r="O2" s="12">
        <v>184.4</v>
      </c>
      <c r="P2" s="12">
        <v>0</v>
      </c>
      <c r="Q2" s="12">
        <v>39.1</v>
      </c>
      <c r="R2" s="12">
        <f>IF(My­_Journal[[#This Row],[$ Loss]]="","",My­_Journal[[#This Row],[Net_Profit]]-My­_Journal[[#This Row],[Net_Loss]])</f>
        <v>-145.30000000000001</v>
      </c>
      <c r="S2" s="15">
        <f>IF(My­_Journal[[#This Row],[Net P&amp;L]]="","",My­_Journal[[#This Row],[Net P&amp;L]]/Working!$B$4)</f>
        <v>-1.4530000000000001E-3</v>
      </c>
      <c r="T2" s="15">
        <f>IF(I2="","",Z2/Working!$B$4)</f>
        <v>0</v>
      </c>
      <c r="U2" s="15">
        <f>IF(I2="","",(O2/Working!$B$4))</f>
        <v>1.8440000000000002E-3</v>
      </c>
      <c r="V2" s="12">
        <f>IF(My­_Journal[[#This Row],[Commison]]="","",My­_Journal[[#This Row],[Commison]])</f>
        <v>39.1</v>
      </c>
      <c r="W2" s="12">
        <f>IF(My­_Journal[[#This Row],[Date]]="","",IF(ROW()&gt;2,W1-O2+P2-My­_Journal[[#This Row],[Comission_1]],Working!B4-My­_Journal[[#This Row],[Comission_1]]+My­_Journal[[#This Row],[$ Profit]]-My­_Journal[[#This Row],[$ Loss]]))</f>
        <v>99776.5</v>
      </c>
      <c r="X2" s="12" t="str">
        <f>IF(My­_Journal[[#This Row],[Date]]="","",TEXT(My­_Journal[[#This Row],[Date]],"dd-mmm"))</f>
        <v>16-Jun</v>
      </c>
      <c r="Y2" s="10" t="str">
        <f t="shared" ref="Y2:Y15" si="3">IF(B2="","",TEXT(B2,"mmm-yyyy"))</f>
        <v>Jun-2025</v>
      </c>
      <c r="Z2" s="17" t="str">
        <f>IF(My­_Journal[[#This Row],[$ Profit]]="","",IF(My­_Journal[[#This Row],[$ Profit]]=0, TEXT(0, "$0.00"), My­_Journal[[#This Row],[$ Profit]]-My­_Journal[[#This Row],[Comission_1]]))</f>
        <v>$0.00</v>
      </c>
      <c r="AA2" s="12">
        <f>IF(My­_Journal[[#This Row],[$ Loss]]="","",IF(My­_Journal[[#This Row],[$ Loss]]=0,0,My­_Journal[[#This Row],[$ Loss]]-My­_Journal[[#This Row],[Comission_1]]))</f>
        <v>145.30000000000001</v>
      </c>
      <c r="AB2" s="11">
        <f>IF(B2="","",_xlfn.MAXIFS(B:B,Y:Y,My­_Journal[[#This Row],[Month-Year]]))</f>
        <v>45838</v>
      </c>
      <c r="AC2" s="12">
        <f>LOOKUP(2,1/(B$2:B$1006=AB2),W$2:W$1006)</f>
        <v>97442.419999999984</v>
      </c>
      <c r="AD2" s="13">
        <f>IF(My­_Journal[[#This Row],[Net P&amp;L %]]="","",My­_Journal[[#This Row],[Net P&amp;L %]]/Working!$Q$8)</f>
        <v>-0.96866666666666668</v>
      </c>
      <c r="AE2" s="16">
        <f>IF(My­_Journal[[#This Row],[Date]]="","",IF(ROW()&gt;2,AE1+(AD2-1),Working!$Q$10+(AD2-1)))</f>
        <v>32.698</v>
      </c>
      <c r="AF2" s="10" t="s">
        <v>36</v>
      </c>
      <c r="AH2" s="24"/>
    </row>
    <row r="3" spans="1:35" x14ac:dyDescent="0.25">
      <c r="A3" s="10">
        <f t="shared" si="0"/>
        <v>2</v>
      </c>
      <c r="B3" s="11">
        <v>45824</v>
      </c>
      <c r="C3" s="10" t="str">
        <f t="shared" si="1"/>
        <v>June</v>
      </c>
      <c r="D3" s="11">
        <v>45824</v>
      </c>
      <c r="E3" s="10" t="s">
        <v>37</v>
      </c>
      <c r="F3" s="10">
        <v>2.7</v>
      </c>
      <c r="G3" s="10" t="s">
        <v>34</v>
      </c>
      <c r="H3" s="10" t="s">
        <v>38</v>
      </c>
      <c r="I3" s="12">
        <v>42429.2</v>
      </c>
      <c r="J3" s="12">
        <v>42478.720000000001</v>
      </c>
      <c r="K3" s="12">
        <v>42379.68</v>
      </c>
      <c r="L3" s="12">
        <v>42478.720000000001</v>
      </c>
      <c r="M3" s="13">
        <f t="shared" si="2"/>
        <v>0.99999999999985312</v>
      </c>
      <c r="N3" s="14" t="str">
        <f>IF(H3="Long",IF(L3&gt;=K3,"Win",IF(L3&lt;=J3,"Loss","Manually-Closed")),IF(My­_Journal[[#This Row],[Direction]]="Short",IF(My­_Journal[[#This Row],[Exit Price]]&lt;=My­_Journal[[#This Row],[Take Profit]],"Win",IF(My­_Journal[[#This Row],[Exit Price]]&gt;=My­_Journal[[#This Row],[Stop Loss]],"Loss","Manually-Closed")),""))</f>
        <v>Loss</v>
      </c>
      <c r="O3" s="12">
        <v>138.24</v>
      </c>
      <c r="P3" s="12">
        <v>0</v>
      </c>
      <c r="Q3" s="12">
        <v>5.4</v>
      </c>
      <c r="R3" s="12">
        <f>IF(My­_Journal[[#This Row],[$ Loss]]="","",My­_Journal[[#This Row],[Net_Profit]]-My­_Journal[[#This Row],[Net_Loss]])</f>
        <v>-132.84</v>
      </c>
      <c r="S3" s="15">
        <f>IF(My­_Journal[[#This Row],[Net P&amp;L]]="","",My­_Journal[[#This Row],[Net P&amp;L]]/Working!$B$4)</f>
        <v>-1.3284E-3</v>
      </c>
      <c r="T3" s="15">
        <f>IF(I3="","",Z3/Working!$B$4)</f>
        <v>0</v>
      </c>
      <c r="U3" s="15">
        <f>IF(I3="","",(O3/Working!$B$4))</f>
        <v>1.3824E-3</v>
      </c>
      <c r="V3" s="12">
        <f>IF(My­_Journal[[#This Row],[Commison]]="","",My­_Journal[[#This Row],[Commison]])</f>
        <v>5.4</v>
      </c>
      <c r="W3" s="12">
        <f>IF(My­_Journal[[#This Row],[Date]]="","",IF(ROW()&gt;2,W2-O3+P3-My­_Journal[[#This Row],[Comission_1]],Working!B5-My­_Journal[[#This Row],[Comission_1]]+My­_Journal[[#This Row],[$ Profit]]-My­_Journal[[#This Row],[$ Loss]]))</f>
        <v>99632.86</v>
      </c>
      <c r="X3" s="12" t="str">
        <f>IF(My­_Journal[[#This Row],[Date]]="","",TEXT(My­_Journal[[#This Row],[Date]],"dd-mmm"))</f>
        <v>16-Jun</v>
      </c>
      <c r="Y3" s="10" t="str">
        <f t="shared" si="3"/>
        <v>Jun-2025</v>
      </c>
      <c r="Z3" s="17" t="str">
        <f>IF(My­_Journal[[#This Row],[$ Profit]]="","",IF(My­_Journal[[#This Row],[$ Profit]]=0, TEXT(0, "$0.00"), My­_Journal[[#This Row],[$ Profit]]-My­_Journal[[#This Row],[Comission_1]]))</f>
        <v>$0.00</v>
      </c>
      <c r="AA3" s="12">
        <f>IF(My­_Journal[[#This Row],[$ Loss]]="","",IF(My­_Journal[[#This Row],[$ Loss]]=0,0,My­_Journal[[#This Row],[$ Loss]]-My­_Journal[[#This Row],[Comission_1]]))</f>
        <v>132.84</v>
      </c>
      <c r="AB3" s="11">
        <f>IF(B3="","",_xlfn.MAXIFS(B:B,Y:Y,My­_Journal[[#This Row],[Month-Year]]))</f>
        <v>45838</v>
      </c>
      <c r="AC3" s="12">
        <f>LOOKUP(2,1/(B$2:B$1006=AB3),W$2:W$1006)</f>
        <v>97442.419999999984</v>
      </c>
      <c r="AD3" s="13">
        <f>IF(My­_Journal[[#This Row],[Net P&amp;L %]]="","",My­_Journal[[#This Row],[Net P&amp;L %]]/Working!$Q$8)</f>
        <v>-0.88559999999999994</v>
      </c>
      <c r="AE3" s="16">
        <f>IF(My­_Journal[[#This Row],[Date]]="","",IF(ROW()&gt;2,AE2+(AD3-1),Working!$Q$10+(AD3-1)))</f>
        <v>30.8124</v>
      </c>
      <c r="AF3" s="10" t="s">
        <v>36</v>
      </c>
      <c r="AH3" s="24"/>
    </row>
    <row r="4" spans="1:35" x14ac:dyDescent="0.25">
      <c r="A4" s="10">
        <f t="shared" si="0"/>
        <v>3</v>
      </c>
      <c r="B4" s="11">
        <v>45835</v>
      </c>
      <c r="C4" s="10" t="str">
        <f t="shared" si="1"/>
        <v>June</v>
      </c>
      <c r="D4" s="11">
        <v>45835</v>
      </c>
      <c r="E4" s="10" t="s">
        <v>39</v>
      </c>
      <c r="F4" s="10">
        <v>0.23</v>
      </c>
      <c r="G4" s="10" t="s">
        <v>40</v>
      </c>
      <c r="H4" s="10" t="s">
        <v>35</v>
      </c>
      <c r="I4" s="12">
        <v>3288.03</v>
      </c>
      <c r="J4" s="12">
        <v>3281.48</v>
      </c>
      <c r="K4" s="12">
        <v>3294.64</v>
      </c>
      <c r="L4" s="12">
        <v>3281.48</v>
      </c>
      <c r="M4" s="13">
        <f t="shared" ref="M4:M15" si="4">IF(AND(I4&lt;&gt;"", J4&lt;&gt;"", K4&lt;&gt;""), IF(ABS(I4 - J4)&lt;0.0001, "Invalid", ABS(K4 - I4)/ABS(I4 - J4)), "")</f>
        <v>1.0091603053434335</v>
      </c>
      <c r="N4" s="14" t="str">
        <f>IF(H4="Long",IF(L4&gt;=K4,"Win",IF(L4&lt;=J4,"Loss","Manually-Closed")),IF(My­_Journal[[#This Row],[Direction]]="Short",IF(My­_Journal[[#This Row],[Exit Price]]&lt;=My­_Journal[[#This Row],[Take Profit]],"Win",IF(My­_Journal[[#This Row],[Exit Price]]&gt;=My­_Journal[[#This Row],[Stop Loss]],"Loss","Manually-Closed")),""))</f>
        <v>Loss</v>
      </c>
      <c r="O4" s="12">
        <v>155.71</v>
      </c>
      <c r="P4" s="12">
        <v>0</v>
      </c>
      <c r="Q4" s="12">
        <v>0.46</v>
      </c>
      <c r="R4" s="12">
        <f>IF(My­_Journal[[#This Row],[$ Loss]]="","",My­_Journal[[#This Row],[Net_Profit]]-My­_Journal[[#This Row],[Net_Loss]])</f>
        <v>-155.25</v>
      </c>
      <c r="S4" s="15">
        <f>IF(My­_Journal[[#This Row],[Net P&amp;L]]="","",My­_Journal[[#This Row],[Net P&amp;L]]/Working!$B$4)</f>
        <v>-1.5525000000000001E-3</v>
      </c>
      <c r="T4" s="15">
        <f>IF(I4="","",Z4/Working!$B$4)</f>
        <v>0</v>
      </c>
      <c r="U4" s="15">
        <f>IF(I4="","",(O4/Working!$B$4))</f>
        <v>1.5571000000000001E-3</v>
      </c>
      <c r="V4" s="12">
        <f>IF(My­_Journal[[#This Row],[Commison]]="","",My­_Journal[[#This Row],[Commison]])</f>
        <v>0.46</v>
      </c>
      <c r="W4" s="12">
        <f>IF(My­_Journal[[#This Row],[Date]]="","",IF(ROW()&gt;2,W3-O4+P4-My­_Journal[[#This Row],[Comission_1]],Working!B6-My­_Journal[[#This Row],[Comission_1]]+My­_Journal[[#This Row],[$ Profit]]-My­_Journal[[#This Row],[$ Loss]]))</f>
        <v>99476.689999999988</v>
      </c>
      <c r="X4" s="12" t="str">
        <f>IF(My­_Journal[[#This Row],[Date]]="","",TEXT(My­_Journal[[#This Row],[Date]],"dd-mmm"))</f>
        <v>27-Jun</v>
      </c>
      <c r="Y4" s="10" t="str">
        <f t="shared" si="3"/>
        <v>Jun-2025</v>
      </c>
      <c r="Z4" s="17" t="str">
        <f>IF(My­_Journal[[#This Row],[$ Profit]]="","",IF(My­_Journal[[#This Row],[$ Profit]]=0, TEXT(0, "$0.00"), My­_Journal[[#This Row],[$ Profit]]-My­_Journal[[#This Row],[Comission_1]]))</f>
        <v>$0.00</v>
      </c>
      <c r="AA4" s="12">
        <f>IF(My­_Journal[[#This Row],[$ Loss]]="","",IF(My­_Journal[[#This Row],[$ Loss]]=0,0,My­_Journal[[#This Row],[$ Loss]]-My­_Journal[[#This Row],[Comission_1]]))</f>
        <v>155.25</v>
      </c>
      <c r="AB4" s="11">
        <f>IF(B4="","",_xlfn.MAXIFS(B:B,Y:Y,My­_Journal[[#This Row],[Month-Year]]))</f>
        <v>45838</v>
      </c>
      <c r="AC4" s="12">
        <f>LOOKUP(2,1/(B$2:B$1006=AB4),W$2:W$1006)</f>
        <v>97442.419999999984</v>
      </c>
      <c r="AD4" s="13">
        <f>IF(My­_Journal[[#This Row],[Net P&amp;L %]]="","",My­_Journal[[#This Row],[Net P&amp;L %]]/Working!$Q$8)</f>
        <v>-1.0349999999999999</v>
      </c>
      <c r="AE4" s="16">
        <f>IF(My­_Journal[[#This Row],[Date]]="","",IF(ROW()&gt;2,AE3+(AD4-1),Working!$Q$10+(AD4-1)))</f>
        <v>28.7774</v>
      </c>
      <c r="AF4" s="10" t="s">
        <v>36</v>
      </c>
    </row>
    <row r="5" spans="1:35" x14ac:dyDescent="0.25">
      <c r="A5" s="10">
        <f t="shared" si="0"/>
        <v>4</v>
      </c>
      <c r="B5" s="11">
        <v>45835</v>
      </c>
      <c r="C5" s="10" t="str">
        <f t="shared" si="1"/>
        <v>June</v>
      </c>
      <c r="D5" s="11">
        <v>45835</v>
      </c>
      <c r="E5" s="10" t="s">
        <v>39</v>
      </c>
      <c r="F5" s="10">
        <v>0.46</v>
      </c>
      <c r="G5" s="10" t="s">
        <v>40</v>
      </c>
      <c r="H5" s="10" t="s">
        <v>35</v>
      </c>
      <c r="I5" s="12">
        <v>3286.57</v>
      </c>
      <c r="J5" s="12">
        <v>3279.37</v>
      </c>
      <c r="K5" s="12">
        <v>3293.5</v>
      </c>
      <c r="L5" s="12">
        <v>3279.37</v>
      </c>
      <c r="M5" s="13">
        <f t="shared" si="4"/>
        <v>0.96249999999994074</v>
      </c>
      <c r="N5" s="14" t="str">
        <f>IF(H5="Long",IF(L5&gt;=K5,"Win",IF(L5&lt;=J5,"Loss","Manually-Closed")),IF(My­_Journal[[#This Row],[Direction]]="Short",IF(My­_Journal[[#This Row],[Exit Price]]&lt;=My­_Journal[[#This Row],[Take Profit]],"Win",IF(My­_Journal[[#This Row],[Exit Price]]&gt;=My­_Journal[[#This Row],[Stop Loss]],"Loss","Manually-Closed")),""))</f>
        <v>Loss</v>
      </c>
      <c r="O5" s="12">
        <v>354.66</v>
      </c>
      <c r="P5" s="12">
        <v>0</v>
      </c>
      <c r="Q5" s="12">
        <v>0.92</v>
      </c>
      <c r="R5" s="12">
        <f>IF(My­_Journal[[#This Row],[$ Loss]]="","",My­_Journal[[#This Row],[Net_Profit]]-My­_Journal[[#This Row],[Net_Loss]])</f>
        <v>-353.74</v>
      </c>
      <c r="S5" s="15">
        <f>IF(My­_Journal[[#This Row],[Net P&amp;L]]="","",My­_Journal[[#This Row],[Net P&amp;L]]/Working!$B$4)</f>
        <v>-3.5374E-3</v>
      </c>
      <c r="T5" s="15">
        <f>IF(I5="","",Z5/Working!$B$4)</f>
        <v>0</v>
      </c>
      <c r="U5" s="15">
        <f>IF(I5="","",(O5/Working!$B$4))</f>
        <v>3.5466000000000004E-3</v>
      </c>
      <c r="V5" s="12">
        <f>IF(My­_Journal[[#This Row],[Commison]]="","",My­_Journal[[#This Row],[Commison]])</f>
        <v>0.92</v>
      </c>
      <c r="W5" s="12">
        <f>IF(My­_Journal[[#This Row],[Date]]="","",IF(ROW()&gt;2,W4-O5+P5-My­_Journal[[#This Row],[Comission_1]],Working!B7-My­_Journal[[#This Row],[Comission_1]]+My­_Journal[[#This Row],[$ Profit]]-My­_Journal[[#This Row],[$ Loss]]))</f>
        <v>99121.109999999986</v>
      </c>
      <c r="X5" s="12" t="str">
        <f>IF(My­_Journal[[#This Row],[Date]]="","",TEXT(My­_Journal[[#This Row],[Date]],"dd-mmm"))</f>
        <v>27-Jun</v>
      </c>
      <c r="Y5" s="10" t="str">
        <f t="shared" si="3"/>
        <v>Jun-2025</v>
      </c>
      <c r="Z5" s="17" t="str">
        <f>IF(My­_Journal[[#This Row],[$ Profit]]="","",IF(My­_Journal[[#This Row],[$ Profit]]=0, TEXT(0, "$0.00"), My­_Journal[[#This Row],[$ Profit]]-My­_Journal[[#This Row],[Comission_1]]))</f>
        <v>$0.00</v>
      </c>
      <c r="AA5" s="12">
        <f>IF(My­_Journal[[#This Row],[$ Loss]]="","",IF(My­_Journal[[#This Row],[$ Loss]]=0,0,My­_Journal[[#This Row],[$ Loss]]-My­_Journal[[#This Row],[Comission_1]]))</f>
        <v>353.74</v>
      </c>
      <c r="AB5" s="11">
        <f>IF(B5="","",_xlfn.MAXIFS(B:B,Y:Y,My­_Journal[[#This Row],[Month-Year]]))</f>
        <v>45838</v>
      </c>
      <c r="AC5" s="12">
        <f>LOOKUP(2,1/(B$2:B$1006=AB5),W$2:W$1006)</f>
        <v>97442.419999999984</v>
      </c>
      <c r="AD5" s="13">
        <f>IF(My­_Journal[[#This Row],[Net P&amp;L %]]="","",My­_Journal[[#This Row],[Net P&amp;L %]]/Working!$Q$8)</f>
        <v>-2.3582666666666667</v>
      </c>
      <c r="AE5" s="16">
        <f>IF(My­_Journal[[#This Row],[Date]]="","",IF(ROW()&gt;2,AE4+(AD5-1),Working!$Q$10+(AD5-1)))</f>
        <v>25.419133333333335</v>
      </c>
      <c r="AF5" s="10" t="s">
        <v>36</v>
      </c>
    </row>
    <row r="6" spans="1:35" x14ac:dyDescent="0.25">
      <c r="A6" s="10">
        <f t="shared" si="0"/>
        <v>5</v>
      </c>
      <c r="B6" s="11">
        <v>45835</v>
      </c>
      <c r="C6" s="10" t="str">
        <f t="shared" si="1"/>
        <v>June</v>
      </c>
      <c r="D6" s="11">
        <v>45835</v>
      </c>
      <c r="E6" s="10" t="s">
        <v>39</v>
      </c>
      <c r="F6" s="10">
        <v>0.98</v>
      </c>
      <c r="G6" s="10" t="s">
        <v>40</v>
      </c>
      <c r="H6" s="10" t="s">
        <v>35</v>
      </c>
      <c r="I6" s="12">
        <v>3281.63</v>
      </c>
      <c r="J6" s="12">
        <v>3275.59</v>
      </c>
      <c r="K6" s="12">
        <v>3287.65</v>
      </c>
      <c r="L6" s="12">
        <v>3275.59</v>
      </c>
      <c r="M6" s="13">
        <f t="shared" si="4"/>
        <v>0.99668874172185729</v>
      </c>
      <c r="N6" s="14" t="str">
        <f>IF(H6="Long",IF(L6&gt;=K6,"Win",IF(L6&lt;=J6,"Loss","Manually-Closed")),IF(My­_Journal[[#This Row],[Direction]]="Short",IF(My­_Journal[[#This Row],[Exit Price]]&lt;=My­_Journal[[#This Row],[Take Profit]],"Win",IF(My­_Journal[[#This Row],[Exit Price]]&gt;=My­_Journal[[#This Row],[Stop Loss]],"Loss","Manually-Closed")),""))</f>
        <v>Loss</v>
      </c>
      <c r="O6" s="12">
        <v>655.62</v>
      </c>
      <c r="P6" s="12">
        <v>0</v>
      </c>
      <c r="Q6" s="12">
        <v>1.96</v>
      </c>
      <c r="R6" s="12">
        <f>IF(My­_Journal[[#This Row],[$ Loss]]="","",My­_Journal[[#This Row],[Net_Profit]]-My­_Journal[[#This Row],[Net_Loss]])</f>
        <v>-653.66</v>
      </c>
      <c r="S6" s="15">
        <f>IF(My­_Journal[[#This Row],[Net P&amp;L]]="","",My­_Journal[[#This Row],[Net P&amp;L]]/Working!$B$4)</f>
        <v>-6.5366E-3</v>
      </c>
      <c r="T6" s="15">
        <f>IF(I6="","",Z6/Working!$B$4)</f>
        <v>0</v>
      </c>
      <c r="U6" s="15">
        <f>IF(I6="","",(O6/Working!$B$4))</f>
        <v>6.5561999999999999E-3</v>
      </c>
      <c r="V6" s="12">
        <f>IF(My­_Journal[[#This Row],[Commison]]="","",My­_Journal[[#This Row],[Commison]])</f>
        <v>1.96</v>
      </c>
      <c r="W6" s="12">
        <f>IF(My­_Journal[[#This Row],[Date]]="","",IF(ROW()&gt;2,W5-O6+P6-My­_Journal[[#This Row],[Comission_1]],Working!B8-My­_Journal[[#This Row],[Comission_1]]+My­_Journal[[#This Row],[$ Profit]]-My­_Journal[[#This Row],[$ Loss]]))</f>
        <v>98463.529999999984</v>
      </c>
      <c r="X6" s="12" t="str">
        <f>IF(My­_Journal[[#This Row],[Date]]="","",TEXT(My­_Journal[[#This Row],[Date]],"dd-mmm"))</f>
        <v>27-Jun</v>
      </c>
      <c r="Y6" s="10" t="str">
        <f t="shared" si="3"/>
        <v>Jun-2025</v>
      </c>
      <c r="Z6" s="17" t="str">
        <f>IF(My­_Journal[[#This Row],[$ Profit]]="","",IF(My­_Journal[[#This Row],[$ Profit]]=0, TEXT(0, "$0.00"), My­_Journal[[#This Row],[$ Profit]]-My­_Journal[[#This Row],[Comission_1]]))</f>
        <v>$0.00</v>
      </c>
      <c r="AA6" s="12">
        <f>IF(My­_Journal[[#This Row],[$ Loss]]="","",IF(My­_Journal[[#This Row],[$ Loss]]=0,0,My­_Journal[[#This Row],[$ Loss]]-My­_Journal[[#This Row],[Comission_1]]))</f>
        <v>653.66</v>
      </c>
      <c r="AB6" s="11">
        <f>IF(B6="","",_xlfn.MAXIFS(B:B,Y:Y,My­_Journal[[#This Row],[Month-Year]]))</f>
        <v>45838</v>
      </c>
      <c r="AC6" s="12">
        <f>LOOKUP(2,1/(B$2:B$1006=AB6),W$2:W$1006)</f>
        <v>97442.419999999984</v>
      </c>
      <c r="AD6" s="13">
        <f>IF(My­_Journal[[#This Row],[Net P&amp;L %]]="","",My­_Journal[[#This Row],[Net P&amp;L %]]/Working!$Q$8)</f>
        <v>-4.357733333333333</v>
      </c>
      <c r="AE6" s="16">
        <f>IF(My­_Journal[[#This Row],[Date]]="","",IF(ROW()&gt;2,AE5+(AD6-1),Working!$Q$10+(AD6-1)))</f>
        <v>20.061400000000003</v>
      </c>
      <c r="AF6" s="10" t="s">
        <v>36</v>
      </c>
    </row>
    <row r="7" spans="1:35" x14ac:dyDescent="0.25">
      <c r="A7" s="10">
        <f t="shared" si="0"/>
        <v>6</v>
      </c>
      <c r="B7" s="11">
        <v>45835</v>
      </c>
      <c r="C7" s="10" t="str">
        <f t="shared" si="1"/>
        <v>June</v>
      </c>
      <c r="D7" s="11">
        <v>45835</v>
      </c>
      <c r="E7" s="10" t="s">
        <v>41</v>
      </c>
      <c r="F7" s="10">
        <v>0.69</v>
      </c>
      <c r="G7" s="10" t="s">
        <v>40</v>
      </c>
      <c r="H7" s="10" t="s">
        <v>35</v>
      </c>
      <c r="I7" s="12">
        <v>0.79735</v>
      </c>
      <c r="J7" s="12">
        <v>0.79568000000000005</v>
      </c>
      <c r="K7" s="12">
        <v>0.79908000000000001</v>
      </c>
      <c r="L7" s="12">
        <v>0.79908000000000001</v>
      </c>
      <c r="M7" s="13">
        <f t="shared" si="4"/>
        <v>1.0359281437126118</v>
      </c>
      <c r="N7" s="14" t="str">
        <f>IF(H7="Long",IF(L7&gt;=K7,"Win",IF(L7&lt;=J7,"Loss","Manually-Closed")),IF(My­_Journal[[#This Row],[Direction]]="Short",IF(My­_Journal[[#This Row],[Exit Price]]&lt;=My­_Journal[[#This Row],[Take Profit]],"Win",IF(My­_Journal[[#This Row],[Exit Price]]&gt;=My­_Journal[[#This Row],[Stop Loss]],"Loss","Manually-Closed")),""))</f>
        <v>Win</v>
      </c>
      <c r="O7" s="12">
        <v>0</v>
      </c>
      <c r="P7" s="12">
        <v>149.38</v>
      </c>
      <c r="Q7" s="12">
        <v>3.45</v>
      </c>
      <c r="R7" s="12">
        <f>IF(My­_Journal[[#This Row],[$ Loss]]="","",My­_Journal[[#This Row],[Net_Profit]]-My­_Journal[[#This Row],[Net_Loss]])</f>
        <v>145.93</v>
      </c>
      <c r="S7" s="15">
        <f>IF(My­_Journal[[#This Row],[Net P&amp;L]]="","",My­_Journal[[#This Row],[Net P&amp;L]]/Working!$B$4)</f>
        <v>1.4593E-3</v>
      </c>
      <c r="T7" s="15">
        <f>IF(I7="","",Z7/Working!$B$4)</f>
        <v>1.4593E-3</v>
      </c>
      <c r="U7" s="15">
        <f>IF(I7="","",(O7/Working!$B$4))</f>
        <v>0</v>
      </c>
      <c r="V7" s="12">
        <f>IF(My­_Journal[[#This Row],[Commison]]="","",My­_Journal[[#This Row],[Commison]])</f>
        <v>3.45</v>
      </c>
      <c r="W7" s="12">
        <f>IF(My­_Journal[[#This Row],[Date]]="","",IF(ROW()&gt;2,W6-O7+P7-My­_Journal[[#This Row],[Comission_1]],Working!B9-My­_Journal[[#This Row],[Comission_1]]+My­_Journal[[#This Row],[$ Profit]]-My­_Journal[[#This Row],[$ Loss]]))</f>
        <v>98609.459999999992</v>
      </c>
      <c r="X7" s="12" t="str">
        <f>IF(My­_Journal[[#This Row],[Date]]="","",TEXT(My­_Journal[[#This Row],[Date]],"dd-mmm"))</f>
        <v>27-Jun</v>
      </c>
      <c r="Y7" s="10" t="str">
        <f t="shared" si="3"/>
        <v>Jun-2025</v>
      </c>
      <c r="Z7" s="17">
        <f>IF(My­_Journal[[#This Row],[$ Profit]]="","",IF(My­_Journal[[#This Row],[$ Profit]]=0, TEXT(0, "$0.00"), My­_Journal[[#This Row],[$ Profit]]-My­_Journal[[#This Row],[Comission_1]]))</f>
        <v>145.93</v>
      </c>
      <c r="AA7" s="12">
        <f>IF(My­_Journal[[#This Row],[$ Loss]]="","",IF(My­_Journal[[#This Row],[$ Loss]]=0,0,My­_Journal[[#This Row],[$ Loss]]-My­_Journal[[#This Row],[Comission_1]]))</f>
        <v>0</v>
      </c>
      <c r="AB7" s="11">
        <f>IF(B7="","",_xlfn.MAXIFS(B:B,Y:Y,My­_Journal[[#This Row],[Month-Year]]))</f>
        <v>45838</v>
      </c>
      <c r="AC7" s="12">
        <f>LOOKUP(2,1/(B$2:B$1006=AB7),W$2:W$1006)</f>
        <v>97442.419999999984</v>
      </c>
      <c r="AD7" s="13">
        <f>IF(My­_Journal[[#This Row],[Net P&amp;L %]]="","",My­_Journal[[#This Row],[Net P&amp;L %]]/Working!$Q$8)</f>
        <v>0.97286666666666666</v>
      </c>
      <c r="AE7" s="16">
        <f>IF(My­_Journal[[#This Row],[Date]]="","",IF(ROW()&gt;2,AE6+(AD7-1),Working!$Q$10+(AD7-1)))</f>
        <v>20.034266666666671</v>
      </c>
      <c r="AF7" s="10" t="s">
        <v>36</v>
      </c>
      <c r="AI7" s="2"/>
    </row>
    <row r="8" spans="1:35" x14ac:dyDescent="0.25">
      <c r="A8" s="10">
        <f t="shared" si="0"/>
        <v>7</v>
      </c>
      <c r="B8" s="11">
        <v>45835</v>
      </c>
      <c r="C8" s="10" t="str">
        <f t="shared" si="1"/>
        <v>June</v>
      </c>
      <c r="D8" s="11">
        <v>45835</v>
      </c>
      <c r="E8" s="10" t="s">
        <v>42</v>
      </c>
      <c r="F8" s="10">
        <v>1.97</v>
      </c>
      <c r="G8" s="10" t="s">
        <v>34</v>
      </c>
      <c r="H8" s="10" t="s">
        <v>38</v>
      </c>
      <c r="I8" s="12">
        <v>42429.2</v>
      </c>
      <c r="J8" s="12">
        <v>42478.720000000001</v>
      </c>
      <c r="K8" s="12">
        <v>42379.68</v>
      </c>
      <c r="L8" s="12">
        <v>42478.720000000001</v>
      </c>
      <c r="M8" s="13">
        <f t="shared" si="4"/>
        <v>0.99999999999985312</v>
      </c>
      <c r="N8" s="14" t="str">
        <f>IF(H8="Long",IF(L8&gt;=K8,"Win",IF(L8&lt;=J8,"Loss","Manually-Closed")),IF(My­_Journal[[#This Row],[Direction]]="Short",IF(My­_Journal[[#This Row],[Exit Price]]&lt;=My­_Journal[[#This Row],[Take Profit]],"Win",IF(My­_Journal[[#This Row],[Exit Price]]&gt;=My­_Journal[[#This Row],[Stop Loss]],"Loss","Manually-Closed")),""))</f>
        <v>Loss</v>
      </c>
      <c r="O8" s="12">
        <v>138.24</v>
      </c>
      <c r="P8" s="12">
        <v>0</v>
      </c>
      <c r="Q8" s="12">
        <v>5.4</v>
      </c>
      <c r="R8" s="12">
        <f>IF(My­_Journal[[#This Row],[$ Loss]]="","",My­_Journal[[#This Row],[Net_Profit]]-My­_Journal[[#This Row],[Net_Loss]])</f>
        <v>-132.84</v>
      </c>
      <c r="S8" s="15">
        <f>IF(My­_Journal[[#This Row],[Net P&amp;L]]="","",My­_Journal[[#This Row],[Net P&amp;L]]/Working!$B$4)</f>
        <v>-1.3284E-3</v>
      </c>
      <c r="T8" s="15">
        <f>IF(I8="","",Z8/Working!$B$4)</f>
        <v>0</v>
      </c>
      <c r="U8" s="15">
        <f>IF(I8="","",(O8/Working!$B$4))</f>
        <v>1.3824E-3</v>
      </c>
      <c r="V8" s="12">
        <f>IF(My­_Journal[[#This Row],[Commison]]="","",My­_Journal[[#This Row],[Commison]])</f>
        <v>5.4</v>
      </c>
      <c r="W8" s="12">
        <f>IF(My­_Journal[[#This Row],[Date]]="","",IF(ROW()&gt;2,W7-O8+P8-My­_Journal[[#This Row],[Comission_1]],Working!B10-My­_Journal[[#This Row],[Comission_1]]+My­_Journal[[#This Row],[$ Profit]]-My­_Journal[[#This Row],[$ Loss]]))</f>
        <v>98465.819999999992</v>
      </c>
      <c r="X8" s="12" t="str">
        <f>IF(My­_Journal[[#This Row],[Date]]="","",TEXT(My­_Journal[[#This Row],[Date]],"dd-mmm"))</f>
        <v>27-Jun</v>
      </c>
      <c r="Y8" s="10" t="str">
        <f t="shared" ref="Y8:Y12" si="5">IF(B8="","",TEXT(B8,"mmm-yyyy"))</f>
        <v>Jun-2025</v>
      </c>
      <c r="Z8" s="17" t="str">
        <f>IF(My­_Journal[[#This Row],[$ Profit]]="","",IF(My­_Journal[[#This Row],[$ Profit]]=0, TEXT(0, "$0.00"), My­_Journal[[#This Row],[$ Profit]]-My­_Journal[[#This Row],[Comission_1]]))</f>
        <v>$0.00</v>
      </c>
      <c r="AA8" s="12">
        <f>IF(My­_Journal[[#This Row],[$ Loss]]="","",IF(My­_Journal[[#This Row],[$ Loss]]=0,0,My­_Journal[[#This Row],[$ Loss]]-My­_Journal[[#This Row],[Comission_1]]))</f>
        <v>132.84</v>
      </c>
      <c r="AB8" s="11">
        <f>IF(B8="","",_xlfn.MAXIFS(B:B,Y:Y,My­_Journal[[#This Row],[Month-Year]]))</f>
        <v>45838</v>
      </c>
      <c r="AC8" s="12">
        <f>LOOKUP(2,1/(B$2:B$1006=AB8),W$2:W$1006)</f>
        <v>97442.419999999984</v>
      </c>
      <c r="AD8" s="13">
        <f>IF(My­_Journal[[#This Row],[Net P&amp;L %]]="","",My­_Journal[[#This Row],[Net P&amp;L %]]/Working!$Q$8)</f>
        <v>-0.88559999999999994</v>
      </c>
      <c r="AE8" s="16">
        <f>IF(My­_Journal[[#This Row],[Date]]="","",IF(ROW()&gt;2,AE7+(AD8-1),Working!$Q$10+(AD8-1)))</f>
        <v>18.148666666666671</v>
      </c>
      <c r="AF8" s="10" t="s">
        <v>36</v>
      </c>
    </row>
    <row r="9" spans="1:35" x14ac:dyDescent="0.25">
      <c r="A9" s="10">
        <f t="shared" si="0"/>
        <v>8</v>
      </c>
      <c r="B9" s="11">
        <v>45835</v>
      </c>
      <c r="C9" s="10" t="str">
        <f t="shared" si="1"/>
        <v>June</v>
      </c>
      <c r="D9" s="11">
        <v>45835</v>
      </c>
      <c r="E9" s="10" t="s">
        <v>43</v>
      </c>
      <c r="F9" s="10">
        <v>2.73</v>
      </c>
      <c r="G9" s="10" t="s">
        <v>34</v>
      </c>
      <c r="H9" s="10" t="s">
        <v>35</v>
      </c>
      <c r="I9" s="12">
        <v>3288.03</v>
      </c>
      <c r="J9" s="12">
        <v>3281.48</v>
      </c>
      <c r="K9" s="12">
        <v>3294.64</v>
      </c>
      <c r="L9" s="12">
        <v>3281.48</v>
      </c>
      <c r="M9" s="13">
        <f t="shared" ref="M9:M12" si="6">IF(AND(I9&lt;&gt;"", J9&lt;&gt;"", K9&lt;&gt;""), IF(ABS(I9 - J9)&lt;0.0001, "Invalid", ABS(K9 - I9)/ABS(I9 - J9)), "")</f>
        <v>1.0091603053434335</v>
      </c>
      <c r="N9" s="14" t="str">
        <f>IF(H9="Long",IF(L9&gt;=K9,"Win",IF(L9&lt;=J9,"Loss","Manually-Closed")),IF(My­_Journal[[#This Row],[Direction]]="Short",IF(My­_Journal[[#This Row],[Exit Price]]&lt;=My­_Journal[[#This Row],[Take Profit]],"Win",IF(My­_Journal[[#This Row],[Exit Price]]&gt;=My­_Journal[[#This Row],[Stop Loss]],"Loss","Manually-Closed")),""))</f>
        <v>Loss</v>
      </c>
      <c r="O9" s="12">
        <v>155.71</v>
      </c>
      <c r="P9" s="12">
        <v>0</v>
      </c>
      <c r="Q9" s="12">
        <v>0.46</v>
      </c>
      <c r="R9" s="12">
        <f>IF(My­_Journal[[#This Row],[$ Loss]]="","",My­_Journal[[#This Row],[Net_Profit]]-My­_Journal[[#This Row],[Net_Loss]])</f>
        <v>-155.25</v>
      </c>
      <c r="S9" s="15">
        <f>IF(My­_Journal[[#This Row],[Net P&amp;L]]="","",My­_Journal[[#This Row],[Net P&amp;L]]/Working!$B$4)</f>
        <v>-1.5525000000000001E-3</v>
      </c>
      <c r="T9" s="15">
        <f>IF(I9="","",Z9/Working!$B$4)</f>
        <v>0</v>
      </c>
      <c r="U9" s="15">
        <f>IF(I9="","",(O9/Working!$B$4))</f>
        <v>1.5571000000000001E-3</v>
      </c>
      <c r="V9" s="12">
        <f>IF(My­_Journal[[#This Row],[Commison]]="","",My­_Journal[[#This Row],[Commison]])</f>
        <v>0.46</v>
      </c>
      <c r="W9" s="12">
        <f>IF(My­_Journal[[#This Row],[Date]]="","",IF(ROW()&gt;2,W8-O9+P9-My­_Journal[[#This Row],[Comission_1]],Working!B11-My­_Journal[[#This Row],[Comission_1]]+My­_Journal[[#This Row],[$ Profit]]-My­_Journal[[#This Row],[$ Loss]]))</f>
        <v>98309.64999999998</v>
      </c>
      <c r="X9" s="12" t="str">
        <f>IF(My­_Journal[[#This Row],[Date]]="","",TEXT(My­_Journal[[#This Row],[Date]],"dd-mmm"))</f>
        <v>27-Jun</v>
      </c>
      <c r="Y9" s="10" t="str">
        <f t="shared" si="5"/>
        <v>Jun-2025</v>
      </c>
      <c r="Z9" s="17" t="str">
        <f>IF(My­_Journal[[#This Row],[$ Profit]]="","",IF(My­_Journal[[#This Row],[$ Profit]]=0, TEXT(0, "$0.00"), My­_Journal[[#This Row],[$ Profit]]-My­_Journal[[#This Row],[Comission_1]]))</f>
        <v>$0.00</v>
      </c>
      <c r="AA9" s="12">
        <f>IF(My­_Journal[[#This Row],[$ Loss]]="","",IF(My­_Journal[[#This Row],[$ Loss]]=0,0,My­_Journal[[#This Row],[$ Loss]]-My­_Journal[[#This Row],[Comission_1]]))</f>
        <v>155.25</v>
      </c>
      <c r="AB9" s="11">
        <f>IF(B9="","",_xlfn.MAXIFS(B:B,Y:Y,My­_Journal[[#This Row],[Month-Year]]))</f>
        <v>45838</v>
      </c>
      <c r="AC9" s="12">
        <f>LOOKUP(2,1/(B$2:B$1006=AB9),W$2:W$1006)</f>
        <v>97442.419999999984</v>
      </c>
      <c r="AD9" s="13">
        <f>IF(My­_Journal[[#This Row],[Net P&amp;L %]]="","",My­_Journal[[#This Row],[Net P&amp;L %]]/Working!$Q$8)</f>
        <v>-1.0349999999999999</v>
      </c>
      <c r="AE9" s="16">
        <f>IF(My­_Journal[[#This Row],[Date]]="","",IF(ROW()&gt;2,AE8+(AD9-1),Working!$Q$10+(AD9-1)))</f>
        <v>16.113666666666671</v>
      </c>
      <c r="AF9" s="10" t="s">
        <v>36</v>
      </c>
    </row>
    <row r="10" spans="1:35" x14ac:dyDescent="0.25">
      <c r="A10" s="10">
        <f t="shared" si="0"/>
        <v>9</v>
      </c>
      <c r="B10" s="11">
        <v>45835</v>
      </c>
      <c r="C10" s="10" t="str">
        <f t="shared" si="1"/>
        <v>June</v>
      </c>
      <c r="D10" s="11">
        <v>45835</v>
      </c>
      <c r="E10" s="10" t="s">
        <v>39</v>
      </c>
      <c r="F10" s="10">
        <v>0.59</v>
      </c>
      <c r="G10" s="10" t="s">
        <v>40</v>
      </c>
      <c r="H10" s="10" t="s">
        <v>35</v>
      </c>
      <c r="I10" s="12">
        <v>3286.57</v>
      </c>
      <c r="J10" s="12">
        <v>3279.37</v>
      </c>
      <c r="K10" s="12">
        <v>3293.5</v>
      </c>
      <c r="L10" s="12">
        <v>3279.37</v>
      </c>
      <c r="M10" s="13">
        <f t="shared" si="6"/>
        <v>0.96249999999994074</v>
      </c>
      <c r="N10" s="14" t="str">
        <f>IF(H10="Long",IF(L10&gt;=K10,"Win",IF(L10&lt;=J10,"Loss","Manually-Closed")),IF(My­_Journal[[#This Row],[Direction]]="Short",IF(My­_Journal[[#This Row],[Exit Price]]&lt;=My­_Journal[[#This Row],[Take Profit]],"Win",IF(My­_Journal[[#This Row],[Exit Price]]&gt;=My­_Journal[[#This Row],[Stop Loss]],"Loss","Manually-Closed")),""))</f>
        <v>Loss</v>
      </c>
      <c r="O10" s="12">
        <v>354.66</v>
      </c>
      <c r="P10" s="12">
        <v>0</v>
      </c>
      <c r="Q10" s="12">
        <v>0.92</v>
      </c>
      <c r="R10" s="12">
        <f>IF(My­_Journal[[#This Row],[$ Loss]]="","",My­_Journal[[#This Row],[Net_Profit]]-My­_Journal[[#This Row],[Net_Loss]])</f>
        <v>-353.74</v>
      </c>
      <c r="S10" s="15">
        <f>IF(My­_Journal[[#This Row],[Net P&amp;L]]="","",My­_Journal[[#This Row],[Net P&amp;L]]/Working!$B$4)</f>
        <v>-3.5374E-3</v>
      </c>
      <c r="T10" s="15">
        <f>IF(I10="","",Z10/Working!$B$4)</f>
        <v>0</v>
      </c>
      <c r="U10" s="15">
        <f>IF(I10="","",(O10/Working!$B$4))</f>
        <v>3.5466000000000004E-3</v>
      </c>
      <c r="V10" s="12">
        <f>IF(My­_Journal[[#This Row],[Commison]]="","",My­_Journal[[#This Row],[Commison]])</f>
        <v>0.92</v>
      </c>
      <c r="W10" s="12">
        <f>IF(My­_Journal[[#This Row],[Date]]="","",IF(ROW()&gt;2,W9-O10+P10-My­_Journal[[#This Row],[Comission_1]],Working!B12-My­_Journal[[#This Row],[Comission_1]]+My­_Journal[[#This Row],[$ Profit]]-My­_Journal[[#This Row],[$ Loss]]))</f>
        <v>97954.069999999978</v>
      </c>
      <c r="X10" s="12" t="str">
        <f>IF(My­_Journal[[#This Row],[Date]]="","",TEXT(My­_Journal[[#This Row],[Date]],"dd-mmm"))</f>
        <v>27-Jun</v>
      </c>
      <c r="Y10" s="10" t="str">
        <f t="shared" si="5"/>
        <v>Jun-2025</v>
      </c>
      <c r="Z10" s="17" t="str">
        <f>IF(My­_Journal[[#This Row],[$ Profit]]="","",IF(My­_Journal[[#This Row],[$ Profit]]=0, TEXT(0, "$0.00"), My­_Journal[[#This Row],[$ Profit]]-My­_Journal[[#This Row],[Comission_1]]))</f>
        <v>$0.00</v>
      </c>
      <c r="AA10" s="12">
        <f>IF(My­_Journal[[#This Row],[$ Loss]]="","",IF(My­_Journal[[#This Row],[$ Loss]]=0,0,My­_Journal[[#This Row],[$ Loss]]-My­_Journal[[#This Row],[Comission_1]]))</f>
        <v>353.74</v>
      </c>
      <c r="AB10" s="11">
        <f>IF(B10="","",_xlfn.MAXIFS(B:B,Y:Y,My­_Journal[[#This Row],[Month-Year]]))</f>
        <v>45838</v>
      </c>
      <c r="AC10" s="12">
        <f>LOOKUP(2,1/(B$2:B$1006=AB10),W$2:W$1006)</f>
        <v>97442.419999999984</v>
      </c>
      <c r="AD10" s="13">
        <f>IF(My­_Journal[[#This Row],[Net P&amp;L %]]="","",My­_Journal[[#This Row],[Net P&amp;L %]]/Working!$Q$8)</f>
        <v>-2.3582666666666667</v>
      </c>
      <c r="AE10" s="16">
        <f>IF(My­_Journal[[#This Row],[Date]]="","",IF(ROW()&gt;2,AE9+(AD10-1),Working!$Q$10+(AD10-1)))</f>
        <v>12.755400000000003</v>
      </c>
      <c r="AF10" s="10" t="s">
        <v>36</v>
      </c>
    </row>
    <row r="11" spans="1:35" x14ac:dyDescent="0.25">
      <c r="A11" s="10">
        <f t="shared" si="0"/>
        <v>10</v>
      </c>
      <c r="B11" s="11">
        <v>45838</v>
      </c>
      <c r="C11" s="10" t="str">
        <f t="shared" si="1"/>
        <v>June</v>
      </c>
      <c r="D11" s="11">
        <v>45838</v>
      </c>
      <c r="E11" s="10" t="s">
        <v>39</v>
      </c>
      <c r="F11" s="10">
        <v>0.5</v>
      </c>
      <c r="G11" s="10" t="s">
        <v>40</v>
      </c>
      <c r="H11" s="10" t="s">
        <v>35</v>
      </c>
      <c r="I11" s="12">
        <v>3281.63</v>
      </c>
      <c r="J11" s="12">
        <v>3275.59</v>
      </c>
      <c r="K11" s="12">
        <v>3287.65</v>
      </c>
      <c r="L11" s="12">
        <v>3275.59</v>
      </c>
      <c r="M11" s="13">
        <f t="shared" si="6"/>
        <v>0.99668874172185729</v>
      </c>
      <c r="N11" s="14" t="str">
        <f>IF(H11="Long",IF(L11&gt;=K11,"Win",IF(L11&lt;=J11,"Loss","Manually-Closed")),IF(My­_Journal[[#This Row],[Direction]]="Short",IF(My­_Journal[[#This Row],[Exit Price]]&lt;=My­_Journal[[#This Row],[Take Profit]],"Win",IF(My­_Journal[[#This Row],[Exit Price]]&gt;=My­_Journal[[#This Row],[Stop Loss]],"Loss","Manually-Closed")),""))</f>
        <v>Loss</v>
      </c>
      <c r="O11" s="12">
        <v>655.62</v>
      </c>
      <c r="P11" s="12">
        <v>0</v>
      </c>
      <c r="Q11" s="12">
        <v>1.96</v>
      </c>
      <c r="R11" s="12">
        <f>IF(My­_Journal[[#This Row],[$ Loss]]="","",My­_Journal[[#This Row],[Net_Profit]]-My­_Journal[[#This Row],[Net_Loss]])</f>
        <v>-653.66</v>
      </c>
      <c r="S11" s="15">
        <f>IF(My­_Journal[[#This Row],[Net P&amp;L]]="","",My­_Journal[[#This Row],[Net P&amp;L]]/Working!$B$4)</f>
        <v>-6.5366E-3</v>
      </c>
      <c r="T11" s="15">
        <f>IF(I11="","",Z11/Working!$B$4)</f>
        <v>0</v>
      </c>
      <c r="U11" s="15">
        <f>IF(I11="","",(O11/Working!$B$4))</f>
        <v>6.5561999999999999E-3</v>
      </c>
      <c r="V11" s="12">
        <f>IF(My­_Journal[[#This Row],[Commison]]="","",My­_Journal[[#This Row],[Commison]])</f>
        <v>1.96</v>
      </c>
      <c r="W11" s="12">
        <f>IF(My­_Journal[[#This Row],[Date]]="","",IF(ROW()&gt;2,W10-O11+P11-My­_Journal[[#This Row],[Comission_1]],Working!B13-My­_Journal[[#This Row],[Comission_1]]+My­_Journal[[#This Row],[$ Profit]]-My­_Journal[[#This Row],[$ Loss]]))</f>
        <v>97296.489999999976</v>
      </c>
      <c r="X11" s="12" t="str">
        <f>IF(My­_Journal[[#This Row],[Date]]="","",TEXT(My­_Journal[[#This Row],[Date]],"dd-mmm"))</f>
        <v>30-Jun</v>
      </c>
      <c r="Y11" s="10" t="str">
        <f t="shared" si="5"/>
        <v>Jun-2025</v>
      </c>
      <c r="Z11" s="17" t="str">
        <f>IF(My­_Journal[[#This Row],[$ Profit]]="","",IF(My­_Journal[[#This Row],[$ Profit]]=0, TEXT(0, "$0.00"), My­_Journal[[#This Row],[$ Profit]]-My­_Journal[[#This Row],[Comission_1]]))</f>
        <v>$0.00</v>
      </c>
      <c r="AA11" s="12">
        <f>IF(My­_Journal[[#This Row],[$ Loss]]="","",IF(My­_Journal[[#This Row],[$ Loss]]=0,0,My­_Journal[[#This Row],[$ Loss]]-My­_Journal[[#This Row],[Comission_1]]))</f>
        <v>653.66</v>
      </c>
      <c r="AB11" s="11">
        <f>IF(B11="","",_xlfn.MAXIFS(B:B,Y:Y,My­_Journal[[#This Row],[Month-Year]]))</f>
        <v>45838</v>
      </c>
      <c r="AC11" s="12">
        <f>LOOKUP(2,1/(B$2:B$1006=AB11),W$2:W$1006)</f>
        <v>97442.419999999984</v>
      </c>
      <c r="AD11" s="13">
        <f>IF(My­_Journal[[#This Row],[Net P&amp;L %]]="","",My­_Journal[[#This Row],[Net P&amp;L %]]/Working!$Q$8)</f>
        <v>-4.357733333333333</v>
      </c>
      <c r="AE11" s="16">
        <f>IF(My­_Journal[[#This Row],[Date]]="","",IF(ROW()&gt;2,AE10+(AD11-1),Working!$Q$10+(AD11-1)))</f>
        <v>7.3976666666666704</v>
      </c>
      <c r="AF11" s="10" t="s">
        <v>36</v>
      </c>
    </row>
    <row r="12" spans="1:35" x14ac:dyDescent="0.25">
      <c r="A12" s="10">
        <f t="shared" si="0"/>
        <v>11</v>
      </c>
      <c r="B12" s="11">
        <v>45838</v>
      </c>
      <c r="C12" s="10" t="str">
        <f t="shared" si="1"/>
        <v>June</v>
      </c>
      <c r="D12" s="11">
        <v>45838</v>
      </c>
      <c r="E12" s="10" t="s">
        <v>41</v>
      </c>
      <c r="F12" s="10">
        <v>1.89</v>
      </c>
      <c r="G12" s="10" t="s">
        <v>34</v>
      </c>
      <c r="H12" s="10" t="s">
        <v>35</v>
      </c>
      <c r="I12" s="12">
        <v>0.79735</v>
      </c>
      <c r="J12" s="12">
        <v>0.79568000000000005</v>
      </c>
      <c r="K12" s="12">
        <v>0.79908000000000001</v>
      </c>
      <c r="L12" s="12">
        <v>0.79908000000000001</v>
      </c>
      <c r="M12" s="13">
        <f t="shared" si="6"/>
        <v>1.0359281437126118</v>
      </c>
      <c r="N12" s="14" t="str">
        <f>IF(H12="Long",IF(L12&gt;=K12,"Win",IF(L12&lt;=J12,"Loss","Manually-Closed")),IF(My­_Journal[[#This Row],[Direction]]="Short",IF(My­_Journal[[#This Row],[Exit Price]]&lt;=My­_Journal[[#This Row],[Take Profit]],"Win",IF(My­_Journal[[#This Row],[Exit Price]]&gt;=My­_Journal[[#This Row],[Stop Loss]],"Loss","Manually-Closed")),""))</f>
        <v>Win</v>
      </c>
      <c r="O12" s="12">
        <v>0</v>
      </c>
      <c r="P12" s="12">
        <v>149.38</v>
      </c>
      <c r="Q12" s="12">
        <v>3.45</v>
      </c>
      <c r="R12" s="12">
        <f>IF(My­_Journal[[#This Row],[$ Loss]]="","",My­_Journal[[#This Row],[Net_Profit]]-My­_Journal[[#This Row],[Net_Loss]])</f>
        <v>145.93</v>
      </c>
      <c r="S12" s="15">
        <f>IF(My­_Journal[[#This Row],[Net P&amp;L]]="","",My­_Journal[[#This Row],[Net P&amp;L]]/Working!$B$4)</f>
        <v>1.4593E-3</v>
      </c>
      <c r="T12" s="15">
        <f>IF(I12="","",Z12/Working!$B$4)</f>
        <v>1.4593E-3</v>
      </c>
      <c r="U12" s="15">
        <f>IF(I12="","",(O12/Working!$B$4))</f>
        <v>0</v>
      </c>
      <c r="V12" s="12">
        <f>IF(My­_Journal[[#This Row],[Commison]]="","",My­_Journal[[#This Row],[Commison]])</f>
        <v>3.45</v>
      </c>
      <c r="W12" s="12">
        <f>IF(My­_Journal[[#This Row],[Date]]="","",IF(ROW()&gt;2,W11-O12+P12-My­_Journal[[#This Row],[Comission_1]],Working!B14-My­_Journal[[#This Row],[Comission_1]]+My­_Journal[[#This Row],[$ Profit]]-My­_Journal[[#This Row],[$ Loss]]))</f>
        <v>97442.419999999984</v>
      </c>
      <c r="X12" s="12" t="str">
        <f>IF(My­_Journal[[#This Row],[Date]]="","",TEXT(My­_Journal[[#This Row],[Date]],"dd-mmm"))</f>
        <v>30-Jun</v>
      </c>
      <c r="Y12" s="10" t="str">
        <f t="shared" si="5"/>
        <v>Jun-2025</v>
      </c>
      <c r="Z12" s="17">
        <f>IF(My­_Journal[[#This Row],[$ Profit]]="","",IF(My­_Journal[[#This Row],[$ Profit]]=0, TEXT(0, "$0.00"), My­_Journal[[#This Row],[$ Profit]]-My­_Journal[[#This Row],[Comission_1]]))</f>
        <v>145.93</v>
      </c>
      <c r="AA12" s="12">
        <f>IF(My­_Journal[[#This Row],[$ Loss]]="","",IF(My­_Journal[[#This Row],[$ Loss]]=0,0,My­_Journal[[#This Row],[$ Loss]]-My­_Journal[[#This Row],[Comission_1]]))</f>
        <v>0</v>
      </c>
      <c r="AB12" s="11">
        <f>IF(B12="","",_xlfn.MAXIFS(B:B,Y:Y,My­_Journal[[#This Row],[Month-Year]]))</f>
        <v>45838</v>
      </c>
      <c r="AC12" s="12">
        <f>LOOKUP(2,1/(B$2:B$1006=AB12),W$2:W$1006)</f>
        <v>97442.419999999984</v>
      </c>
      <c r="AD12" s="13">
        <f>IF(My­_Journal[[#This Row],[Net P&amp;L %]]="","",My­_Journal[[#This Row],[Net P&amp;L %]]/Working!$Q$8)</f>
        <v>0.97286666666666666</v>
      </c>
      <c r="AE12" s="16">
        <f>IF(My­_Journal[[#This Row],[Date]]="","",IF(ROW()&gt;2,AE11+(AD12-1),Working!$Q$10+(AD12-1)))</f>
        <v>7.3705333333333369</v>
      </c>
      <c r="AF12" s="10" t="s">
        <v>36</v>
      </c>
    </row>
    <row r="13" spans="1:35" x14ac:dyDescent="0.25">
      <c r="A13" s="10">
        <f t="shared" si="0"/>
        <v>12</v>
      </c>
      <c r="B13" s="11">
        <v>45839</v>
      </c>
      <c r="C13" s="10" t="str">
        <f t="shared" si="1"/>
        <v>July</v>
      </c>
      <c r="D13" s="11">
        <v>45839</v>
      </c>
      <c r="E13" s="10" t="s">
        <v>44</v>
      </c>
      <c r="F13" s="10">
        <v>2.39</v>
      </c>
      <c r="G13" s="10" t="s">
        <v>34</v>
      </c>
      <c r="H13" s="10" t="s">
        <v>35</v>
      </c>
      <c r="I13" s="12">
        <v>142.90700000000001</v>
      </c>
      <c r="J13" s="12">
        <v>142.81299999999999</v>
      </c>
      <c r="K13" s="12">
        <v>143.001</v>
      </c>
      <c r="L13" s="12">
        <v>142.911</v>
      </c>
      <c r="M13" s="13">
        <f t="shared" si="4"/>
        <v>0.99999999999969769</v>
      </c>
      <c r="N13" s="14" t="str">
        <f>IF(H13="Long",IF(L13&gt;=K13,"Win",IF(L13&lt;=J13,"Loss","Manually-Closed")),IF(My­_Journal[[#This Row],[Direction]]="Short",IF(My­_Journal[[#This Row],[Exit Price]]&lt;=My­_Journal[[#This Row],[Take Profit]],"Win",IF(My­_Journal[[#This Row],[Exit Price]]&gt;=My­_Journal[[#This Row],[Stop Loss]],"Loss","Manually-Closed")),""))</f>
        <v>Manually-Closed</v>
      </c>
      <c r="O13" s="12">
        <v>0</v>
      </c>
      <c r="P13" s="12">
        <v>6.69</v>
      </c>
      <c r="Q13" s="12">
        <v>11.95</v>
      </c>
      <c r="R13" s="12">
        <f>IF(My­_Journal[[#This Row],[$ Loss]]="","",My­_Journal[[#This Row],[Net_Profit]]-My­_Journal[[#This Row],[Net_Loss]])</f>
        <v>-5.2599999999999989</v>
      </c>
      <c r="S13" s="15">
        <f>IF(My­_Journal[[#This Row],[Net P&amp;L]]="","",My­_Journal[[#This Row],[Net P&amp;L]]/Working!$B$4)</f>
        <v>-5.2599999999999991E-5</v>
      </c>
      <c r="T13" s="15">
        <f>IF(I13="","",Z13/Working!$B$4)</f>
        <v>-5.2599999999999991E-5</v>
      </c>
      <c r="U13" s="15">
        <f>IF(I13="","",(O13/Working!$B$4))</f>
        <v>0</v>
      </c>
      <c r="V13" s="12">
        <f>IF(My­_Journal[[#This Row],[Commison]]="","",My­_Journal[[#This Row],[Commison]])</f>
        <v>11.95</v>
      </c>
      <c r="W13" s="12">
        <f>IF(My­_Journal[[#This Row],[Date]]="","",IF(ROW()&gt;2,W12-O13+P13-My­_Journal[[#This Row],[Comission_1]],Working!B15-My­_Journal[[#This Row],[Comission_1]]+My­_Journal[[#This Row],[$ Profit]]-My­_Journal[[#This Row],[$ Loss]]))</f>
        <v>97437.159999999989</v>
      </c>
      <c r="X13" s="12" t="str">
        <f>IF(My­_Journal[[#This Row],[Date]]="","",TEXT(My­_Journal[[#This Row],[Date]],"dd-mmm"))</f>
        <v>01-Jul</v>
      </c>
      <c r="Y13" s="10" t="str">
        <f t="shared" si="3"/>
        <v>Jul-2025</v>
      </c>
      <c r="Z13" s="17">
        <f>IF(My­_Journal[[#This Row],[$ Profit]]="","",IF(My­_Journal[[#This Row],[$ Profit]]=0, TEXT(0, "$0.00"), My­_Journal[[#This Row],[$ Profit]]-My­_Journal[[#This Row],[Comission_1]]))</f>
        <v>-5.2599999999999989</v>
      </c>
      <c r="AA13" s="12">
        <f>IF(My­_Journal[[#This Row],[$ Loss]]="","",IF(My­_Journal[[#This Row],[$ Loss]]=0,0,My­_Journal[[#This Row],[$ Loss]]-My­_Journal[[#This Row],[Comission_1]]))</f>
        <v>0</v>
      </c>
      <c r="AB13" s="11">
        <f>IF(B13="","",_xlfn.MAXIFS(B:B,Y:Y,My­_Journal[[#This Row],[Month-Year]]))</f>
        <v>45864</v>
      </c>
      <c r="AC13" s="12">
        <f>LOOKUP(2,1/(B$2:B$1006=AB13),W$2:W$1006)</f>
        <v>103661.62999999999</v>
      </c>
      <c r="AD13" s="13">
        <f>IF(My­_Journal[[#This Row],[Net P&amp;L %]]="","",My­_Journal[[#This Row],[Net P&amp;L %]]/Working!$Q$8)</f>
        <v>-3.5066666666666663E-2</v>
      </c>
      <c r="AE13" s="16">
        <f>IF(My­_Journal[[#This Row],[Date]]="","",IF(ROW()&gt;2,AE12+(AD13-1),Working!$Q$10+(AD13-1)))</f>
        <v>6.3354666666666706</v>
      </c>
      <c r="AF13" s="10" t="s">
        <v>36</v>
      </c>
    </row>
    <row r="14" spans="1:35" x14ac:dyDescent="0.25">
      <c r="A14" s="10">
        <f t="shared" si="0"/>
        <v>13</v>
      </c>
      <c r="B14" s="11">
        <v>45840</v>
      </c>
      <c r="C14" s="10" t="str">
        <f t="shared" si="1"/>
        <v>July</v>
      </c>
      <c r="D14" s="11">
        <v>45840</v>
      </c>
      <c r="E14" s="10" t="s">
        <v>45</v>
      </c>
      <c r="F14" s="10">
        <v>4.2</v>
      </c>
      <c r="G14" s="10" t="s">
        <v>34</v>
      </c>
      <c r="H14" s="10" t="s">
        <v>38</v>
      </c>
      <c r="I14" s="12">
        <v>6217.43</v>
      </c>
      <c r="J14" s="12">
        <v>6220.87</v>
      </c>
      <c r="K14" s="12">
        <v>6213.99</v>
      </c>
      <c r="L14" s="12">
        <v>6213.99</v>
      </c>
      <c r="M14" s="13">
        <f t="shared" si="4"/>
        <v>1.0000000000002645</v>
      </c>
      <c r="N14" s="14" t="str">
        <f>IF(H14="Long",IF(L14&gt;=K14,"Win",IF(L14&lt;=J14,"Loss","Manually-Closed")),IF(My­_Journal[[#This Row],[Direction]]="Short",IF(My­_Journal[[#This Row],[Exit Price]]&lt;=My­_Journal[[#This Row],[Take Profit]],"Win",IF(My­_Journal[[#This Row],[Exit Price]]&gt;=My­_Journal[[#This Row],[Stop Loss]],"Loss","Manually-Closed")),""))</f>
        <v>Win</v>
      </c>
      <c r="O14" s="12">
        <v>0</v>
      </c>
      <c r="P14" s="12">
        <v>151.19999999999999</v>
      </c>
      <c r="Q14" s="12">
        <v>8.4</v>
      </c>
      <c r="R14" s="12">
        <f>IF(My­_Journal[[#This Row],[$ Loss]]="","",My­_Journal[[#This Row],[Net_Profit]]-My­_Journal[[#This Row],[Net_Loss]])</f>
        <v>142.79999999999998</v>
      </c>
      <c r="S14" s="15">
        <f>IF(My­_Journal[[#This Row],[Net P&amp;L]]="","",My­_Journal[[#This Row],[Net P&amp;L]]/Working!$B$4)</f>
        <v>1.4279999999999998E-3</v>
      </c>
      <c r="T14" s="15">
        <f>IF(I14="","",Z14/Working!$B$4)</f>
        <v>1.4279999999999998E-3</v>
      </c>
      <c r="U14" s="15">
        <f>IF(I14="","",(O14/Working!$B$4))</f>
        <v>0</v>
      </c>
      <c r="V14" s="12">
        <f>IF(My­_Journal[[#This Row],[Commison]]="","",My­_Journal[[#This Row],[Commison]])</f>
        <v>8.4</v>
      </c>
      <c r="W14" s="12">
        <f>IF(My­_Journal[[#This Row],[Date]]="","",IF(ROW()&gt;2,W13-O14+P14-My­_Journal[[#This Row],[Comission_1]],Working!B16-My­_Journal[[#This Row],[Comission_1]]+My­_Journal[[#This Row],[$ Profit]]-My­_Journal[[#This Row],[$ Loss]]))</f>
        <v>97579.959999999992</v>
      </c>
      <c r="X14" s="12" t="str">
        <f>IF(My­_Journal[[#This Row],[Date]]="","",TEXT(My­_Journal[[#This Row],[Date]],"dd-mmm"))</f>
        <v>02-Jul</v>
      </c>
      <c r="Y14" s="10" t="str">
        <f t="shared" si="3"/>
        <v>Jul-2025</v>
      </c>
      <c r="Z14" s="17">
        <f>IF(My­_Journal[[#This Row],[$ Profit]]="","",IF(My­_Journal[[#This Row],[$ Profit]]=0, TEXT(0, "$0.00"), My­_Journal[[#This Row],[$ Profit]]-My­_Journal[[#This Row],[Comission_1]]))</f>
        <v>142.79999999999998</v>
      </c>
      <c r="AA14" s="12">
        <f>IF(My­_Journal[[#This Row],[$ Loss]]="","",IF(My­_Journal[[#This Row],[$ Loss]]=0,0,My­_Journal[[#This Row],[$ Loss]]-My­_Journal[[#This Row],[Comission_1]]))</f>
        <v>0</v>
      </c>
      <c r="AB14" s="11">
        <f>IF(B14="","",_xlfn.MAXIFS(B:B,Y:Y,My­_Journal[[#This Row],[Month-Year]]))</f>
        <v>45864</v>
      </c>
      <c r="AC14" s="12">
        <f>LOOKUP(2,1/(B$2:B$1006=AB14),W$2:W$1006)</f>
        <v>103661.62999999999</v>
      </c>
      <c r="AD14" s="13">
        <f>IF(My­_Journal[[#This Row],[Net P&amp;L %]]="","",My­_Journal[[#This Row],[Net P&amp;L %]]/Working!$Q$8)</f>
        <v>0.95199999999999985</v>
      </c>
      <c r="AE14" s="16">
        <f>IF(My­_Journal[[#This Row],[Date]]="","",IF(ROW()&gt;2,AE13+(AD14-1),Working!$Q$10+(AD14-1)))</f>
        <v>6.2874666666666705</v>
      </c>
      <c r="AF14" s="10" t="s">
        <v>36</v>
      </c>
    </row>
    <row r="15" spans="1:35" x14ac:dyDescent="0.25">
      <c r="A15" s="10">
        <f t="shared" si="0"/>
        <v>14</v>
      </c>
      <c r="B15" s="11">
        <v>45840</v>
      </c>
      <c r="C15" s="10" t="str">
        <f t="shared" si="1"/>
        <v>July</v>
      </c>
      <c r="D15" s="11">
        <v>45840</v>
      </c>
      <c r="E15" s="10" t="s">
        <v>37</v>
      </c>
      <c r="F15" s="10">
        <v>4.4000000000000004</v>
      </c>
      <c r="G15" s="10" t="s">
        <v>34</v>
      </c>
      <c r="H15" s="10" t="s">
        <v>38</v>
      </c>
      <c r="I15" s="12">
        <v>44624.2</v>
      </c>
      <c r="J15" s="12">
        <v>44656.75</v>
      </c>
      <c r="K15" s="12">
        <v>44589.75</v>
      </c>
      <c r="L15" s="12">
        <v>44619.4</v>
      </c>
      <c r="M15" s="13">
        <f t="shared" si="4"/>
        <v>1.0583717357909066</v>
      </c>
      <c r="N15" s="14" t="str">
        <f>IF(H15="Long",IF(L15&gt;=K15,"Win",IF(L15&lt;=J15,"Loss","Manually-Closed")),IF(My­_Journal[[#This Row],[Direction]]="Short",IF(My­_Journal[[#This Row],[Exit Price]]&lt;=My­_Journal[[#This Row],[Take Profit]],"Win",IF(My­_Journal[[#This Row],[Exit Price]]&gt;=My­_Journal[[#This Row],[Stop Loss]],"Loss","Manually-Closed")),""))</f>
        <v>Manually-Closed</v>
      </c>
      <c r="O15" s="12">
        <v>0</v>
      </c>
      <c r="P15" s="12">
        <v>21.12</v>
      </c>
      <c r="Q15" s="12">
        <v>8.8000000000000007</v>
      </c>
      <c r="R15" s="12">
        <f>IF(My­_Journal[[#This Row],[$ Loss]]="","",My­_Journal[[#This Row],[Net_Profit]]-My­_Journal[[#This Row],[Net_Loss]])</f>
        <v>12.32</v>
      </c>
      <c r="S15" s="15">
        <f>IF(My­_Journal[[#This Row],[Net P&amp;L]]="","",My­_Journal[[#This Row],[Net P&amp;L]]/Working!$B$4)</f>
        <v>1.2320000000000001E-4</v>
      </c>
      <c r="T15" s="15">
        <f>IF(I15="","",Z15/Working!$B$4)</f>
        <v>1.2320000000000001E-4</v>
      </c>
      <c r="U15" s="15">
        <f>IF(I15="","",(O15/Working!$B$4))</f>
        <v>0</v>
      </c>
      <c r="V15" s="12">
        <f>IF(My­_Journal[[#This Row],[Commison]]="","",My­_Journal[[#This Row],[Commison]])</f>
        <v>8.8000000000000007</v>
      </c>
      <c r="W15" s="12">
        <f>IF(My­_Journal[[#This Row],[Date]]="","",IF(ROW()&gt;2,W14-O15+P15-My­_Journal[[#This Row],[Comission_1]],Working!B17-My­_Journal[[#This Row],[Comission_1]]+My­_Journal[[#This Row],[$ Profit]]-My­_Journal[[#This Row],[$ Loss]]))</f>
        <v>97592.279999999984</v>
      </c>
      <c r="X15" s="12" t="str">
        <f>IF(My­_Journal[[#This Row],[Date]]="","",TEXT(My­_Journal[[#This Row],[Date]],"dd-mmm"))</f>
        <v>02-Jul</v>
      </c>
      <c r="Y15" s="10" t="str">
        <f t="shared" si="3"/>
        <v>Jul-2025</v>
      </c>
      <c r="Z15" s="17">
        <f>IF(My­_Journal[[#This Row],[$ Profit]]="","",IF(My­_Journal[[#This Row],[$ Profit]]=0, TEXT(0, "$0.00"), My­_Journal[[#This Row],[$ Profit]]-My­_Journal[[#This Row],[Comission_1]]))</f>
        <v>12.32</v>
      </c>
      <c r="AA15" s="12">
        <f>IF(My­_Journal[[#This Row],[$ Loss]]="","",IF(My­_Journal[[#This Row],[$ Loss]]=0,0,My­_Journal[[#This Row],[$ Loss]]-My­_Journal[[#This Row],[Comission_1]]))</f>
        <v>0</v>
      </c>
      <c r="AB15" s="11">
        <f>IF(B15="","",_xlfn.MAXIFS(B:B,Y:Y,My­_Journal[[#This Row],[Month-Year]]))</f>
        <v>45864</v>
      </c>
      <c r="AC15" s="12">
        <f>LOOKUP(2,1/(B$2:B$1006=AB15),W$2:W$1006)</f>
        <v>103661.62999999999</v>
      </c>
      <c r="AD15" s="13">
        <f>IF(My­_Journal[[#This Row],[Net P&amp;L %]]="","",My­_Journal[[#This Row],[Net P&amp;L %]]/Working!$Q$8)</f>
        <v>8.2133333333333336E-2</v>
      </c>
      <c r="AE15" s="16">
        <f>IF(My­_Journal[[#This Row],[Date]]="","",IF(ROW()&gt;2,AE14+(AD15-1),Working!$Q$10+(AD15-1)))</f>
        <v>5.3696000000000037</v>
      </c>
    </row>
    <row r="16" spans="1:35" x14ac:dyDescent="0.25">
      <c r="A16" s="10">
        <f t="shared" si="0"/>
        <v>15</v>
      </c>
      <c r="B16" s="11">
        <v>45841</v>
      </c>
      <c r="C16" s="10" t="str">
        <f t="shared" ref="C16:C22" si="7">IF(B16="","",TEXT(B16,"mmmm"))</f>
        <v>July</v>
      </c>
      <c r="D16" s="11">
        <v>45841</v>
      </c>
      <c r="E16" s="10" t="s">
        <v>44</v>
      </c>
      <c r="F16" s="10">
        <v>3.66</v>
      </c>
      <c r="G16" s="10" t="s">
        <v>34</v>
      </c>
      <c r="H16" s="10" t="s">
        <v>38</v>
      </c>
      <c r="I16" s="12">
        <v>143.875</v>
      </c>
      <c r="J16" s="12">
        <v>143.93600000000001</v>
      </c>
      <c r="K16" s="12">
        <v>143.81200000000001</v>
      </c>
      <c r="L16" s="12">
        <v>143.81200000000001</v>
      </c>
      <c r="M16" s="13">
        <f t="shared" ref="M16:M22" si="8">IF(AND(I16&lt;&gt;"", J16&lt;&gt;"", K16&lt;&gt;""), IF(ABS(I16 - J16)&lt;0.0001, "Invalid", ABS(K16 - I16)/ABS(I16 - J16)), "")</f>
        <v>1.0327868852455884</v>
      </c>
      <c r="N16" s="14" t="str">
        <f>IF(H16="Long",IF(L16&gt;=K16,"Win",IF(L16&lt;=J16,"Loss","Manually-Closed")),IF(My­_Journal[[#This Row],[Direction]]="Short",IF(My­_Journal[[#This Row],[Exit Price]]&lt;=My­_Journal[[#This Row],[Take Profit]],"Win",IF(My­_Journal[[#This Row],[Exit Price]]&gt;=My­_Journal[[#This Row],[Stop Loss]],"Loss","Manually-Closed")),""))</f>
        <v>Win</v>
      </c>
      <c r="O16" s="12">
        <v>0</v>
      </c>
      <c r="P16" s="12">
        <v>150.15</v>
      </c>
      <c r="Q16" s="12">
        <v>18.3</v>
      </c>
      <c r="R16" s="12">
        <f>IF(My­_Journal[[#This Row],[$ Loss]]="","",My­_Journal[[#This Row],[Net_Profit]]-My­_Journal[[#This Row],[Net_Loss]])</f>
        <v>131.85</v>
      </c>
      <c r="S16" s="15">
        <f>IF(My­_Journal[[#This Row],[Net P&amp;L]]="","",My­_Journal[[#This Row],[Net P&amp;L]]/Working!$B$4)</f>
        <v>1.3185E-3</v>
      </c>
      <c r="T16" s="15">
        <f>IF(I16="","",Z16/Working!$B$4)</f>
        <v>1.3185E-3</v>
      </c>
      <c r="U16" s="15">
        <f>IF(I16="","",(O16/Working!$B$4))</f>
        <v>0</v>
      </c>
      <c r="V16" s="12">
        <f>IF(My­_Journal[[#This Row],[Commison]]="","",My­_Journal[[#This Row],[Commison]])</f>
        <v>18.3</v>
      </c>
      <c r="W16" s="12">
        <f>IF(My­_Journal[[#This Row],[Date]]="","",IF(ROW()&gt;2,W15-O16+P16-My­_Journal[[#This Row],[Comission_1]],Working!B18-My­_Journal[[#This Row],[Comission_1]]+My­_Journal[[#This Row],[$ Profit]]-My­_Journal[[#This Row],[$ Loss]]))</f>
        <v>97724.129999999976</v>
      </c>
      <c r="X16" s="12" t="str">
        <f>IF(My­_Journal[[#This Row],[Date]]="","",TEXT(My­_Journal[[#This Row],[Date]],"dd-mmm"))</f>
        <v>03-Jul</v>
      </c>
      <c r="Y16" s="10" t="str">
        <f t="shared" ref="Y16:Y22" si="9">IF(B16="","",TEXT(B16,"mmm-yyyy"))</f>
        <v>Jul-2025</v>
      </c>
      <c r="Z16" s="17">
        <f>IF(My­_Journal[[#This Row],[$ Profit]]="","",IF(My­_Journal[[#This Row],[$ Profit]]=0, TEXT(0, "$0.00"), My­_Journal[[#This Row],[$ Profit]]-My­_Journal[[#This Row],[Comission_1]]))</f>
        <v>131.85</v>
      </c>
      <c r="AA16" s="12">
        <f>IF(My­_Journal[[#This Row],[$ Loss]]="","",IF(My­_Journal[[#This Row],[$ Loss]]=0,0,My­_Journal[[#This Row],[$ Loss]]-My­_Journal[[#This Row],[Comission_1]]))</f>
        <v>0</v>
      </c>
      <c r="AB16" s="11">
        <f>IF(B16="","",_xlfn.MAXIFS(B:B,Y:Y,My­_Journal[[#This Row],[Month-Year]]))</f>
        <v>45864</v>
      </c>
      <c r="AC16" s="12">
        <f>LOOKUP(2,1/(B$2:B$1006=AB16),W$2:W$1006)</f>
        <v>103661.62999999999</v>
      </c>
      <c r="AD16" s="13">
        <f>IF(My­_Journal[[#This Row],[Net P&amp;L %]]="","",My­_Journal[[#This Row],[Net P&amp;L %]]/Working!$Q$8)</f>
        <v>0.879</v>
      </c>
      <c r="AE16" s="16">
        <f>IF(My­_Journal[[#This Row],[Date]]="","",IF(ROW()&gt;2,AE15+(AD16-1),Working!$Q$10+(AD16-1)))</f>
        <v>5.2486000000000033</v>
      </c>
      <c r="AF16" s="10" t="s">
        <v>36</v>
      </c>
    </row>
    <row r="17" spans="1:32" x14ac:dyDescent="0.25">
      <c r="A17" s="10">
        <f t="shared" si="0"/>
        <v>16</v>
      </c>
      <c r="B17" s="11">
        <v>45841</v>
      </c>
      <c r="C17" s="10" t="str">
        <f t="shared" si="7"/>
        <v>July</v>
      </c>
      <c r="D17" s="11">
        <v>45841</v>
      </c>
      <c r="E17" s="10" t="s">
        <v>39</v>
      </c>
      <c r="F17" s="10">
        <v>1.38</v>
      </c>
      <c r="G17" s="10" t="s">
        <v>34</v>
      </c>
      <c r="H17" s="10" t="s">
        <v>38</v>
      </c>
      <c r="I17" s="12">
        <v>3325.73</v>
      </c>
      <c r="J17" s="12">
        <v>3340.18</v>
      </c>
      <c r="K17" s="12">
        <v>3311.62</v>
      </c>
      <c r="L17" s="12">
        <v>3325.72</v>
      </c>
      <c r="M17" s="13">
        <f t="shared" si="8"/>
        <v>0.97647058823531518</v>
      </c>
      <c r="N17" s="14" t="str">
        <f>IF(H17="Long",IF(L17&gt;=K17,"Win",IF(L17&lt;=J17,"Loss","Manually-Closed")),IF(My­_Journal[[#This Row],[Direction]]="Short",IF(My­_Journal[[#This Row],[Exit Price]]&lt;=My­_Journal[[#This Row],[Take Profit]],"Win",IF(My­_Journal[[#This Row],[Exit Price]]&gt;=My­_Journal[[#This Row],[Stop Loss]],"Loss","Manually-Closed")),""))</f>
        <v>Manually-Closed</v>
      </c>
      <c r="O17" s="12">
        <v>0</v>
      </c>
      <c r="P17" s="12">
        <v>1.28</v>
      </c>
      <c r="Q17" s="12">
        <v>2.76</v>
      </c>
      <c r="R17" s="12">
        <f>IF(My­_Journal[[#This Row],[$ Loss]]="","",My­_Journal[[#This Row],[Net_Profit]]-My­_Journal[[#This Row],[Net_Loss]])</f>
        <v>-1.4799999999999998</v>
      </c>
      <c r="S17" s="15">
        <f>IF(My­_Journal[[#This Row],[Net P&amp;L]]="","",My­_Journal[[#This Row],[Net P&amp;L]]/Working!$B$4)</f>
        <v>-1.4799999999999997E-5</v>
      </c>
      <c r="T17" s="15">
        <f>IF(I17="","",Z17/Working!$B$4)</f>
        <v>-1.4799999999999997E-5</v>
      </c>
      <c r="U17" s="15">
        <f>IF(I17="","",(O17/Working!$B$4))</f>
        <v>0</v>
      </c>
      <c r="V17" s="12">
        <f>IF(My­_Journal[[#This Row],[Commison]]="","",My­_Journal[[#This Row],[Commison]])</f>
        <v>2.76</v>
      </c>
      <c r="W17" s="12">
        <f>IF(My­_Journal[[#This Row],[Date]]="","",IF(ROW()&gt;2,W16-O17+P17-My­_Journal[[#This Row],[Comission_1]],Working!B19-My­_Journal[[#This Row],[Comission_1]]+My­_Journal[[#This Row],[$ Profit]]-My­_Journal[[#This Row],[$ Loss]]))</f>
        <v>97722.64999999998</v>
      </c>
      <c r="X17" s="12" t="str">
        <f>IF(My­_Journal[[#This Row],[Date]]="","",TEXT(My­_Journal[[#This Row],[Date]],"dd-mmm"))</f>
        <v>03-Jul</v>
      </c>
      <c r="Y17" s="10" t="str">
        <f t="shared" si="9"/>
        <v>Jul-2025</v>
      </c>
      <c r="Z17" s="17">
        <f>IF(My­_Journal[[#This Row],[$ Profit]]="","",IF(My­_Journal[[#This Row],[$ Profit]]=0, TEXT(0, "$0.00"), My­_Journal[[#This Row],[$ Profit]]-My­_Journal[[#This Row],[Comission_1]]))</f>
        <v>-1.4799999999999998</v>
      </c>
      <c r="AA17" s="12">
        <f>IF(My­_Journal[[#This Row],[$ Loss]]="","",IF(My­_Journal[[#This Row],[$ Loss]]=0,0,My­_Journal[[#This Row],[$ Loss]]-My­_Journal[[#This Row],[Comission_1]]))</f>
        <v>0</v>
      </c>
      <c r="AB17" s="11">
        <f>IF(B17="","",_xlfn.MAXIFS(B:B,Y:Y,My­_Journal[[#This Row],[Month-Year]]))</f>
        <v>45864</v>
      </c>
      <c r="AC17" s="12">
        <f>LOOKUP(2,1/(B$2:B$1006=AB17),W$2:W$1006)</f>
        <v>103661.62999999999</v>
      </c>
      <c r="AD17" s="13">
        <f>IF(My­_Journal[[#This Row],[Net P&amp;L %]]="","",My­_Journal[[#This Row],[Net P&amp;L %]]/Working!$Q$8)</f>
        <v>-9.8666666666666642E-3</v>
      </c>
      <c r="AE17" s="16">
        <f>IF(My­_Journal[[#This Row],[Date]]="","",IF(ROW()&gt;2,AE16+(AD17-1),Working!$Q$10+(AD17-1)))</f>
        <v>4.2387333333333368</v>
      </c>
    </row>
    <row r="18" spans="1:32" x14ac:dyDescent="0.25">
      <c r="A18" s="10">
        <f t="shared" si="0"/>
        <v>17</v>
      </c>
      <c r="B18" s="11">
        <v>45842</v>
      </c>
      <c r="C18" s="10" t="str">
        <f t="shared" si="7"/>
        <v>July</v>
      </c>
      <c r="D18" s="11">
        <v>45842</v>
      </c>
      <c r="E18" s="10" t="s">
        <v>45</v>
      </c>
      <c r="F18" s="10">
        <v>2.6</v>
      </c>
      <c r="G18" s="10" t="s">
        <v>34</v>
      </c>
      <c r="H18" s="10" t="s">
        <v>35</v>
      </c>
      <c r="I18" s="12">
        <v>142.90700000000001</v>
      </c>
      <c r="J18" s="12">
        <v>142.81299999999999</v>
      </c>
      <c r="K18" s="12">
        <v>143.001</v>
      </c>
      <c r="L18" s="12">
        <v>142.911</v>
      </c>
      <c r="M18" s="13">
        <f t="shared" si="8"/>
        <v>0.99999999999969769</v>
      </c>
      <c r="N18" s="14" t="str">
        <f>IF(H18="Long",IF(L18&gt;=K18,"Win",IF(L18&lt;=J18,"Loss","Manually-Closed")),IF(My­_Journal[[#This Row],[Direction]]="Short",IF(My­_Journal[[#This Row],[Exit Price]]&lt;=My­_Journal[[#This Row],[Take Profit]],"Win",IF(My­_Journal[[#This Row],[Exit Price]]&gt;=My­_Journal[[#This Row],[Stop Loss]],"Loss","Manually-Closed")),""))</f>
        <v>Manually-Closed</v>
      </c>
      <c r="O18" s="12">
        <v>0</v>
      </c>
      <c r="P18" s="12">
        <v>6.69</v>
      </c>
      <c r="Q18" s="12">
        <v>11.95</v>
      </c>
      <c r="R18" s="12">
        <f>IF(My­_Journal[[#This Row],[$ Loss]]="","",My­_Journal[[#This Row],[Net_Profit]]-My­_Journal[[#This Row],[Net_Loss]])</f>
        <v>-5.2599999999999989</v>
      </c>
      <c r="S18" s="15">
        <f>IF(My­_Journal[[#This Row],[Net P&amp;L]]="","",My­_Journal[[#This Row],[Net P&amp;L]]/Working!$B$4)</f>
        <v>-5.2599999999999991E-5</v>
      </c>
      <c r="T18" s="15">
        <f>IF(I18="","",Z18/Working!$B$4)</f>
        <v>-5.2599999999999991E-5</v>
      </c>
      <c r="U18" s="15">
        <f>IF(I18="","",(O18/Working!$B$4))</f>
        <v>0</v>
      </c>
      <c r="V18" s="12">
        <f>IF(My­_Journal[[#This Row],[Commison]]="","",My­_Journal[[#This Row],[Commison]])</f>
        <v>11.95</v>
      </c>
      <c r="W18" s="12">
        <f>IF(My­_Journal[[#This Row],[Date]]="","",IF(ROW()&gt;2,W17-O18+P18-My­_Journal[[#This Row],[Comission_1]],Working!B20-My­_Journal[[#This Row],[Comission_1]]+My­_Journal[[#This Row],[$ Profit]]-My­_Journal[[#This Row],[$ Loss]]))</f>
        <v>97717.389999999985</v>
      </c>
      <c r="X18" s="12" t="str">
        <f>IF(My­_Journal[[#This Row],[Date]]="","",TEXT(My­_Journal[[#This Row],[Date]],"dd-mmm"))</f>
        <v>04-Jul</v>
      </c>
      <c r="Y18" s="10" t="str">
        <f t="shared" si="9"/>
        <v>Jul-2025</v>
      </c>
      <c r="Z18" s="17">
        <f>IF(My­_Journal[[#This Row],[$ Profit]]="","",IF(My­_Journal[[#This Row],[$ Profit]]=0, TEXT(0, "$0.00"), My­_Journal[[#This Row],[$ Profit]]-My­_Journal[[#This Row],[Comission_1]]))</f>
        <v>-5.2599999999999989</v>
      </c>
      <c r="AA18" s="12">
        <f>IF(My­_Journal[[#This Row],[$ Loss]]="","",IF(My­_Journal[[#This Row],[$ Loss]]=0,0,My­_Journal[[#This Row],[$ Loss]]-My­_Journal[[#This Row],[Comission_1]]))</f>
        <v>0</v>
      </c>
      <c r="AB18" s="11">
        <f>IF(B18="","",_xlfn.MAXIFS(B:B,Y:Y,My­_Journal[[#This Row],[Month-Year]]))</f>
        <v>45864</v>
      </c>
      <c r="AC18" s="12">
        <f>LOOKUP(2,1/(B$2:B$1006=AB18),W$2:W$1006)</f>
        <v>103661.62999999999</v>
      </c>
      <c r="AD18" s="13">
        <f>IF(My­_Journal[[#This Row],[Net P&amp;L %]]="","",My­_Journal[[#This Row],[Net P&amp;L %]]/Working!$Q$8)</f>
        <v>-3.5066666666666663E-2</v>
      </c>
      <c r="AE18" s="16">
        <f>IF(My­_Journal[[#This Row],[Date]]="","",IF(ROW()&gt;2,AE17+(AD18-1),Working!$Q$10+(AD18-1)))</f>
        <v>3.2036666666666704</v>
      </c>
      <c r="AF18" s="10" t="s">
        <v>36</v>
      </c>
    </row>
    <row r="19" spans="1:32" x14ac:dyDescent="0.25">
      <c r="A19" s="10">
        <f t="shared" si="0"/>
        <v>18</v>
      </c>
      <c r="B19" s="11">
        <v>45842</v>
      </c>
      <c r="C19" s="10" t="str">
        <f t="shared" si="7"/>
        <v>July</v>
      </c>
      <c r="D19" s="11">
        <v>45842</v>
      </c>
      <c r="E19" s="10" t="s">
        <v>37</v>
      </c>
      <c r="F19" s="10">
        <v>2.4</v>
      </c>
      <c r="G19" s="10" t="s">
        <v>34</v>
      </c>
      <c r="H19" s="10" t="s">
        <v>38</v>
      </c>
      <c r="I19" s="12">
        <v>6217.43</v>
      </c>
      <c r="J19" s="12">
        <v>6220.87</v>
      </c>
      <c r="K19" s="12">
        <v>6213.99</v>
      </c>
      <c r="L19" s="12">
        <v>6213.99</v>
      </c>
      <c r="M19" s="13">
        <f t="shared" si="8"/>
        <v>1.0000000000002645</v>
      </c>
      <c r="N19" s="14" t="str">
        <f>IF(H19="Long",IF(L19&gt;=K19,"Win",IF(L19&lt;=J19,"Loss","Manually-Closed")),IF(My­_Journal[[#This Row],[Direction]]="Short",IF(My­_Journal[[#This Row],[Exit Price]]&lt;=My­_Journal[[#This Row],[Take Profit]],"Win",IF(My­_Journal[[#This Row],[Exit Price]]&gt;=My­_Journal[[#This Row],[Stop Loss]],"Loss","Manually-Closed")),""))</f>
        <v>Win</v>
      </c>
      <c r="O19" s="12">
        <v>0</v>
      </c>
      <c r="P19" s="12">
        <v>151.19999999999999</v>
      </c>
      <c r="Q19" s="12">
        <v>8.4</v>
      </c>
      <c r="R19" s="12">
        <f>IF(My­_Journal[[#This Row],[$ Loss]]="","",My­_Journal[[#This Row],[Net_Profit]]-My­_Journal[[#This Row],[Net_Loss]])</f>
        <v>142.79999999999998</v>
      </c>
      <c r="S19" s="15">
        <f>IF(My­_Journal[[#This Row],[Net P&amp;L]]="","",My­_Journal[[#This Row],[Net P&amp;L]]/Working!$B$4)</f>
        <v>1.4279999999999998E-3</v>
      </c>
      <c r="T19" s="15">
        <f>IF(I19="","",Z19/Working!$B$4)</f>
        <v>1.4279999999999998E-3</v>
      </c>
      <c r="U19" s="15">
        <f>IF(I19="","",(O19/Working!$B$4))</f>
        <v>0</v>
      </c>
      <c r="V19" s="12">
        <f>IF(My­_Journal[[#This Row],[Commison]]="","",My­_Journal[[#This Row],[Commison]])</f>
        <v>8.4</v>
      </c>
      <c r="W19" s="12">
        <f>IF(My­_Journal[[#This Row],[Date]]="","",IF(ROW()&gt;2,W18-O19+P19-My­_Journal[[#This Row],[Comission_1]],Working!B21-My­_Journal[[#This Row],[Comission_1]]+My­_Journal[[#This Row],[$ Profit]]-My­_Journal[[#This Row],[$ Loss]]))</f>
        <v>97860.189999999988</v>
      </c>
      <c r="X19" s="12" t="str">
        <f>IF(My­_Journal[[#This Row],[Date]]="","",TEXT(My­_Journal[[#This Row],[Date]],"dd-mmm"))</f>
        <v>04-Jul</v>
      </c>
      <c r="Y19" s="10" t="str">
        <f t="shared" si="9"/>
        <v>Jul-2025</v>
      </c>
      <c r="Z19" s="17">
        <f>IF(My­_Journal[[#This Row],[$ Profit]]="","",IF(My­_Journal[[#This Row],[$ Profit]]=0, TEXT(0, "$0.00"), My­_Journal[[#This Row],[$ Profit]]-My­_Journal[[#This Row],[Comission_1]]))</f>
        <v>142.79999999999998</v>
      </c>
      <c r="AA19" s="12">
        <f>IF(My­_Journal[[#This Row],[$ Loss]]="","",IF(My­_Journal[[#This Row],[$ Loss]]=0,0,My­_Journal[[#This Row],[$ Loss]]-My­_Journal[[#This Row],[Comission_1]]))</f>
        <v>0</v>
      </c>
      <c r="AB19" s="11">
        <f>IF(B19="","",_xlfn.MAXIFS(B:B,Y:Y,My­_Journal[[#This Row],[Month-Year]]))</f>
        <v>45864</v>
      </c>
      <c r="AC19" s="12">
        <f>LOOKUP(2,1/(B$2:B$1006=AB19),W$2:W$1006)</f>
        <v>103661.62999999999</v>
      </c>
      <c r="AD19" s="13">
        <f>IF(My­_Journal[[#This Row],[Net P&amp;L %]]="","",My­_Journal[[#This Row],[Net P&amp;L %]]/Working!$Q$8)</f>
        <v>0.95199999999999985</v>
      </c>
      <c r="AE19" s="16">
        <f>IF(My­_Journal[[#This Row],[Date]]="","",IF(ROW()&gt;2,AE18+(AD19-1),Working!$Q$10+(AD19-1)))</f>
        <v>3.1556666666666704</v>
      </c>
      <c r="AF19" s="10" t="s">
        <v>36</v>
      </c>
    </row>
    <row r="20" spans="1:32" x14ac:dyDescent="0.25">
      <c r="A20" s="10">
        <f t="shared" si="0"/>
        <v>19</v>
      </c>
      <c r="B20" s="11">
        <v>45845</v>
      </c>
      <c r="C20" s="10" t="str">
        <f t="shared" si="7"/>
        <v>July</v>
      </c>
      <c r="D20" s="11">
        <v>45845</v>
      </c>
      <c r="E20" s="10" t="s">
        <v>44</v>
      </c>
      <c r="F20" s="10">
        <v>3.02</v>
      </c>
      <c r="G20" s="10" t="s">
        <v>34</v>
      </c>
      <c r="H20" s="10" t="s">
        <v>38</v>
      </c>
      <c r="I20" s="12">
        <v>44624.2</v>
      </c>
      <c r="J20" s="12">
        <v>44656.75</v>
      </c>
      <c r="K20" s="12">
        <v>44589.75</v>
      </c>
      <c r="L20" s="12">
        <v>44619.4</v>
      </c>
      <c r="M20" s="13">
        <f t="shared" si="8"/>
        <v>1.0583717357909066</v>
      </c>
      <c r="N20" s="14" t="str">
        <f>IF(H20="Long",IF(L20&gt;=K20,"Win",IF(L20&lt;=J20,"Loss","Manually-Closed")),IF(My­_Journal[[#This Row],[Direction]]="Short",IF(My­_Journal[[#This Row],[Exit Price]]&lt;=My­_Journal[[#This Row],[Take Profit]],"Win",IF(My­_Journal[[#This Row],[Exit Price]]&gt;=My­_Journal[[#This Row],[Stop Loss]],"Loss","Manually-Closed")),""))</f>
        <v>Manually-Closed</v>
      </c>
      <c r="O20" s="12">
        <v>0</v>
      </c>
      <c r="P20" s="12">
        <v>21.12</v>
      </c>
      <c r="Q20" s="12">
        <v>8.8000000000000007</v>
      </c>
      <c r="R20" s="12">
        <f>IF(My­_Journal[[#This Row],[$ Loss]]="","",My­_Journal[[#This Row],[Net_Profit]]-My­_Journal[[#This Row],[Net_Loss]])</f>
        <v>12.32</v>
      </c>
      <c r="S20" s="15">
        <f>IF(My­_Journal[[#This Row],[Net P&amp;L]]="","",My­_Journal[[#This Row],[Net P&amp;L]]/Working!$B$4)</f>
        <v>1.2320000000000001E-4</v>
      </c>
      <c r="T20" s="15">
        <f>IF(I20="","",Z20/Working!$B$4)</f>
        <v>1.2320000000000001E-4</v>
      </c>
      <c r="U20" s="15">
        <f>IF(I20="","",(O20/Working!$B$4))</f>
        <v>0</v>
      </c>
      <c r="V20" s="12">
        <f>IF(My­_Journal[[#This Row],[Commison]]="","",My­_Journal[[#This Row],[Commison]])</f>
        <v>8.8000000000000007</v>
      </c>
      <c r="W20" s="12">
        <f>IF(My­_Journal[[#This Row],[Date]]="","",IF(ROW()&gt;2,W19-O20+P20-My­_Journal[[#This Row],[Comission_1]],Working!B22-My­_Journal[[#This Row],[Comission_1]]+My­_Journal[[#This Row],[$ Profit]]-My­_Journal[[#This Row],[$ Loss]]))</f>
        <v>97872.50999999998</v>
      </c>
      <c r="X20" s="12" t="str">
        <f>IF(My­_Journal[[#This Row],[Date]]="","",TEXT(My­_Journal[[#This Row],[Date]],"dd-mmm"))</f>
        <v>07-Jul</v>
      </c>
      <c r="Y20" s="10" t="str">
        <f t="shared" si="9"/>
        <v>Jul-2025</v>
      </c>
      <c r="Z20" s="17">
        <f>IF(My­_Journal[[#This Row],[$ Profit]]="","",IF(My­_Journal[[#This Row],[$ Profit]]=0, TEXT(0, "$0.00"), My­_Journal[[#This Row],[$ Profit]]-My­_Journal[[#This Row],[Comission_1]]))</f>
        <v>12.32</v>
      </c>
      <c r="AA20" s="12">
        <f>IF(My­_Journal[[#This Row],[$ Loss]]="","",IF(My­_Journal[[#This Row],[$ Loss]]=0,0,My­_Journal[[#This Row],[$ Loss]]-My­_Journal[[#This Row],[Comission_1]]))</f>
        <v>0</v>
      </c>
      <c r="AB20" s="11">
        <f>IF(B20="","",_xlfn.MAXIFS(B:B,Y:Y,My­_Journal[[#This Row],[Month-Year]]))</f>
        <v>45864</v>
      </c>
      <c r="AC20" s="12">
        <f>LOOKUP(2,1/(B$2:B$1006=AB20),W$2:W$1006)</f>
        <v>103661.62999999999</v>
      </c>
      <c r="AD20" s="13">
        <f>IF(My­_Journal[[#This Row],[Net P&amp;L %]]="","",My­_Journal[[#This Row],[Net P&amp;L %]]/Working!$Q$8)</f>
        <v>8.2133333333333336E-2</v>
      </c>
      <c r="AE20" s="16">
        <f>IF(My­_Journal[[#This Row],[Date]]="","",IF(ROW()&gt;2,AE19+(AD20-1),Working!$Q$10+(AD20-1)))</f>
        <v>2.2378000000000036</v>
      </c>
    </row>
    <row r="21" spans="1:32" x14ac:dyDescent="0.25">
      <c r="A21" s="10">
        <f t="shared" si="0"/>
        <v>20</v>
      </c>
      <c r="B21" s="11">
        <v>45845</v>
      </c>
      <c r="C21" s="10" t="str">
        <f t="shared" si="7"/>
        <v>July</v>
      </c>
      <c r="D21" s="11">
        <v>45845</v>
      </c>
      <c r="E21" s="10" t="s">
        <v>43</v>
      </c>
      <c r="F21" s="10">
        <v>1.75</v>
      </c>
      <c r="G21" s="10" t="s">
        <v>34</v>
      </c>
      <c r="H21" s="10" t="s">
        <v>38</v>
      </c>
      <c r="I21" s="12">
        <v>143.875</v>
      </c>
      <c r="J21" s="12">
        <v>143.93600000000001</v>
      </c>
      <c r="K21" s="12">
        <v>143.81200000000001</v>
      </c>
      <c r="L21" s="12">
        <v>143.81200000000001</v>
      </c>
      <c r="M21" s="13">
        <f t="shared" ref="M21:M22" si="10">IF(AND(I21&lt;&gt;"", J21&lt;&gt;"", K21&lt;&gt;""), IF(ABS(I21 - J21)&lt;0.0001, "Invalid", ABS(K21 - I21)/ABS(I21 - J21)), "")</f>
        <v>1.0327868852455884</v>
      </c>
      <c r="N21" s="14" t="str">
        <f>IF(H21="Long",IF(L21&gt;=K21,"Win",IF(L21&lt;=J21,"Loss","Manually-Closed")),IF(My­_Journal[[#This Row],[Direction]]="Short",IF(My­_Journal[[#This Row],[Exit Price]]&lt;=My­_Journal[[#This Row],[Take Profit]],"Win",IF(My­_Journal[[#This Row],[Exit Price]]&gt;=My­_Journal[[#This Row],[Stop Loss]],"Loss","Manually-Closed")),""))</f>
        <v>Win</v>
      </c>
      <c r="O21" s="12">
        <v>0</v>
      </c>
      <c r="P21" s="12">
        <v>150.15</v>
      </c>
      <c r="Q21" s="12">
        <v>18.3</v>
      </c>
      <c r="R21" s="12">
        <f>IF(My­_Journal[[#This Row],[$ Loss]]="","",My­_Journal[[#This Row],[Net_Profit]]-My­_Journal[[#This Row],[Net_Loss]])</f>
        <v>131.85</v>
      </c>
      <c r="S21" s="15">
        <f>IF(My­_Journal[[#This Row],[Net P&amp;L]]="","",My­_Journal[[#This Row],[Net P&amp;L]]/Working!$B$4)</f>
        <v>1.3185E-3</v>
      </c>
      <c r="T21" s="15">
        <f>IF(I21="","",Z21/Working!$B$4)</f>
        <v>1.3185E-3</v>
      </c>
      <c r="U21" s="15">
        <f>IF(I21="","",(O21/Working!$B$4))</f>
        <v>0</v>
      </c>
      <c r="V21" s="12">
        <f>IF(My­_Journal[[#This Row],[Commison]]="","",My­_Journal[[#This Row],[Commison]])</f>
        <v>18.3</v>
      </c>
      <c r="W21" s="12">
        <f>IF(My­_Journal[[#This Row],[Date]]="","",IF(ROW()&gt;2,W20-O21+P21-My­_Journal[[#This Row],[Comission_1]],Working!B23-My­_Journal[[#This Row],[Comission_1]]+My­_Journal[[#This Row],[$ Profit]]-My­_Journal[[#This Row],[$ Loss]]))</f>
        <v>98004.359999999971</v>
      </c>
      <c r="X21" s="12" t="str">
        <f>IF(My­_Journal[[#This Row],[Date]]="","",TEXT(My­_Journal[[#This Row],[Date]],"dd-mmm"))</f>
        <v>07-Jul</v>
      </c>
      <c r="Y21" s="10" t="str">
        <f t="shared" ref="Y21:Y22" si="11">IF(B21="","",TEXT(B21,"mmm-yyyy"))</f>
        <v>Jul-2025</v>
      </c>
      <c r="Z21" s="17">
        <f>IF(My­_Journal[[#This Row],[$ Profit]]="","",IF(My­_Journal[[#This Row],[$ Profit]]=0, TEXT(0, "$0.00"), My­_Journal[[#This Row],[$ Profit]]-My­_Journal[[#This Row],[Comission_1]]))</f>
        <v>131.85</v>
      </c>
      <c r="AA21" s="12">
        <f>IF(My­_Journal[[#This Row],[$ Loss]]="","",IF(My­_Journal[[#This Row],[$ Loss]]=0,0,My­_Journal[[#This Row],[$ Loss]]-My­_Journal[[#This Row],[Comission_1]]))</f>
        <v>0</v>
      </c>
      <c r="AB21" s="11">
        <f>IF(B21="","",_xlfn.MAXIFS(B:B,Y:Y,My­_Journal[[#This Row],[Month-Year]]))</f>
        <v>45864</v>
      </c>
      <c r="AC21" s="12">
        <f>LOOKUP(2,1/(B$2:B$1006=AB21),W$2:W$1006)</f>
        <v>103661.62999999999</v>
      </c>
      <c r="AD21" s="13">
        <f>IF(My­_Journal[[#This Row],[Net P&amp;L %]]="","",My­_Journal[[#This Row],[Net P&amp;L %]]/Working!$Q$8)</f>
        <v>0.879</v>
      </c>
      <c r="AE21" s="16">
        <f>IF(My­_Journal[[#This Row],[Date]]="","",IF(ROW()&gt;2,AE20+(AD21-1),Working!$Q$10+(AD21-1)))</f>
        <v>2.1168000000000036</v>
      </c>
      <c r="AF21" s="10" t="s">
        <v>36</v>
      </c>
    </row>
    <row r="22" spans="1:32" x14ac:dyDescent="0.25">
      <c r="A22" s="10">
        <f t="shared" si="0"/>
        <v>21</v>
      </c>
      <c r="B22" s="11">
        <v>45845</v>
      </c>
      <c r="C22" s="10" t="str">
        <f t="shared" si="7"/>
        <v>July</v>
      </c>
      <c r="D22" s="11">
        <v>45845</v>
      </c>
      <c r="E22" s="10" t="s">
        <v>39</v>
      </c>
      <c r="F22" s="10">
        <v>0.4</v>
      </c>
      <c r="G22" s="10" t="s">
        <v>40</v>
      </c>
      <c r="H22" s="10" t="s">
        <v>38</v>
      </c>
      <c r="I22" s="12">
        <v>3325.73</v>
      </c>
      <c r="J22" s="12">
        <v>3340.18</v>
      </c>
      <c r="K22" s="12">
        <v>3311.62</v>
      </c>
      <c r="L22" s="12">
        <v>3325.72</v>
      </c>
      <c r="M22" s="13">
        <f t="shared" si="10"/>
        <v>0.97647058823531518</v>
      </c>
      <c r="N22" s="14" t="str">
        <f>IF(H22="Long",IF(L22&gt;=K22,"Win",IF(L22&lt;=J22,"Loss","Manually-Closed")),IF(My­_Journal[[#This Row],[Direction]]="Short",IF(My­_Journal[[#This Row],[Exit Price]]&lt;=My­_Journal[[#This Row],[Take Profit]],"Win",IF(My­_Journal[[#This Row],[Exit Price]]&gt;=My­_Journal[[#This Row],[Stop Loss]],"Loss","Manually-Closed")),""))</f>
        <v>Manually-Closed</v>
      </c>
      <c r="O22" s="12">
        <v>0</v>
      </c>
      <c r="P22" s="12">
        <v>1.28</v>
      </c>
      <c r="Q22" s="12">
        <v>2.76</v>
      </c>
      <c r="R22" s="12">
        <f>IF(My­_Journal[[#This Row],[$ Loss]]="","",My­_Journal[[#This Row],[Net_Profit]]-My­_Journal[[#This Row],[Net_Loss]])</f>
        <v>-1.4799999999999998</v>
      </c>
      <c r="S22" s="15">
        <f>IF(My­_Journal[[#This Row],[Net P&amp;L]]="","",My­_Journal[[#This Row],[Net P&amp;L]]/Working!$B$4)</f>
        <v>-1.4799999999999997E-5</v>
      </c>
      <c r="T22" s="15">
        <f>IF(I22="","",Z22/Working!$B$4)</f>
        <v>-1.4799999999999997E-5</v>
      </c>
      <c r="U22" s="15">
        <f>IF(I22="","",(O22/Working!$B$4))</f>
        <v>0</v>
      </c>
      <c r="V22" s="12">
        <f>IF(My­_Journal[[#This Row],[Commison]]="","",My­_Journal[[#This Row],[Commison]])</f>
        <v>2.76</v>
      </c>
      <c r="W22" s="12">
        <f>IF(My­_Journal[[#This Row],[Date]]="","",IF(ROW()&gt;2,W21-O22+P22-My­_Journal[[#This Row],[Comission_1]],Working!B24-My­_Journal[[#This Row],[Comission_1]]+My­_Journal[[#This Row],[$ Profit]]-My­_Journal[[#This Row],[$ Loss]]))</f>
        <v>98002.879999999976</v>
      </c>
      <c r="X22" s="12" t="str">
        <f>IF(My­_Journal[[#This Row],[Date]]="","",TEXT(My­_Journal[[#This Row],[Date]],"dd-mmm"))</f>
        <v>07-Jul</v>
      </c>
      <c r="Y22" s="10" t="str">
        <f t="shared" si="11"/>
        <v>Jul-2025</v>
      </c>
      <c r="Z22" s="17">
        <f>IF(My­_Journal[[#This Row],[$ Profit]]="","",IF(My­_Journal[[#This Row],[$ Profit]]=0, TEXT(0, "$0.00"), My­_Journal[[#This Row],[$ Profit]]-My­_Journal[[#This Row],[Comission_1]]))</f>
        <v>-1.4799999999999998</v>
      </c>
      <c r="AA22" s="12">
        <f>IF(My­_Journal[[#This Row],[$ Loss]]="","",IF(My­_Journal[[#This Row],[$ Loss]]=0,0,My­_Journal[[#This Row],[$ Loss]]-My­_Journal[[#This Row],[Comission_1]]))</f>
        <v>0</v>
      </c>
      <c r="AB22" s="11">
        <f>IF(B22="","",_xlfn.MAXIFS(B:B,Y:Y,My­_Journal[[#This Row],[Month-Year]]))</f>
        <v>45864</v>
      </c>
      <c r="AC22" s="12">
        <f>LOOKUP(2,1/(B$2:B$1006=AB22),W$2:W$1006)</f>
        <v>103661.62999999999</v>
      </c>
      <c r="AD22" s="13">
        <f>IF(My­_Journal[[#This Row],[Net P&amp;L %]]="","",My­_Journal[[#This Row],[Net P&amp;L %]]/Working!$Q$8)</f>
        <v>-9.8666666666666642E-3</v>
      </c>
      <c r="AE22" s="16">
        <f>IF(My­_Journal[[#This Row],[Date]]="","",IF(ROW()&gt;2,AE21+(AD22-1),Working!$Q$10+(AD22-1)))</f>
        <v>1.1069333333333369</v>
      </c>
    </row>
    <row r="23" spans="1:32" x14ac:dyDescent="0.25">
      <c r="A23" s="10">
        <f t="shared" si="0"/>
        <v>22</v>
      </c>
      <c r="B23" s="11">
        <v>45846</v>
      </c>
      <c r="C23" s="10" t="str">
        <f t="shared" ref="C23:C31" si="12">IF(B23="","",TEXT(B23,"mmmm"))</f>
        <v>July</v>
      </c>
      <c r="D23" s="11">
        <v>45846</v>
      </c>
      <c r="E23" s="10" t="s">
        <v>33</v>
      </c>
      <c r="F23" s="10">
        <v>3</v>
      </c>
      <c r="G23" s="10" t="s">
        <v>40</v>
      </c>
      <c r="H23" s="10" t="s">
        <v>35</v>
      </c>
      <c r="I23" s="12">
        <v>1.3650500000000001</v>
      </c>
      <c r="J23" s="12">
        <v>1.3643400000000001</v>
      </c>
      <c r="K23" s="12">
        <v>1.3795599999999999</v>
      </c>
      <c r="L23" s="12">
        <v>1.3675999999999999</v>
      </c>
      <c r="M23" s="13">
        <f t="shared" ref="M23:M31" si="13">IF(AND(I23&lt;&gt;"", J23&lt;&gt;"", K23&lt;&gt;""), IF(ABS(I23 - J23)&lt;0.0001, "Invalid", ABS(K23 - I23)/ABS(I23 - J23)), "")</f>
        <v>20.436619718309913</v>
      </c>
      <c r="N23" s="14" t="str">
        <f>IF(H23="Long",IF(L23&gt;=K23,"Win",IF(L23&lt;=J23,"Loss","Manually-Closed")),IF(My­_Journal[[#This Row],[Direction]]="Short",IF(My­_Journal[[#This Row],[Exit Price]]&lt;=My­_Journal[[#This Row],[Take Profit]],"Win",IF(My­_Journal[[#This Row],[Exit Price]]&gt;=My­_Journal[[#This Row],[Stop Loss]],"Loss","Manually-Closed")),""))</f>
        <v>Manually-Closed</v>
      </c>
      <c r="O23" s="12">
        <v>0</v>
      </c>
      <c r="P23" s="12">
        <v>559.37</v>
      </c>
      <c r="Q23" s="12">
        <v>15</v>
      </c>
      <c r="R23" s="12">
        <f>IF(My­_Journal[[#This Row],[$ Loss]]="","",My­_Journal[[#This Row],[Net_Profit]]-My­_Journal[[#This Row],[Net_Loss]])</f>
        <v>544.37</v>
      </c>
      <c r="S23" s="15">
        <f>IF(My­_Journal[[#This Row],[Net P&amp;L]]="","",My­_Journal[[#This Row],[Net P&amp;L]]/Working!$B$4)</f>
        <v>5.4437000000000001E-3</v>
      </c>
      <c r="T23" s="15">
        <f>IF(I23="","",Z23/Working!$B$4)</f>
        <v>5.4437000000000001E-3</v>
      </c>
      <c r="U23" s="15">
        <f>IF(I23="","",(O23/Working!$B$4))</f>
        <v>0</v>
      </c>
      <c r="V23" s="12">
        <f>IF(My­_Journal[[#This Row],[Commison]]="","",My­_Journal[[#This Row],[Commison]])</f>
        <v>15</v>
      </c>
      <c r="W23" s="12">
        <f>IF(My­_Journal[[#This Row],[Date]]="","",IF(ROW()&gt;2,W22-O23+P23-My­_Journal[[#This Row],[Comission_1]],Working!B25-My­_Journal[[#This Row],[Comission_1]]+My­_Journal[[#This Row],[$ Profit]]-My­_Journal[[#This Row],[$ Loss]]))</f>
        <v>98547.249999999971</v>
      </c>
      <c r="X23" s="12" t="str">
        <f>IF(My­_Journal[[#This Row],[Date]]="","",TEXT(My­_Journal[[#This Row],[Date]],"dd-mmm"))</f>
        <v>08-Jul</v>
      </c>
      <c r="Y23" s="10" t="str">
        <f t="shared" ref="Y23:Y31" si="14">IF(B23="","",TEXT(B23,"mmm-yyyy"))</f>
        <v>Jul-2025</v>
      </c>
      <c r="Z23" s="17">
        <f>IF(My­_Journal[[#This Row],[$ Profit]]="","",IF(My­_Journal[[#This Row],[$ Profit]]=0, TEXT(0, "$0.00"), My­_Journal[[#This Row],[$ Profit]]-My­_Journal[[#This Row],[Comission_1]]))</f>
        <v>544.37</v>
      </c>
      <c r="AA23" s="12">
        <f>IF(My­_Journal[[#This Row],[$ Loss]]="","",IF(My­_Journal[[#This Row],[$ Loss]]=0,0,My­_Journal[[#This Row],[$ Loss]]-My­_Journal[[#This Row],[Comission_1]]))</f>
        <v>0</v>
      </c>
      <c r="AB23" s="11">
        <f>IF(B23="","",_xlfn.MAXIFS(B:B,Y:Y,My­_Journal[[#This Row],[Month-Year]]))</f>
        <v>45864</v>
      </c>
      <c r="AC23" s="12">
        <f>LOOKUP(2,1/(B$2:B$1006=AB23),W$2:W$1006)</f>
        <v>103661.62999999999</v>
      </c>
      <c r="AD23" s="13">
        <f>IF(My­_Journal[[#This Row],[Net P&amp;L %]]="","",My­_Journal[[#This Row],[Net P&amp;L %]]/Working!$Q$8)</f>
        <v>3.6291333333333333</v>
      </c>
      <c r="AE23" s="16">
        <f>IF(My­_Journal[[#This Row],[Date]]="","",IF(ROW()&gt;2,AE22+(AD23-1),Working!$Q$10+(AD23-1)))</f>
        <v>3.7360666666666704</v>
      </c>
      <c r="AF23" s="10" t="s">
        <v>120</v>
      </c>
    </row>
    <row r="24" spans="1:32" x14ac:dyDescent="0.25">
      <c r="A24" s="10">
        <f t="shared" si="0"/>
        <v>23</v>
      </c>
      <c r="B24" s="11">
        <v>45848</v>
      </c>
      <c r="C24" s="10" t="str">
        <f t="shared" si="12"/>
        <v>July</v>
      </c>
      <c r="D24" s="11">
        <v>45848</v>
      </c>
      <c r="E24" s="10" t="s">
        <v>39</v>
      </c>
      <c r="F24" s="10">
        <v>0.2</v>
      </c>
      <c r="G24" s="10" t="s">
        <v>34</v>
      </c>
      <c r="H24" s="10" t="s">
        <v>35</v>
      </c>
      <c r="I24" s="12">
        <v>3319.3</v>
      </c>
      <c r="J24" s="12">
        <v>3311.71</v>
      </c>
      <c r="K24" s="12">
        <v>3344.6</v>
      </c>
      <c r="L24" s="12">
        <v>3327.35</v>
      </c>
      <c r="M24" s="13">
        <f t="shared" si="13"/>
        <v>3.3333333333332336</v>
      </c>
      <c r="N24" s="14" t="str">
        <f>IF(H24="Long",IF(L24&gt;=K24,"Win",IF(L24&lt;=J24,"Loss","Manually-Closed")),IF(My­_Journal[[#This Row],[Direction]]="Short",IF(My­_Journal[[#This Row],[Exit Price]]&lt;=My­_Journal[[#This Row],[Take Profit]],"Win",IF(My­_Journal[[#This Row],[Exit Price]]&gt;=My­_Journal[[#This Row],[Stop Loss]],"Loss","Manually-Closed")),""))</f>
        <v>Manually-Closed</v>
      </c>
      <c r="O24" s="12">
        <v>0</v>
      </c>
      <c r="P24" s="12">
        <v>161</v>
      </c>
      <c r="Q24" s="12">
        <v>0.4</v>
      </c>
      <c r="R24" s="12">
        <f>IF(My­_Journal[[#This Row],[$ Loss]]="","",My­_Journal[[#This Row],[Net_Profit]]-My­_Journal[[#This Row],[Net_Loss]])</f>
        <v>160.6</v>
      </c>
      <c r="S24" s="15">
        <f>IF(My­_Journal[[#This Row],[Net P&amp;L]]="","",My­_Journal[[#This Row],[Net P&amp;L]]/Working!$B$4)</f>
        <v>1.606E-3</v>
      </c>
      <c r="T24" s="15">
        <f>IF(I24="","",Z24/Working!$B$4)</f>
        <v>1.606E-3</v>
      </c>
      <c r="U24" s="15">
        <f>IF(I24="","",(O24/Working!$B$4))</f>
        <v>0</v>
      </c>
      <c r="V24" s="12">
        <f>IF(My­_Journal[[#This Row],[Commison]]="","",My­_Journal[[#This Row],[Commison]])</f>
        <v>0.4</v>
      </c>
      <c r="W24" s="12">
        <f>IF(My­_Journal[[#This Row],[Date]]="","",IF(ROW()&gt;2,W23-O24+P24-My­_Journal[[#This Row],[Comission_1]],Working!B26-My­_Journal[[#This Row],[Comission_1]]+My­_Journal[[#This Row],[$ Profit]]-My­_Journal[[#This Row],[$ Loss]]))</f>
        <v>98707.849999999977</v>
      </c>
      <c r="X24" s="12" t="str">
        <f>IF(My­_Journal[[#This Row],[Date]]="","",TEXT(My­_Journal[[#This Row],[Date]],"dd-mmm"))</f>
        <v>10-Jul</v>
      </c>
      <c r="Y24" s="10" t="str">
        <f t="shared" si="14"/>
        <v>Jul-2025</v>
      </c>
      <c r="Z24" s="17">
        <f>IF(My­_Journal[[#This Row],[$ Profit]]="","",IF(My­_Journal[[#This Row],[$ Profit]]=0, TEXT(0, "$0.00"), My­_Journal[[#This Row],[$ Profit]]-My­_Journal[[#This Row],[Comission_1]]))</f>
        <v>160.6</v>
      </c>
      <c r="AA24" s="12">
        <f>IF(My­_Journal[[#This Row],[$ Loss]]="","",IF(My­_Journal[[#This Row],[$ Loss]]=0,0,My­_Journal[[#This Row],[$ Loss]]-My­_Journal[[#This Row],[Comission_1]]))</f>
        <v>0</v>
      </c>
      <c r="AB24" s="11">
        <f>IF(B24="","",_xlfn.MAXIFS(B:B,Y:Y,My­_Journal[[#This Row],[Month-Year]]))</f>
        <v>45864</v>
      </c>
      <c r="AC24" s="12">
        <f>LOOKUP(2,1/(B$2:B$1006=AB24),W$2:W$1006)</f>
        <v>103661.62999999999</v>
      </c>
      <c r="AD24" s="13">
        <f>IF(My­_Journal[[#This Row],[Net P&amp;L %]]="","",My­_Journal[[#This Row],[Net P&amp;L %]]/Working!$Q$8)</f>
        <v>1.0706666666666667</v>
      </c>
      <c r="AE24" s="16">
        <f>IF(My­_Journal[[#This Row],[Date]]="","",IF(ROW()&gt;2,AE23+(AD24-1),Working!$Q$10+(AD24-1)))</f>
        <v>3.8067333333333373</v>
      </c>
      <c r="AF24" s="10" t="s">
        <v>118</v>
      </c>
    </row>
    <row r="25" spans="1:32" x14ac:dyDescent="0.25">
      <c r="A25" s="10">
        <f t="shared" si="0"/>
        <v>24</v>
      </c>
      <c r="B25" s="11">
        <v>45849</v>
      </c>
      <c r="C25" s="10" t="str">
        <f t="shared" si="12"/>
        <v>July</v>
      </c>
      <c r="D25" s="11">
        <v>45849</v>
      </c>
      <c r="E25" s="10" t="s">
        <v>39</v>
      </c>
      <c r="F25" s="10">
        <v>1.2</v>
      </c>
      <c r="G25" s="10" t="s">
        <v>40</v>
      </c>
      <c r="H25" s="10" t="s">
        <v>35</v>
      </c>
      <c r="I25" s="12">
        <v>3347.18</v>
      </c>
      <c r="J25" s="12">
        <v>3344.83</v>
      </c>
      <c r="K25" s="12">
        <v>33400</v>
      </c>
      <c r="L25" s="12">
        <v>3351.21</v>
      </c>
      <c r="M25" s="13">
        <f t="shared" si="13"/>
        <v>12788.434042553687</v>
      </c>
      <c r="N25" s="14" t="str">
        <f>IF(H25="Long",IF(L25&gt;=K25,"Win",IF(L25&lt;=J25,"Loss","Manually-Closed")),IF(My­_Journal[[#This Row],[Direction]]="Short",IF(My­_Journal[[#This Row],[Exit Price]]&lt;=My­_Journal[[#This Row],[Take Profit]],"Win",IF(My­_Journal[[#This Row],[Exit Price]]&gt;=My­_Journal[[#This Row],[Stop Loss]],"Loss","Manually-Closed")),""))</f>
        <v>Manually-Closed</v>
      </c>
      <c r="O25" s="12">
        <v>0</v>
      </c>
      <c r="P25" s="12">
        <v>435.4</v>
      </c>
      <c r="Q25" s="12">
        <v>2.4</v>
      </c>
      <c r="R25" s="12">
        <f>IF(My­_Journal[[#This Row],[$ Loss]]="","",My­_Journal[[#This Row],[Net_Profit]]-My­_Journal[[#This Row],[Net_Loss]])</f>
        <v>433</v>
      </c>
      <c r="S25" s="15">
        <f>IF(My­_Journal[[#This Row],[Net P&amp;L]]="","",My­_Journal[[#This Row],[Net P&amp;L]]/Working!$B$4)</f>
        <v>4.3299999999999996E-3</v>
      </c>
      <c r="T25" s="15">
        <f>IF(I25="","",Z25/Working!$B$4)</f>
        <v>4.3299999999999996E-3</v>
      </c>
      <c r="U25" s="15">
        <f>IF(I25="","",(O25/Working!$B$4))</f>
        <v>0</v>
      </c>
      <c r="V25" s="12">
        <f>IF(My­_Journal[[#This Row],[Commison]]="","",My­_Journal[[#This Row],[Commison]])</f>
        <v>2.4</v>
      </c>
      <c r="W25" s="12">
        <f>IF(My­_Journal[[#This Row],[Date]]="","",IF(ROW()&gt;2,W24-O25+P25-My­_Journal[[#This Row],[Comission_1]],Working!B27-My­_Journal[[#This Row],[Comission_1]]+My­_Journal[[#This Row],[$ Profit]]-My­_Journal[[#This Row],[$ Loss]]))</f>
        <v>99140.849999999977</v>
      </c>
      <c r="X25" s="12" t="str">
        <f>IF(My­_Journal[[#This Row],[Date]]="","",TEXT(My­_Journal[[#This Row],[Date]],"dd-mmm"))</f>
        <v>11-Jul</v>
      </c>
      <c r="Y25" s="10" t="str">
        <f t="shared" si="14"/>
        <v>Jul-2025</v>
      </c>
      <c r="Z25" s="17">
        <f>IF(My­_Journal[[#This Row],[$ Profit]]="","",IF(My­_Journal[[#This Row],[$ Profit]]=0, TEXT(0, "$0.00"), My­_Journal[[#This Row],[$ Profit]]-My­_Journal[[#This Row],[Comission_1]]))</f>
        <v>433</v>
      </c>
      <c r="AA25" s="12">
        <f>IF(My­_Journal[[#This Row],[$ Loss]]="","",IF(My­_Journal[[#This Row],[$ Loss]]=0,0,My­_Journal[[#This Row],[$ Loss]]-My­_Journal[[#This Row],[Comission_1]]))</f>
        <v>0</v>
      </c>
      <c r="AB25" s="11">
        <f>IF(B25="","",_xlfn.MAXIFS(B:B,Y:Y,My­_Journal[[#This Row],[Month-Year]]))</f>
        <v>45864</v>
      </c>
      <c r="AC25" s="12">
        <f>LOOKUP(2,1/(B$2:B$1006=AB25),W$2:W$1006)</f>
        <v>103661.62999999999</v>
      </c>
      <c r="AD25" s="13">
        <f>IF(My­_Journal[[#This Row],[Net P&amp;L %]]="","",My­_Journal[[#This Row],[Net P&amp;L %]]/Working!$Q$8)</f>
        <v>2.8866666666666663</v>
      </c>
      <c r="AE25" s="16">
        <f>IF(My­_Journal[[#This Row],[Date]]="","",IF(ROW()&gt;2,AE24+(AD25-1),Working!$Q$10+(AD25-1)))</f>
        <v>5.693400000000004</v>
      </c>
      <c r="AF25" s="10" t="s">
        <v>118</v>
      </c>
    </row>
    <row r="26" spans="1:32" x14ac:dyDescent="0.25">
      <c r="A26" s="10">
        <f t="shared" si="0"/>
        <v>25</v>
      </c>
      <c r="B26" s="11">
        <v>45852</v>
      </c>
      <c r="C26" s="10" t="str">
        <f t="shared" si="12"/>
        <v>July</v>
      </c>
      <c r="D26" s="11">
        <v>45852</v>
      </c>
      <c r="E26" s="10" t="s">
        <v>39</v>
      </c>
      <c r="F26" s="10">
        <v>0.31</v>
      </c>
      <c r="G26" s="10" t="s">
        <v>34</v>
      </c>
      <c r="H26" s="10" t="s">
        <v>35</v>
      </c>
      <c r="I26" s="12">
        <v>3360.93</v>
      </c>
      <c r="J26" s="12">
        <v>3355.69</v>
      </c>
      <c r="K26" s="12">
        <v>3371.39</v>
      </c>
      <c r="L26" s="12">
        <v>3371.39</v>
      </c>
      <c r="M26" s="13">
        <f t="shared" si="13"/>
        <v>1.9961832061069604</v>
      </c>
      <c r="N26" s="14" t="str">
        <f>IF(H26="Long",IF(L26&gt;=K26,"Win",IF(L26&lt;=J26,"Loss","Manually-Closed")),IF(My­_Journal[[#This Row],[Direction]]="Short",IF(My­_Journal[[#This Row],[Exit Price]]&lt;=My­_Journal[[#This Row],[Take Profit]],"Win",IF(My­_Journal[[#This Row],[Exit Price]]&gt;=My­_Journal[[#This Row],[Stop Loss]],"Loss","Manually-Closed")),""))</f>
        <v>Win</v>
      </c>
      <c r="O26" s="12">
        <v>0</v>
      </c>
      <c r="P26" s="12">
        <v>305.35000000000002</v>
      </c>
      <c r="Q26" s="12">
        <v>0.62</v>
      </c>
      <c r="R26" s="12">
        <f>IF(My­_Journal[[#This Row],[$ Loss]]="","",My­_Journal[[#This Row],[Net_Profit]]-My­_Journal[[#This Row],[Net_Loss]])</f>
        <v>304.73</v>
      </c>
      <c r="S26" s="15">
        <f>IF(My­_Journal[[#This Row],[Net P&amp;L]]="","",My­_Journal[[#This Row],[Net P&amp;L]]/Working!$B$4)</f>
        <v>3.0473000000000002E-3</v>
      </c>
      <c r="T26" s="15">
        <f>IF(I26="","",Z26/Working!$B$4)</f>
        <v>3.0473000000000002E-3</v>
      </c>
      <c r="U26" s="15">
        <f>IF(I26="","",(O26/Working!$B$4))</f>
        <v>0</v>
      </c>
      <c r="V26" s="12">
        <f>IF(My­_Journal[[#This Row],[Commison]]="","",My­_Journal[[#This Row],[Commison]])</f>
        <v>0.62</v>
      </c>
      <c r="W26" s="12">
        <f>IF(My­_Journal[[#This Row],[Date]]="","",IF(ROW()&gt;2,W25-O26+P26-My­_Journal[[#This Row],[Comission_1]],Working!B28-My­_Journal[[#This Row],[Comission_1]]+My­_Journal[[#This Row],[$ Profit]]-My­_Journal[[#This Row],[$ Loss]]))</f>
        <v>99445.579999999987</v>
      </c>
      <c r="X26" s="12" t="str">
        <f>IF(My­_Journal[[#This Row],[Date]]="","",TEXT(My­_Journal[[#This Row],[Date]],"dd-mmm"))</f>
        <v>14-Jul</v>
      </c>
      <c r="Y26" s="10" t="str">
        <f t="shared" si="14"/>
        <v>Jul-2025</v>
      </c>
      <c r="Z26" s="17">
        <f>IF(My­_Journal[[#This Row],[$ Profit]]="","",IF(My­_Journal[[#This Row],[$ Profit]]=0, TEXT(0, "$0.00"), My­_Journal[[#This Row],[$ Profit]]-My­_Journal[[#This Row],[Comission_1]]))</f>
        <v>304.73</v>
      </c>
      <c r="AA26" s="12">
        <f>IF(My­_Journal[[#This Row],[$ Loss]]="","",IF(My­_Journal[[#This Row],[$ Loss]]=0,0,My­_Journal[[#This Row],[$ Loss]]-My­_Journal[[#This Row],[Comission_1]]))</f>
        <v>0</v>
      </c>
      <c r="AB26" s="11">
        <f>IF(B26="","",_xlfn.MAXIFS(B:B,Y:Y,My­_Journal[[#This Row],[Month-Year]]))</f>
        <v>45864</v>
      </c>
      <c r="AC26" s="12">
        <f>LOOKUP(2,1/(B$2:B$1006=AB26),W$2:W$1006)</f>
        <v>103661.62999999999</v>
      </c>
      <c r="AD26" s="13">
        <f>IF(My­_Journal[[#This Row],[Net P&amp;L %]]="","",My­_Journal[[#This Row],[Net P&amp;L %]]/Working!$Q$8)</f>
        <v>2.0315333333333334</v>
      </c>
      <c r="AE26" s="16">
        <f>IF(My­_Journal[[#This Row],[Date]]="","",IF(ROW()&gt;2,AE25+(AD26-1),Working!$Q$10+(AD26-1)))</f>
        <v>6.7249333333333379</v>
      </c>
      <c r="AF26" s="10" t="s">
        <v>118</v>
      </c>
    </row>
    <row r="27" spans="1:32" x14ac:dyDescent="0.25">
      <c r="A27" s="10">
        <f t="shared" si="0"/>
        <v>26</v>
      </c>
      <c r="B27" s="11">
        <v>45852</v>
      </c>
      <c r="C27" s="10" t="str">
        <f t="shared" si="12"/>
        <v>July</v>
      </c>
      <c r="D27" s="11">
        <v>45852</v>
      </c>
      <c r="E27" s="10" t="s">
        <v>33</v>
      </c>
      <c r="F27" s="10">
        <v>6.42</v>
      </c>
      <c r="G27" s="10" t="s">
        <v>34</v>
      </c>
      <c r="H27" s="10" t="s">
        <v>35</v>
      </c>
      <c r="I27" s="12">
        <v>1.3676200000000001</v>
      </c>
      <c r="J27" s="12">
        <v>1.3672500000000001</v>
      </c>
      <c r="K27" s="12">
        <v>1.3680099999999999</v>
      </c>
      <c r="L27" s="12">
        <v>1.3672500000000001</v>
      </c>
      <c r="M27" s="13">
        <f t="shared" si="13"/>
        <v>1.0540540540538108</v>
      </c>
      <c r="N27" s="14" t="str">
        <f>IF(H27="Long",IF(L27&gt;=K27,"Win",IF(L27&lt;=J27,"Loss","Manually-Closed")),IF(My­_Journal[[#This Row],[Direction]]="Short",IF(My­_Journal[[#This Row],[Exit Price]]&lt;=My­_Journal[[#This Row],[Take Profit]],"Win",IF(My­_Journal[[#This Row],[Exit Price]]&gt;=My­_Journal[[#This Row],[Stop Loss]],"Loss","Manually-Closed")),""))</f>
        <v>Loss</v>
      </c>
      <c r="O27" s="12">
        <v>173.74</v>
      </c>
      <c r="P27" s="12">
        <v>0</v>
      </c>
      <c r="Q27" s="12">
        <v>32.1</v>
      </c>
      <c r="R27" s="12">
        <f>IF(My­_Journal[[#This Row],[$ Loss]]="","",My­_Journal[[#This Row],[Net_Profit]]-My­_Journal[[#This Row],[Net_Loss]])</f>
        <v>-141.64000000000001</v>
      </c>
      <c r="S27" s="15">
        <f>IF(My­_Journal[[#This Row],[Net P&amp;L]]="","",My­_Journal[[#This Row],[Net P&amp;L]]/Working!$B$4)</f>
        <v>-1.4164000000000002E-3</v>
      </c>
      <c r="T27" s="15">
        <f>IF(I27="","",Z27/Working!$B$4)</f>
        <v>0</v>
      </c>
      <c r="U27" s="15">
        <f>IF(I27="","",(O27/Working!$B$4))</f>
        <v>1.7374000000000001E-3</v>
      </c>
      <c r="V27" s="12">
        <f>IF(My­_Journal[[#This Row],[Commison]]="","",My­_Journal[[#This Row],[Commison]])</f>
        <v>32.1</v>
      </c>
      <c r="W27" s="12">
        <f>IF(My­_Journal[[#This Row],[Date]]="","",IF(ROW()&gt;2,W26-O27+P27-My­_Journal[[#This Row],[Comission_1]],Working!B29-My­_Journal[[#This Row],[Comission_1]]+My­_Journal[[#This Row],[$ Profit]]-My­_Journal[[#This Row],[$ Loss]]))</f>
        <v>99239.739999999976</v>
      </c>
      <c r="X27" s="12" t="str">
        <f>IF(My­_Journal[[#This Row],[Date]]="","",TEXT(My­_Journal[[#This Row],[Date]],"dd-mmm"))</f>
        <v>14-Jul</v>
      </c>
      <c r="Y27" s="10" t="str">
        <f t="shared" si="14"/>
        <v>Jul-2025</v>
      </c>
      <c r="Z27" s="17" t="str">
        <f>IF(My­_Journal[[#This Row],[$ Profit]]="","",IF(My­_Journal[[#This Row],[$ Profit]]=0, TEXT(0, "$0.00"), My­_Journal[[#This Row],[$ Profit]]-My­_Journal[[#This Row],[Comission_1]]))</f>
        <v>$0.00</v>
      </c>
      <c r="AA27" s="12">
        <f>IF(My­_Journal[[#This Row],[$ Loss]]="","",IF(My­_Journal[[#This Row],[$ Loss]]=0,0,My­_Journal[[#This Row],[$ Loss]]-My­_Journal[[#This Row],[Comission_1]]))</f>
        <v>141.64000000000001</v>
      </c>
      <c r="AB27" s="11">
        <f>IF(B27="","",_xlfn.MAXIFS(B:B,Y:Y,My­_Journal[[#This Row],[Month-Year]]))</f>
        <v>45864</v>
      </c>
      <c r="AC27" s="12">
        <f>LOOKUP(2,1/(B$2:B$1006=AB27),W$2:W$1006)</f>
        <v>103661.62999999999</v>
      </c>
      <c r="AD27" s="13">
        <f>IF(My­_Journal[[#This Row],[Net P&amp;L %]]="","",My­_Journal[[#This Row],[Net P&amp;L %]]/Working!$Q$8)</f>
        <v>-0.94426666666666681</v>
      </c>
      <c r="AE27" s="16">
        <f>IF(My­_Journal[[#This Row],[Date]]="","",IF(ROW()&gt;2,AE26+(AD27-1),Working!$Q$10+(AD27-1)))</f>
        <v>4.7806666666666713</v>
      </c>
      <c r="AF27" s="10" t="s">
        <v>118</v>
      </c>
    </row>
    <row r="28" spans="1:32" x14ac:dyDescent="0.25">
      <c r="A28" s="10">
        <f t="shared" si="0"/>
        <v>27</v>
      </c>
      <c r="B28" s="11">
        <v>45852</v>
      </c>
      <c r="C28" s="10" t="str">
        <f t="shared" si="12"/>
        <v>July</v>
      </c>
      <c r="D28" s="11">
        <v>45852</v>
      </c>
      <c r="E28" s="10" t="s">
        <v>39</v>
      </c>
      <c r="F28" s="10">
        <v>0.2</v>
      </c>
      <c r="G28" s="10" t="s">
        <v>34</v>
      </c>
      <c r="H28" s="10" t="s">
        <v>35</v>
      </c>
      <c r="I28" s="12">
        <v>3354.86</v>
      </c>
      <c r="J28" s="12">
        <v>3344.72</v>
      </c>
      <c r="K28" s="12">
        <v>3374.67</v>
      </c>
      <c r="L28" s="12">
        <v>3344.72</v>
      </c>
      <c r="M28" s="13">
        <f t="shared" si="13"/>
        <v>1.9536489151873082</v>
      </c>
      <c r="N28" s="14" t="str">
        <f>IF(H28="Long",IF(L28&gt;=K28,"Win",IF(L28&lt;=J28,"Loss","Manually-Closed")),IF(My­_Journal[[#This Row],[Direction]]="Short",IF(My­_Journal[[#This Row],[Exit Price]]&lt;=My­_Journal[[#This Row],[Take Profit]],"Win",IF(My­_Journal[[#This Row],[Exit Price]]&gt;=My­_Journal[[#This Row],[Stop Loss]],"Loss","Manually-Closed")),""))</f>
        <v>Loss</v>
      </c>
      <c r="O28" s="12">
        <v>211.2</v>
      </c>
      <c r="P28" s="12">
        <v>0</v>
      </c>
      <c r="Q28" s="12">
        <v>0.4</v>
      </c>
      <c r="R28" s="12">
        <f>IF(My­_Journal[[#This Row],[$ Loss]]="","",My­_Journal[[#This Row],[Net_Profit]]-My­_Journal[[#This Row],[Net_Loss]])</f>
        <v>-210.79999999999998</v>
      </c>
      <c r="S28" s="15">
        <f>IF(My­_Journal[[#This Row],[Net P&amp;L]]="","",My­_Journal[[#This Row],[Net P&amp;L]]/Working!$B$4)</f>
        <v>-2.1079999999999996E-3</v>
      </c>
      <c r="T28" s="15">
        <f>IF(I28="","",Z28/Working!$B$4)</f>
        <v>0</v>
      </c>
      <c r="U28" s="15">
        <f>IF(I28="","",(O28/Working!$B$4))</f>
        <v>2.1119999999999997E-3</v>
      </c>
      <c r="V28" s="12">
        <f>IF(My­_Journal[[#This Row],[Commison]]="","",My­_Journal[[#This Row],[Commison]])</f>
        <v>0.4</v>
      </c>
      <c r="W28" s="12">
        <f>IF(My­_Journal[[#This Row],[Date]]="","",IF(ROW()&gt;2,W27-O28+P28-My­_Journal[[#This Row],[Comission_1]],Working!B30-My­_Journal[[#This Row],[Comission_1]]+My­_Journal[[#This Row],[$ Profit]]-My­_Journal[[#This Row],[$ Loss]]))</f>
        <v>99028.139999999985</v>
      </c>
      <c r="X28" s="12" t="str">
        <f>IF(My­_Journal[[#This Row],[Date]]="","",TEXT(My­_Journal[[#This Row],[Date]],"dd-mmm"))</f>
        <v>14-Jul</v>
      </c>
      <c r="Y28" s="10" t="str">
        <f t="shared" si="14"/>
        <v>Jul-2025</v>
      </c>
      <c r="Z28" s="17" t="str">
        <f>IF(My­_Journal[[#This Row],[$ Profit]]="","",IF(My­_Journal[[#This Row],[$ Profit]]=0, TEXT(0, "$0.00"), My­_Journal[[#This Row],[$ Profit]]-My­_Journal[[#This Row],[Comission_1]]))</f>
        <v>$0.00</v>
      </c>
      <c r="AA28" s="12">
        <f>IF(My­_Journal[[#This Row],[$ Loss]]="","",IF(My­_Journal[[#This Row],[$ Loss]]=0,0,My­_Journal[[#This Row],[$ Loss]]-My­_Journal[[#This Row],[Comission_1]]))</f>
        <v>210.79999999999998</v>
      </c>
      <c r="AB28" s="11">
        <f>IF(B28="","",_xlfn.MAXIFS(B:B,Y:Y,My­_Journal[[#This Row],[Month-Year]]))</f>
        <v>45864</v>
      </c>
      <c r="AC28" s="12">
        <f>LOOKUP(2,1/(B$2:B$1006=AB28),W$2:W$1006)</f>
        <v>103661.62999999999</v>
      </c>
      <c r="AD28" s="13">
        <f>IF(My­_Journal[[#This Row],[Net P&amp;L %]]="","",My­_Journal[[#This Row],[Net P&amp;L %]]/Working!$Q$8)</f>
        <v>-1.4053333333333331</v>
      </c>
      <c r="AE28" s="16">
        <f>IF(My­_Journal[[#This Row],[Date]]="","",IF(ROW()&gt;2,AE27+(AD28-1),Working!$Q$10+(AD28-1)))</f>
        <v>2.3753333333333382</v>
      </c>
      <c r="AF28" s="10" t="s">
        <v>118</v>
      </c>
    </row>
    <row r="29" spans="1:32" x14ac:dyDescent="0.25">
      <c r="A29" s="10">
        <f t="shared" si="0"/>
        <v>28</v>
      </c>
      <c r="B29" s="11">
        <v>45852</v>
      </c>
      <c r="C29" s="10" t="str">
        <f t="shared" si="12"/>
        <v>July</v>
      </c>
      <c r="D29" s="11">
        <v>45852</v>
      </c>
      <c r="E29" s="10" t="s">
        <v>141</v>
      </c>
      <c r="F29" s="10">
        <v>1.29</v>
      </c>
      <c r="G29" s="10" t="s">
        <v>34</v>
      </c>
      <c r="H29" s="10" t="s">
        <v>35</v>
      </c>
      <c r="I29" s="12">
        <v>1.34385</v>
      </c>
      <c r="J29" s="12">
        <v>1.3426199999999999</v>
      </c>
      <c r="K29" s="12">
        <v>1.3450800000000001</v>
      </c>
      <c r="L29" s="12">
        <v>1.3426199999999999</v>
      </c>
      <c r="M29" s="13">
        <f t="shared" si="13"/>
        <v>1</v>
      </c>
      <c r="N29" s="14" t="str">
        <f>IF(H29="Long",IF(L29&gt;=K29,"Win",IF(L29&lt;=J29,"Loss","Manually-Closed")),IF(My­_Journal[[#This Row],[Direction]]="Short",IF(My­_Journal[[#This Row],[Exit Price]]&lt;=My­_Journal[[#This Row],[Take Profit]],"Win",IF(My­_Journal[[#This Row],[Exit Price]]&gt;=My­_Journal[[#This Row],[Stop Loss]],"Loss","Manually-Closed")),""))</f>
        <v>Loss</v>
      </c>
      <c r="O29" s="12">
        <v>162.54</v>
      </c>
      <c r="P29" s="12">
        <v>0</v>
      </c>
      <c r="Q29" s="12">
        <v>6.45</v>
      </c>
      <c r="R29" s="12">
        <f>IF(My­_Journal[[#This Row],[$ Loss]]="","",My­_Journal[[#This Row],[Net_Profit]]-My­_Journal[[#This Row],[Net_Loss]])</f>
        <v>-156.09</v>
      </c>
      <c r="S29" s="15">
        <f>IF(My­_Journal[[#This Row],[Net P&amp;L]]="","",My­_Journal[[#This Row],[Net P&amp;L]]/Working!$B$4)</f>
        <v>-1.5609E-3</v>
      </c>
      <c r="T29" s="15">
        <f>IF(I29="","",Z29/Working!$B$4)</f>
        <v>0</v>
      </c>
      <c r="U29" s="15">
        <f>IF(I29="","",(O29/Working!$B$4))</f>
        <v>1.6253999999999999E-3</v>
      </c>
      <c r="V29" s="12">
        <f>IF(My­_Journal[[#This Row],[Commison]]="","",My­_Journal[[#This Row],[Commison]])</f>
        <v>6.45</v>
      </c>
      <c r="W29" s="12">
        <f>IF(My­_Journal[[#This Row],[Date]]="","",IF(ROW()&gt;2,W28-O29+P29-My­_Journal[[#This Row],[Comission_1]],Working!B31-My­_Journal[[#This Row],[Comission_1]]+My­_Journal[[#This Row],[$ Profit]]-My­_Journal[[#This Row],[$ Loss]]))</f>
        <v>98859.15</v>
      </c>
      <c r="X29" s="12" t="str">
        <f>IF(My­_Journal[[#This Row],[Date]]="","",TEXT(My­_Journal[[#This Row],[Date]],"dd-mmm"))</f>
        <v>14-Jul</v>
      </c>
      <c r="Y29" s="10" t="str">
        <f t="shared" si="14"/>
        <v>Jul-2025</v>
      </c>
      <c r="Z29" s="17" t="str">
        <f>IF(My­_Journal[[#This Row],[$ Profit]]="","",IF(My­_Journal[[#This Row],[$ Profit]]=0, TEXT(0, "$0.00"), My­_Journal[[#This Row],[$ Profit]]-My­_Journal[[#This Row],[Comission_1]]))</f>
        <v>$0.00</v>
      </c>
      <c r="AA29" s="12">
        <f>IF(My­_Journal[[#This Row],[$ Loss]]="","",IF(My­_Journal[[#This Row],[$ Loss]]=0,0,My­_Journal[[#This Row],[$ Loss]]-My­_Journal[[#This Row],[Comission_1]]))</f>
        <v>156.09</v>
      </c>
      <c r="AB29" s="11">
        <f>IF(B29="","",_xlfn.MAXIFS(B:B,Y:Y,My­_Journal[[#This Row],[Month-Year]]))</f>
        <v>45864</v>
      </c>
      <c r="AC29" s="12">
        <f>LOOKUP(2,1/(B$2:B$1006=AB29),W$2:W$1006)</f>
        <v>103661.62999999999</v>
      </c>
      <c r="AD29" s="13">
        <f>IF(My­_Journal[[#This Row],[Net P&amp;L %]]="","",My­_Journal[[#This Row],[Net P&amp;L %]]/Working!$Q$8)</f>
        <v>-1.0406</v>
      </c>
      <c r="AE29" s="16">
        <f>IF(My­_Journal[[#This Row],[Date]]="","",IF(ROW()&gt;2,AE28+(AD29-1),Working!$Q$10+(AD29-1)))</f>
        <v>0.33473333333333821</v>
      </c>
      <c r="AF29" s="10" t="s">
        <v>36</v>
      </c>
    </row>
    <row r="30" spans="1:32" x14ac:dyDescent="0.25">
      <c r="A30" s="10">
        <f t="shared" si="0"/>
        <v>29</v>
      </c>
      <c r="B30" s="11">
        <v>45853</v>
      </c>
      <c r="C30" s="10" t="str">
        <f t="shared" si="12"/>
        <v>July</v>
      </c>
      <c r="D30" s="11">
        <v>45853</v>
      </c>
      <c r="E30" s="10" t="s">
        <v>39</v>
      </c>
      <c r="F30" s="10">
        <v>0.3</v>
      </c>
      <c r="G30" s="10" t="s">
        <v>40</v>
      </c>
      <c r="H30" s="10" t="s">
        <v>35</v>
      </c>
      <c r="I30" s="12">
        <v>3352.45</v>
      </c>
      <c r="J30" s="12">
        <v>3339.68</v>
      </c>
      <c r="K30" s="12">
        <v>3378.18</v>
      </c>
      <c r="L30" s="12">
        <v>3378.18</v>
      </c>
      <c r="M30" s="13">
        <f t="shared" si="13"/>
        <v>2.0148786217697774</v>
      </c>
      <c r="N30" s="14" t="str">
        <f>IF(H30="Long",IF(L30&gt;=K30,"Win",IF(L30&lt;=J30,"Loss","Manually-Closed")),IF(My­_Journal[[#This Row],[Direction]]="Short",IF(My­_Journal[[#This Row],[Exit Price]]&lt;=My­_Journal[[#This Row],[Take Profit]],"Win",IF(My­_Journal[[#This Row],[Exit Price]]&gt;=My­_Journal[[#This Row],[Stop Loss]],"Loss","Manually-Closed")),""))</f>
        <v>Win</v>
      </c>
      <c r="O30" s="12">
        <v>0</v>
      </c>
      <c r="P30" s="12">
        <v>306.89999999999998</v>
      </c>
      <c r="Q30" s="12">
        <v>0.6</v>
      </c>
      <c r="R30" s="12">
        <f>IF(My­_Journal[[#This Row],[$ Loss]]="","",My­_Journal[[#This Row],[Net_Profit]]-My­_Journal[[#This Row],[Net_Loss]])</f>
        <v>306.29999999999995</v>
      </c>
      <c r="S30" s="15">
        <f>IF(My­_Journal[[#This Row],[Net P&amp;L]]="","",My­_Journal[[#This Row],[Net P&amp;L]]/Working!$B$4)</f>
        <v>3.0629999999999998E-3</v>
      </c>
      <c r="T30" s="15">
        <f>IF(I30="","",Z30/Working!$B$4)</f>
        <v>3.0629999999999998E-3</v>
      </c>
      <c r="U30" s="15">
        <f>IF(I30="","",(O30/Working!$B$4))</f>
        <v>0</v>
      </c>
      <c r="V30" s="12">
        <f>IF(My­_Journal[[#This Row],[Commison]]="","",My­_Journal[[#This Row],[Commison]])</f>
        <v>0.6</v>
      </c>
      <c r="W30" s="12">
        <f>IF(My­_Journal[[#This Row],[Date]]="","",IF(ROW()&gt;2,W29-O30+P30-My­_Journal[[#This Row],[Comission_1]],Working!B32-My­_Journal[[#This Row],[Comission_1]]+My­_Journal[[#This Row],[$ Profit]]-My­_Journal[[#This Row],[$ Loss]]))</f>
        <v>99165.449999999983</v>
      </c>
      <c r="X30" s="12" t="str">
        <f>IF(My­_Journal[[#This Row],[Date]]="","",TEXT(My­_Journal[[#This Row],[Date]],"dd-mmm"))</f>
        <v>15-Jul</v>
      </c>
      <c r="Y30" s="10" t="str">
        <f t="shared" si="14"/>
        <v>Jul-2025</v>
      </c>
      <c r="Z30" s="17">
        <f>IF(My­_Journal[[#This Row],[$ Profit]]="","",IF(My­_Journal[[#This Row],[$ Profit]]=0, TEXT(0, "$0.00"), My­_Journal[[#This Row],[$ Profit]]-My­_Journal[[#This Row],[Comission_1]]))</f>
        <v>306.29999999999995</v>
      </c>
      <c r="AA30" s="12">
        <f>IF(My­_Journal[[#This Row],[$ Loss]]="","",IF(My­_Journal[[#This Row],[$ Loss]]=0,0,My­_Journal[[#This Row],[$ Loss]]-My­_Journal[[#This Row],[Comission_1]]))</f>
        <v>0</v>
      </c>
      <c r="AB30" s="11">
        <f>IF(B30="","",_xlfn.MAXIFS(B:B,Y:Y,My­_Journal[[#This Row],[Month-Year]]))</f>
        <v>45864</v>
      </c>
      <c r="AC30" s="12">
        <f>LOOKUP(2,1/(B$2:B$1006=AB30),W$2:W$1006)</f>
        <v>103661.62999999999</v>
      </c>
      <c r="AD30" s="13">
        <f>IF(My­_Journal[[#This Row],[Net P&amp;L %]]="","",My­_Journal[[#This Row],[Net P&amp;L %]]/Working!$Q$8)</f>
        <v>2.0419999999999998</v>
      </c>
      <c r="AE30" s="16">
        <f>IF(My­_Journal[[#This Row],[Date]]="","",IF(ROW()&gt;2,AE29+(AD30-1),Working!$Q$10+(AD30-1)))</f>
        <v>1.376733333333338</v>
      </c>
      <c r="AF30" s="10" t="s">
        <v>118</v>
      </c>
    </row>
    <row r="31" spans="1:32" x14ac:dyDescent="0.25">
      <c r="A31" s="10">
        <f t="shared" si="0"/>
        <v>30</v>
      </c>
      <c r="B31" s="11">
        <v>45853</v>
      </c>
      <c r="C31" s="10" t="str">
        <f t="shared" si="12"/>
        <v>July</v>
      </c>
      <c r="D31" s="11">
        <v>45853</v>
      </c>
      <c r="E31" s="10" t="s">
        <v>39</v>
      </c>
      <c r="F31" s="10">
        <v>0.28999999999999998</v>
      </c>
      <c r="G31" s="10" t="s">
        <v>40</v>
      </c>
      <c r="H31" s="10" t="s">
        <v>35</v>
      </c>
      <c r="I31" s="12">
        <v>3343.21</v>
      </c>
      <c r="J31" s="12">
        <v>3309.43</v>
      </c>
      <c r="K31" s="12">
        <v>3378.03</v>
      </c>
      <c r="L31" s="12">
        <v>3361.86</v>
      </c>
      <c r="M31" s="13">
        <f t="shared" si="13"/>
        <v>1.0307874481941965</v>
      </c>
      <c r="N31" s="14" t="str">
        <f>IF(H31="Long",IF(L31&gt;=K31,"Win",IF(L31&lt;=J31,"Loss","Manually-Closed")),IF(My­_Journal[[#This Row],[Direction]]="Short",IF(My­_Journal[[#This Row],[Exit Price]]&lt;=My­_Journal[[#This Row],[Take Profit]],"Win",IF(My­_Journal[[#This Row],[Exit Price]]&gt;=My­_Journal[[#This Row],[Stop Loss]],"Loss","Manually-Closed")),""))</f>
        <v>Manually-Closed</v>
      </c>
      <c r="O31" s="12">
        <v>0</v>
      </c>
      <c r="P31" s="12">
        <v>540.85</v>
      </c>
      <c r="Q31" s="12">
        <v>15.32</v>
      </c>
      <c r="R31" s="12">
        <f>IF(My­_Journal[[#This Row],[$ Loss]]="","",My­_Journal[[#This Row],[Net_Profit]]-My­_Journal[[#This Row],[Net_Loss]])</f>
        <v>525.53</v>
      </c>
      <c r="S31" s="15">
        <f>IF(My­_Journal[[#This Row],[Net P&amp;L]]="","",My­_Journal[[#This Row],[Net P&amp;L]]/Working!$B$4)</f>
        <v>5.2553000000000001E-3</v>
      </c>
      <c r="T31" s="15">
        <f>IF(I31="","",Z31/Working!$B$4)</f>
        <v>5.2553000000000001E-3</v>
      </c>
      <c r="U31" s="15">
        <f>IF(I31="","",(O31/Working!$B$4))</f>
        <v>0</v>
      </c>
      <c r="V31" s="12">
        <f>IF(My­_Journal[[#This Row],[Commison]]="","",My­_Journal[[#This Row],[Commison]])</f>
        <v>15.32</v>
      </c>
      <c r="W31" s="12">
        <f>IF(My­_Journal[[#This Row],[Date]]="","",IF(ROW()&gt;2,W30-O31+P31-My­_Journal[[#This Row],[Comission_1]],Working!B33-My­_Journal[[#This Row],[Comission_1]]+My­_Journal[[#This Row],[$ Profit]]-My­_Journal[[#This Row],[$ Loss]]))</f>
        <v>99690.979999999981</v>
      </c>
      <c r="X31" s="12" t="str">
        <f>IF(My­_Journal[[#This Row],[Date]]="","",TEXT(My­_Journal[[#This Row],[Date]],"dd-mmm"))</f>
        <v>15-Jul</v>
      </c>
      <c r="Y31" s="10" t="str">
        <f t="shared" si="14"/>
        <v>Jul-2025</v>
      </c>
      <c r="Z31" s="17">
        <f>IF(My­_Journal[[#This Row],[$ Profit]]="","",IF(My­_Journal[[#This Row],[$ Profit]]=0, TEXT(0, "$0.00"), My­_Journal[[#This Row],[$ Profit]]-My­_Journal[[#This Row],[Comission_1]]))</f>
        <v>525.53</v>
      </c>
      <c r="AA31" s="12">
        <f>IF(My­_Journal[[#This Row],[$ Loss]]="","",IF(My­_Journal[[#This Row],[$ Loss]]=0,0,My­_Journal[[#This Row],[$ Loss]]-My­_Journal[[#This Row],[Comission_1]]))</f>
        <v>0</v>
      </c>
      <c r="AB31" s="11">
        <f>IF(B31="","",_xlfn.MAXIFS(B:B,Y:Y,My­_Journal[[#This Row],[Month-Year]]))</f>
        <v>45864</v>
      </c>
      <c r="AC31" s="12">
        <f>LOOKUP(2,1/(B$2:B$1006=AB31),W$2:W$1006)</f>
        <v>103661.62999999999</v>
      </c>
      <c r="AD31" s="13">
        <f>IF(My­_Journal[[#This Row],[Net P&amp;L %]]="","",My­_Journal[[#This Row],[Net P&amp;L %]]/Working!$Q$8)</f>
        <v>3.5035333333333334</v>
      </c>
      <c r="AE31" s="16">
        <f>IF(My­_Journal[[#This Row],[Date]]="","",IF(ROW()&gt;2,AE30+(AD31-1),Working!$Q$10+(AD31-1)))</f>
        <v>3.8802666666666714</v>
      </c>
      <c r="AF31" s="15" t="s">
        <v>118</v>
      </c>
    </row>
    <row r="32" spans="1:32" x14ac:dyDescent="0.25">
      <c r="A32" s="10">
        <f t="shared" si="0"/>
        <v>31</v>
      </c>
      <c r="B32" s="11">
        <v>45853</v>
      </c>
      <c r="C32" s="10" t="str">
        <f t="shared" ref="C32:C39" si="15">IF(B32="","",TEXT(B32,"mmmm"))</f>
        <v>July</v>
      </c>
      <c r="D32" s="11">
        <v>45853</v>
      </c>
      <c r="E32" s="10" t="s">
        <v>39</v>
      </c>
      <c r="F32" s="10">
        <v>0.1</v>
      </c>
      <c r="G32" s="10" t="s">
        <v>40</v>
      </c>
      <c r="H32" s="10" t="s">
        <v>35</v>
      </c>
      <c r="I32" s="12">
        <v>3341.3</v>
      </c>
      <c r="J32" s="12">
        <v>3316.12</v>
      </c>
      <c r="K32" s="12">
        <v>3376.46</v>
      </c>
      <c r="L32" s="12">
        <v>3367.34</v>
      </c>
      <c r="M32" s="13">
        <f t="shared" ref="M32:M39" si="16">IF(AND(I32&lt;&gt;"", J32&lt;&gt;"", K32&lt;&gt;""), IF(ABS(I32 - J32)&lt;0.0001, "Invalid", ABS(K32 - I32)/ABS(I32 - J32)), "")</f>
        <v>1.3963463065925119</v>
      </c>
      <c r="N32" s="14" t="str">
        <f>IF(H32="Long",IF(L32&gt;=K32,"Win",IF(L32&lt;=J32,"Loss","Manually-Closed")),IF(My­_Journal[[#This Row],[Direction]]="Short",IF(My­_Journal[[#This Row],[Exit Price]]&lt;=My­_Journal[[#This Row],[Take Profit]],"Win",IF(My­_Journal[[#This Row],[Exit Price]]&gt;=My­_Journal[[#This Row],[Stop Loss]],"Loss","Manually-Closed")),""))</f>
        <v>Manually-Closed</v>
      </c>
      <c r="O32" s="12">
        <v>0</v>
      </c>
      <c r="P32" s="12">
        <v>260.39999999999998</v>
      </c>
      <c r="Q32" s="12">
        <v>5.28</v>
      </c>
      <c r="R32" s="12">
        <f>IF(My­_Journal[[#This Row],[$ Loss]]="","",My­_Journal[[#This Row],[Net_Profit]]-My­_Journal[[#This Row],[Net_Loss]])</f>
        <v>255.11999999999998</v>
      </c>
      <c r="S32" s="15">
        <f>IF(My­_Journal[[#This Row],[Net P&amp;L]]="","",My­_Journal[[#This Row],[Net P&amp;L]]/Working!$B$4)</f>
        <v>2.5511999999999996E-3</v>
      </c>
      <c r="T32" s="15">
        <f>IF(I32="","",Z32/Working!$B$4)</f>
        <v>2.5511999999999996E-3</v>
      </c>
      <c r="U32" s="15">
        <f>IF(I32="","",(O32/Working!$B$4))</f>
        <v>0</v>
      </c>
      <c r="V32" s="12">
        <f>IF(My­_Journal[[#This Row],[Commison]]="","",My­_Journal[[#This Row],[Commison]])</f>
        <v>5.28</v>
      </c>
      <c r="W32" s="12">
        <f>IF(My­_Journal[[#This Row],[Date]]="","",IF(ROW()&gt;2,W31-O32+P32-My­_Journal[[#This Row],[Comission_1]],Working!B34-My­_Journal[[#This Row],[Comission_1]]+My­_Journal[[#This Row],[$ Profit]]-My­_Journal[[#This Row],[$ Loss]]))</f>
        <v>99946.099999999977</v>
      </c>
      <c r="X32" s="12" t="str">
        <f>IF(My­_Journal[[#This Row],[Date]]="","",TEXT(My­_Journal[[#This Row],[Date]],"dd-mmm"))</f>
        <v>15-Jul</v>
      </c>
      <c r="Y32" s="10" t="str">
        <f t="shared" ref="Y32:Y39" si="17">IF(B32="","",TEXT(B32,"mmm-yyyy"))</f>
        <v>Jul-2025</v>
      </c>
      <c r="Z32" s="17">
        <f>IF(My­_Journal[[#This Row],[$ Profit]]="","",IF(My­_Journal[[#This Row],[$ Profit]]=0, TEXT(0, "$0.00"), My­_Journal[[#This Row],[$ Profit]]-My­_Journal[[#This Row],[Comission_1]]))</f>
        <v>255.11999999999998</v>
      </c>
      <c r="AA32" s="12">
        <f>IF(My­_Journal[[#This Row],[$ Loss]]="","",IF(My­_Journal[[#This Row],[$ Loss]]=0,0,My­_Journal[[#This Row],[$ Loss]]-My­_Journal[[#This Row],[Comission_1]]))</f>
        <v>0</v>
      </c>
      <c r="AB32" s="11">
        <f>IF(B32="","",_xlfn.MAXIFS(B:B,Y:Y,My­_Journal[[#This Row],[Month-Year]]))</f>
        <v>45864</v>
      </c>
      <c r="AC32" s="12">
        <f>LOOKUP(2,1/(B$2:B$1006=AB32),W$2:W$1006)</f>
        <v>103661.62999999999</v>
      </c>
      <c r="AD32" s="13">
        <f>IF(My­_Journal[[#This Row],[Net P&amp;L %]]="","",My­_Journal[[#This Row],[Net P&amp;L %]]/Working!$Q$8)</f>
        <v>1.7007999999999996</v>
      </c>
      <c r="AE32" s="16">
        <f>IF(My­_Journal[[#This Row],[Date]]="","",IF(ROW()&gt;2,AE31+(AD32-1),Working!$Q$10+(AD32-1)))</f>
        <v>4.5810666666666711</v>
      </c>
      <c r="AF32" s="10" t="s">
        <v>118</v>
      </c>
    </row>
    <row r="33" spans="1:32" x14ac:dyDescent="0.25">
      <c r="A33" s="10">
        <f t="shared" si="0"/>
        <v>32</v>
      </c>
      <c r="B33" s="11">
        <v>45853</v>
      </c>
      <c r="C33" s="10" t="str">
        <f t="shared" si="15"/>
        <v>July</v>
      </c>
      <c r="D33" s="11">
        <v>45853</v>
      </c>
      <c r="E33" s="10" t="s">
        <v>39</v>
      </c>
      <c r="F33" s="10">
        <v>0.21</v>
      </c>
      <c r="G33" s="10" t="s">
        <v>40</v>
      </c>
      <c r="H33" s="10" t="s">
        <v>35</v>
      </c>
      <c r="I33" s="12">
        <v>3329.24</v>
      </c>
      <c r="J33" s="12">
        <v>3316.03</v>
      </c>
      <c r="K33" s="12">
        <v>3376.61</v>
      </c>
      <c r="L33" s="12">
        <v>3376.34</v>
      </c>
      <c r="M33" s="13">
        <f t="shared" si="16"/>
        <v>3.5859197577594131</v>
      </c>
      <c r="N33" s="14" t="str">
        <f>IF(H33="Long",IF(L33&gt;=K33,"Win",IF(L33&lt;=J33,"Loss","Manually-Closed")),IF(My­_Journal[[#This Row],[Direction]]="Short",IF(My­_Journal[[#This Row],[Exit Price]]&lt;=My­_Journal[[#This Row],[Take Profit]],"Win",IF(My­_Journal[[#This Row],[Exit Price]]&gt;=My­_Journal[[#This Row],[Stop Loss]],"Loss","Manually-Closed")),""))</f>
        <v>Manually-Closed</v>
      </c>
      <c r="O33" s="12">
        <v>0</v>
      </c>
      <c r="P33" s="12">
        <v>800.1</v>
      </c>
      <c r="Q33" s="12">
        <v>11.1</v>
      </c>
      <c r="R33" s="12">
        <f>IF(My­_Journal[[#This Row],[$ Loss]]="","",My­_Journal[[#This Row],[Net_Profit]]-My­_Journal[[#This Row],[Net_Loss]])</f>
        <v>789</v>
      </c>
      <c r="S33" s="15">
        <f>IF(My­_Journal[[#This Row],[Net P&amp;L]]="","",My­_Journal[[#This Row],[Net P&amp;L]]/Working!$B$4)</f>
        <v>7.8899999999999994E-3</v>
      </c>
      <c r="T33" s="15">
        <f>IF(I33="","",Z33/Working!$B$4)</f>
        <v>7.8899999999999994E-3</v>
      </c>
      <c r="U33" s="15">
        <f>IF(I33="","",(O33/Working!$B$4))</f>
        <v>0</v>
      </c>
      <c r="V33" s="12">
        <f>IF(My­_Journal[[#This Row],[Commison]]="","",My­_Journal[[#This Row],[Commison]])</f>
        <v>11.1</v>
      </c>
      <c r="W33" s="12">
        <f>IF(My­_Journal[[#This Row],[Date]]="","",IF(ROW()&gt;2,W32-O33+P33-My­_Journal[[#This Row],[Comission_1]],Working!B35-My­_Journal[[#This Row],[Comission_1]]+My­_Journal[[#This Row],[$ Profit]]-My­_Journal[[#This Row],[$ Loss]]))</f>
        <v>100735.09999999998</v>
      </c>
      <c r="X33" s="12" t="str">
        <f>IF(My­_Journal[[#This Row],[Date]]="","",TEXT(My­_Journal[[#This Row],[Date]],"dd-mmm"))</f>
        <v>15-Jul</v>
      </c>
      <c r="Y33" s="10" t="str">
        <f t="shared" si="17"/>
        <v>Jul-2025</v>
      </c>
      <c r="Z33" s="17">
        <f>IF(My­_Journal[[#This Row],[$ Profit]]="","",IF(My­_Journal[[#This Row],[$ Profit]]=0, TEXT(0, "$0.00"), My­_Journal[[#This Row],[$ Profit]]-My­_Journal[[#This Row],[Comission_1]]))</f>
        <v>789</v>
      </c>
      <c r="AA33" s="12">
        <f>IF(My­_Journal[[#This Row],[$ Loss]]="","",IF(My­_Journal[[#This Row],[$ Loss]]=0,0,My­_Journal[[#This Row],[$ Loss]]-My­_Journal[[#This Row],[Comission_1]]))</f>
        <v>0</v>
      </c>
      <c r="AB33" s="11">
        <f>IF(B33="","",_xlfn.MAXIFS(B:B,Y:Y,My­_Journal[[#This Row],[Month-Year]]))</f>
        <v>45864</v>
      </c>
      <c r="AC33" s="12">
        <f>LOOKUP(2,1/(B$2:B$1006=AB33),W$2:W$1006)</f>
        <v>103661.62999999999</v>
      </c>
      <c r="AD33" s="13">
        <f>IF(My­_Journal[[#This Row],[Net P&amp;L %]]="","",My­_Journal[[#This Row],[Net P&amp;L %]]/Working!$Q$8)</f>
        <v>5.26</v>
      </c>
      <c r="AE33" s="16">
        <f>IF(My­_Journal[[#This Row],[Date]]="","",IF(ROW()&gt;2,AE32+(AD33-1),Working!$Q$10+(AD33-1)))</f>
        <v>8.84106666666667</v>
      </c>
      <c r="AF33" s="10" t="s">
        <v>118</v>
      </c>
    </row>
    <row r="34" spans="1:32" x14ac:dyDescent="0.25">
      <c r="A34" s="10">
        <f t="shared" si="0"/>
        <v>33</v>
      </c>
      <c r="B34" s="11">
        <v>45855</v>
      </c>
      <c r="C34" s="10" t="str">
        <f t="shared" si="15"/>
        <v>July</v>
      </c>
      <c r="D34" s="11">
        <v>45856</v>
      </c>
      <c r="E34" s="10" t="s">
        <v>39</v>
      </c>
      <c r="F34" s="10">
        <v>0.15</v>
      </c>
      <c r="G34" s="10" t="s">
        <v>40</v>
      </c>
      <c r="H34" s="10" t="s">
        <v>35</v>
      </c>
      <c r="I34" s="12">
        <v>3331.06</v>
      </c>
      <c r="J34" s="12">
        <v>3315.32</v>
      </c>
      <c r="K34" s="12">
        <v>3379.64</v>
      </c>
      <c r="L34" s="12">
        <v>3349.54</v>
      </c>
      <c r="M34" s="13">
        <f t="shared" si="16"/>
        <v>3.0864040660737357</v>
      </c>
      <c r="N34" s="14" t="str">
        <f>IF(H34="Long",IF(L34&gt;=K34,"Win",IF(L34&lt;=J34,"Loss","Manually-Closed")),IF(My­_Journal[[#This Row],[Direction]]="Short",IF(My­_Journal[[#This Row],[Exit Price]]&lt;=My­_Journal[[#This Row],[Take Profit]],"Win",IF(My­_Journal[[#This Row],[Exit Price]]&gt;=My­_Journal[[#This Row],[Stop Loss]],"Loss","Manually-Closed")),""))</f>
        <v>Manually-Closed</v>
      </c>
      <c r="O34" s="12">
        <v>0</v>
      </c>
      <c r="P34" s="12">
        <v>277.2</v>
      </c>
      <c r="Q34" s="12">
        <v>7.93</v>
      </c>
      <c r="R34" s="12">
        <f>IF(My­_Journal[[#This Row],[$ Loss]]="","",My­_Journal[[#This Row],[Net_Profit]]-My­_Journal[[#This Row],[Net_Loss]])</f>
        <v>269.27</v>
      </c>
      <c r="S34" s="15">
        <f>IF(My­_Journal[[#This Row],[Net P&amp;L]]="","",My­_Journal[[#This Row],[Net P&amp;L]]/Working!$B$4)</f>
        <v>2.6926999999999997E-3</v>
      </c>
      <c r="T34" s="15">
        <f>IF(I34="","",Z34/Working!$B$4)</f>
        <v>2.6926999999999997E-3</v>
      </c>
      <c r="U34" s="15">
        <f>IF(I34="","",(O34/Working!$B$4))</f>
        <v>0</v>
      </c>
      <c r="V34" s="12">
        <f>IF(My­_Journal[[#This Row],[Commison]]="","",My­_Journal[[#This Row],[Commison]])</f>
        <v>7.93</v>
      </c>
      <c r="W34" s="12">
        <f>IF(My­_Journal[[#This Row],[Date]]="","",IF(ROW()&gt;2,W33-O34+P34-My­_Journal[[#This Row],[Comission_1]],Working!B36-My­_Journal[[#This Row],[Comission_1]]+My­_Journal[[#This Row],[$ Profit]]-My­_Journal[[#This Row],[$ Loss]]))</f>
        <v>101004.36999999998</v>
      </c>
      <c r="X34" s="12" t="str">
        <f>IF(My­_Journal[[#This Row],[Date]]="","",TEXT(My­_Journal[[#This Row],[Date]],"dd-mmm"))</f>
        <v>17-Jul</v>
      </c>
      <c r="Y34" s="10" t="str">
        <f t="shared" si="17"/>
        <v>Jul-2025</v>
      </c>
      <c r="Z34" s="17">
        <f>IF(My­_Journal[[#This Row],[$ Profit]]="","",IF(My­_Journal[[#This Row],[$ Profit]]=0, TEXT(0, "$0.00"), My­_Journal[[#This Row],[$ Profit]]-My­_Journal[[#This Row],[Comission_1]]))</f>
        <v>269.27</v>
      </c>
      <c r="AA34" s="12">
        <f>IF(My­_Journal[[#This Row],[$ Loss]]="","",IF(My­_Journal[[#This Row],[$ Loss]]=0,0,My­_Journal[[#This Row],[$ Loss]]-My­_Journal[[#This Row],[Comission_1]]))</f>
        <v>0</v>
      </c>
      <c r="AB34" s="11">
        <f>IF(B34="","",_xlfn.MAXIFS(B:B,Y:Y,My­_Journal[[#This Row],[Month-Year]]))</f>
        <v>45864</v>
      </c>
      <c r="AC34" s="12">
        <f>LOOKUP(2,1/(B$2:B$1006=AB34),W$2:W$1006)</f>
        <v>103661.62999999999</v>
      </c>
      <c r="AD34" s="13">
        <f>IF(My­_Journal[[#This Row],[Net P&amp;L %]]="","",My­_Journal[[#This Row],[Net P&amp;L %]]/Working!$Q$8)</f>
        <v>1.795133333333333</v>
      </c>
      <c r="AE34" s="16">
        <f>IF(My­_Journal[[#This Row],[Date]]="","",IF(ROW()&gt;2,AE33+(AD34-1),Working!$Q$10+(AD34-1)))</f>
        <v>9.6362000000000023</v>
      </c>
      <c r="AF34" s="10" t="s">
        <v>118</v>
      </c>
    </row>
    <row r="35" spans="1:32" x14ac:dyDescent="0.25">
      <c r="A35" s="10">
        <f t="shared" si="0"/>
        <v>34</v>
      </c>
      <c r="B35" s="11">
        <v>45855</v>
      </c>
      <c r="C35" s="10" t="str">
        <f t="shared" si="15"/>
        <v>July</v>
      </c>
      <c r="D35" s="11">
        <v>45856</v>
      </c>
      <c r="E35" s="10" t="s">
        <v>119</v>
      </c>
      <c r="F35" s="10">
        <v>1.27</v>
      </c>
      <c r="G35" s="10" t="s">
        <v>40</v>
      </c>
      <c r="H35" s="10" t="s">
        <v>35</v>
      </c>
      <c r="I35" s="12">
        <v>96.194000000000003</v>
      </c>
      <c r="J35" s="12">
        <v>96.19</v>
      </c>
      <c r="K35" s="12">
        <v>97.385999999999996</v>
      </c>
      <c r="L35" s="12">
        <v>97.385999999999996</v>
      </c>
      <c r="M35" s="13">
        <f t="shared" si="16"/>
        <v>297.9999999996341</v>
      </c>
      <c r="N35" s="14" t="str">
        <f>IF(H35="Long",IF(L35&gt;=K35,"Win",IF(L35&lt;=J35,"Loss","Manually-Closed")),IF(My­_Journal[[#This Row],[Direction]]="Short",IF(My­_Journal[[#This Row],[Exit Price]]&lt;=My­_Journal[[#This Row],[Take Profit]],"Win",IF(My­_Journal[[#This Row],[Exit Price]]&gt;=My­_Journal[[#This Row],[Stop Loss]],"Loss","Manually-Closed")),""))</f>
        <v>Win</v>
      </c>
      <c r="O35" s="12">
        <v>0</v>
      </c>
      <c r="P35" s="12">
        <v>610.20000000000005</v>
      </c>
      <c r="Q35" s="12">
        <v>6.35</v>
      </c>
      <c r="R35" s="12">
        <f>IF(My­_Journal[[#This Row],[$ Loss]]="","",My­_Journal[[#This Row],[Net_Profit]]-My­_Journal[[#This Row],[Net_Loss]])</f>
        <v>603.85</v>
      </c>
      <c r="S35" s="15">
        <f>IF(My­_Journal[[#This Row],[Net P&amp;L]]="","",My­_Journal[[#This Row],[Net P&amp;L]]/Working!$B$4)</f>
        <v>6.0385000000000005E-3</v>
      </c>
      <c r="T35" s="15">
        <f>IF(I35="","",Z35/Working!$B$4)</f>
        <v>6.0385000000000005E-3</v>
      </c>
      <c r="U35" s="15">
        <f>IF(I35="","",(O35/Working!$B$4))</f>
        <v>0</v>
      </c>
      <c r="V35" s="12">
        <f>IF(My­_Journal[[#This Row],[Commison]]="","",My­_Journal[[#This Row],[Commison]])</f>
        <v>6.35</v>
      </c>
      <c r="W35" s="12">
        <f>IF(My­_Journal[[#This Row],[Date]]="","",IF(ROW()&gt;2,W34-O35+P35-My­_Journal[[#This Row],[Comission_1]],Working!B37-My­_Journal[[#This Row],[Comission_1]]+My­_Journal[[#This Row],[$ Profit]]-My­_Journal[[#This Row],[$ Loss]]))</f>
        <v>101608.21999999997</v>
      </c>
      <c r="X35" s="12" t="str">
        <f>IF(My­_Journal[[#This Row],[Date]]="","",TEXT(My­_Journal[[#This Row],[Date]],"dd-mmm"))</f>
        <v>17-Jul</v>
      </c>
      <c r="Y35" s="10" t="str">
        <f t="shared" si="17"/>
        <v>Jul-2025</v>
      </c>
      <c r="Z35" s="17">
        <f>IF(My­_Journal[[#This Row],[$ Profit]]="","",IF(My­_Journal[[#This Row],[$ Profit]]=0, TEXT(0, "$0.00"), My­_Journal[[#This Row],[$ Profit]]-My­_Journal[[#This Row],[Comission_1]]))</f>
        <v>603.85</v>
      </c>
      <c r="AA35" s="12">
        <f>IF(My­_Journal[[#This Row],[$ Loss]]="","",IF(My­_Journal[[#This Row],[$ Loss]]=0,0,My­_Journal[[#This Row],[$ Loss]]-My­_Journal[[#This Row],[Comission_1]]))</f>
        <v>0</v>
      </c>
      <c r="AB35" s="11">
        <f>IF(B35="","",_xlfn.MAXIFS(B:B,Y:Y,My­_Journal[[#This Row],[Month-Year]]))</f>
        <v>45864</v>
      </c>
      <c r="AC35" s="12">
        <f>LOOKUP(2,1/(B$2:B$1006=AB35),W$2:W$1006)</f>
        <v>103661.62999999999</v>
      </c>
      <c r="AD35" s="13">
        <f>IF(My­_Journal[[#This Row],[Net P&amp;L %]]="","",My­_Journal[[#This Row],[Net P&amp;L %]]/Working!$Q$8)</f>
        <v>4.0256666666666669</v>
      </c>
      <c r="AE35" s="16">
        <f>IF(My­_Journal[[#This Row],[Date]]="","",IF(ROW()&gt;2,AE34+(AD35-1),Working!$Q$10+(AD35-1)))</f>
        <v>12.661866666666668</v>
      </c>
      <c r="AF35" s="10" t="s">
        <v>118</v>
      </c>
    </row>
    <row r="36" spans="1:32" x14ac:dyDescent="0.25">
      <c r="A36" s="10">
        <f t="shared" si="0"/>
        <v>35</v>
      </c>
      <c r="B36" s="11">
        <v>45855</v>
      </c>
      <c r="C36" s="10" t="str">
        <f t="shared" si="15"/>
        <v>July</v>
      </c>
      <c r="D36" s="11">
        <v>45856</v>
      </c>
      <c r="E36" s="10" t="s">
        <v>39</v>
      </c>
      <c r="F36" s="10">
        <v>0.15</v>
      </c>
      <c r="G36" s="10" t="s">
        <v>40</v>
      </c>
      <c r="H36" s="10" t="s">
        <v>35</v>
      </c>
      <c r="I36" s="12">
        <v>3315.44</v>
      </c>
      <c r="J36" s="12">
        <v>3315.83</v>
      </c>
      <c r="K36" s="12">
        <v>3379.5</v>
      </c>
      <c r="L36" s="12">
        <v>3349.43</v>
      </c>
      <c r="M36" s="13">
        <f t="shared" si="16"/>
        <v>164.25641025646374</v>
      </c>
      <c r="N36" s="14" t="str">
        <f>IF(H36="Long",IF(L36&gt;=K36,"Win",IF(L36&lt;=J36,"Loss","Manually-Closed")),IF(My­_Journal[[#This Row],[Direction]]="Short",IF(My­_Journal[[#This Row],[Exit Price]]&lt;=My­_Journal[[#This Row],[Take Profit]],"Win",IF(My­_Journal[[#This Row],[Exit Price]]&gt;=My­_Journal[[#This Row],[Stop Loss]],"Loss","Manually-Closed")),""))</f>
        <v>Manually-Closed</v>
      </c>
      <c r="O36" s="12">
        <v>0</v>
      </c>
      <c r="P36" s="12">
        <v>509.85</v>
      </c>
      <c r="Q36" s="12">
        <v>7.93</v>
      </c>
      <c r="R36" s="12">
        <f>IF(My­_Journal[[#This Row],[$ Loss]]="","",My­_Journal[[#This Row],[Net_Profit]]-My­_Journal[[#This Row],[Net_Loss]])</f>
        <v>501.92</v>
      </c>
      <c r="S36" s="15">
        <f>IF(My­_Journal[[#This Row],[Net P&amp;L]]="","",My­_Journal[[#This Row],[Net P&amp;L]]/Working!$B$4)</f>
        <v>5.0192000000000006E-3</v>
      </c>
      <c r="T36" s="15">
        <f>IF(I36="","",Z36/Working!$B$4)</f>
        <v>5.0192000000000006E-3</v>
      </c>
      <c r="U36" s="15">
        <f>IF(I36="","",(O36/Working!$B$4))</f>
        <v>0</v>
      </c>
      <c r="V36" s="12">
        <f>IF(My­_Journal[[#This Row],[Commison]]="","",My­_Journal[[#This Row],[Commison]])</f>
        <v>7.93</v>
      </c>
      <c r="W36" s="12">
        <f>IF(My­_Journal[[#This Row],[Date]]="","",IF(ROW()&gt;2,W35-O36+P36-My­_Journal[[#This Row],[Comission_1]],Working!B38-My­_Journal[[#This Row],[Comission_1]]+My­_Journal[[#This Row],[$ Profit]]-My­_Journal[[#This Row],[$ Loss]]))</f>
        <v>102110.13999999998</v>
      </c>
      <c r="X36" s="12" t="str">
        <f>IF(My­_Journal[[#This Row],[Date]]="","",TEXT(My­_Journal[[#This Row],[Date]],"dd-mmm"))</f>
        <v>17-Jul</v>
      </c>
      <c r="Y36" s="10" t="str">
        <f t="shared" si="17"/>
        <v>Jul-2025</v>
      </c>
      <c r="Z36" s="17">
        <f>IF(My­_Journal[[#This Row],[$ Profit]]="","",IF(My­_Journal[[#This Row],[$ Profit]]=0, TEXT(0, "$0.00"), My­_Journal[[#This Row],[$ Profit]]-My­_Journal[[#This Row],[Comission_1]]))</f>
        <v>501.92</v>
      </c>
      <c r="AA36" s="12">
        <f>IF(My­_Journal[[#This Row],[$ Loss]]="","",IF(My­_Journal[[#This Row],[$ Loss]]=0,0,My­_Journal[[#This Row],[$ Loss]]-My­_Journal[[#This Row],[Comission_1]]))</f>
        <v>0</v>
      </c>
      <c r="AB36" s="11">
        <f>IF(B36="","",_xlfn.MAXIFS(B:B,Y:Y,My­_Journal[[#This Row],[Month-Year]]))</f>
        <v>45864</v>
      </c>
      <c r="AC36" s="12">
        <f>LOOKUP(2,1/(B$2:B$1006=AB36),W$2:W$1006)</f>
        <v>103661.62999999999</v>
      </c>
      <c r="AD36" s="13">
        <f>IF(My­_Journal[[#This Row],[Net P&amp;L %]]="","",My­_Journal[[#This Row],[Net P&amp;L %]]/Working!$Q$8)</f>
        <v>3.3461333333333338</v>
      </c>
      <c r="AE36" s="16">
        <f>IF(My­_Journal[[#This Row],[Date]]="","",IF(ROW()&gt;2,AE35+(AD36-1),Working!$Q$10+(AD36-1)))</f>
        <v>15.008000000000003</v>
      </c>
      <c r="AF36" s="10" t="s">
        <v>118</v>
      </c>
    </row>
    <row r="37" spans="1:32" x14ac:dyDescent="0.25">
      <c r="A37" s="10">
        <f t="shared" si="0"/>
        <v>36</v>
      </c>
      <c r="B37" s="11">
        <v>45859</v>
      </c>
      <c r="C37" s="10" t="str">
        <f t="shared" si="15"/>
        <v>July</v>
      </c>
      <c r="D37" s="11">
        <v>45859</v>
      </c>
      <c r="E37" s="10" t="s">
        <v>39</v>
      </c>
      <c r="F37" s="10">
        <v>0.3</v>
      </c>
      <c r="G37" s="10" t="s">
        <v>40</v>
      </c>
      <c r="H37" s="10" t="s">
        <v>35</v>
      </c>
      <c r="I37" s="12">
        <v>3345.55</v>
      </c>
      <c r="J37" s="12">
        <v>3339.27</v>
      </c>
      <c r="K37" s="12">
        <v>3381.65</v>
      </c>
      <c r="L37" s="12">
        <v>3381.65</v>
      </c>
      <c r="M37" s="13">
        <f t="shared" si="16"/>
        <v>5.7484076433119045</v>
      </c>
      <c r="N37" s="14" t="str">
        <f>IF(H37="Long",IF(L37&gt;=K37,"Win",IF(L37&lt;=J37,"Loss","Manually-Closed")),IF(My­_Journal[[#This Row],[Direction]]="Short",IF(My­_Journal[[#This Row],[Exit Price]]&lt;=My­_Journal[[#This Row],[Take Profit]],"Win",IF(My­_Journal[[#This Row],[Exit Price]]&gt;=My­_Journal[[#This Row],[Stop Loss]],"Loss","Manually-Closed")),""))</f>
        <v>Win</v>
      </c>
      <c r="O37" s="12">
        <v>0</v>
      </c>
      <c r="P37" s="12">
        <v>1083</v>
      </c>
      <c r="Q37" s="12">
        <v>0.6</v>
      </c>
      <c r="R37" s="12">
        <f>IF(My­_Journal[[#This Row],[$ Loss]]="","",My­_Journal[[#This Row],[Net_Profit]]-My­_Journal[[#This Row],[Net_Loss]])</f>
        <v>1082.4000000000001</v>
      </c>
      <c r="S37" s="15">
        <f>IF(My­_Journal[[#This Row],[Net P&amp;L]]="","",My­_Journal[[#This Row],[Net P&amp;L]]/Working!$B$4)</f>
        <v>1.0824E-2</v>
      </c>
      <c r="T37" s="15">
        <f>IF(I37="","",Z37/Working!$B$4)</f>
        <v>1.0824E-2</v>
      </c>
      <c r="U37" s="15">
        <f>IF(I37="","",(O37/Working!$B$4))</f>
        <v>0</v>
      </c>
      <c r="V37" s="12">
        <f>IF(My­_Journal[[#This Row],[Commison]]="","",My­_Journal[[#This Row],[Commison]])</f>
        <v>0.6</v>
      </c>
      <c r="W37" s="12">
        <f>IF(My­_Journal[[#This Row],[Date]]="","",IF(ROW()&gt;2,W36-O37+P37-My­_Journal[[#This Row],[Comission_1]],Working!B39-My­_Journal[[#This Row],[Comission_1]]+My­_Journal[[#This Row],[$ Profit]]-My­_Journal[[#This Row],[$ Loss]]))</f>
        <v>103192.53999999998</v>
      </c>
      <c r="X37" s="12" t="str">
        <f>IF(My­_Journal[[#This Row],[Date]]="","",TEXT(My­_Journal[[#This Row],[Date]],"dd-mmm"))</f>
        <v>21-Jul</v>
      </c>
      <c r="Y37" s="10" t="str">
        <f t="shared" si="17"/>
        <v>Jul-2025</v>
      </c>
      <c r="Z37" s="17">
        <f>IF(My­_Journal[[#This Row],[$ Profit]]="","",IF(My­_Journal[[#This Row],[$ Profit]]=0, TEXT(0, "$0.00"), My­_Journal[[#This Row],[$ Profit]]-My­_Journal[[#This Row],[Comission_1]]))</f>
        <v>1082.4000000000001</v>
      </c>
      <c r="AA37" s="12">
        <f>IF(My­_Journal[[#This Row],[$ Loss]]="","",IF(My­_Journal[[#This Row],[$ Loss]]=0,0,My­_Journal[[#This Row],[$ Loss]]-My­_Journal[[#This Row],[Comission_1]]))</f>
        <v>0</v>
      </c>
      <c r="AB37" s="11">
        <f>IF(B37="","",_xlfn.MAXIFS(B:B,Y:Y,My­_Journal[[#This Row],[Month-Year]]))</f>
        <v>45864</v>
      </c>
      <c r="AC37" s="12">
        <f>LOOKUP(2,1/(B$2:B$1006=AB37),W$2:W$1006)</f>
        <v>103661.62999999999</v>
      </c>
      <c r="AD37" s="13">
        <f>IF(My­_Journal[[#This Row],[Net P&amp;L %]]="","",My­_Journal[[#This Row],[Net P&amp;L %]]/Working!$Q$8)</f>
        <v>7.2160000000000002</v>
      </c>
      <c r="AE37" s="16">
        <f>IF(My­_Journal[[#This Row],[Date]]="","",IF(ROW()&gt;2,AE36+(AD37-1),Working!$Q$10+(AD37-1)))</f>
        <v>21.224000000000004</v>
      </c>
      <c r="AF37" s="10" t="s">
        <v>118</v>
      </c>
    </row>
    <row r="38" spans="1:32" x14ac:dyDescent="0.25">
      <c r="A38" s="10">
        <f t="shared" si="0"/>
        <v>37</v>
      </c>
      <c r="B38" s="11">
        <v>45860</v>
      </c>
      <c r="C38" s="10" t="str">
        <f t="shared" si="15"/>
        <v>July</v>
      </c>
      <c r="D38" s="11">
        <v>45860</v>
      </c>
      <c r="E38" s="10" t="s">
        <v>33</v>
      </c>
      <c r="F38" s="10">
        <v>4</v>
      </c>
      <c r="G38" s="10" t="s">
        <v>40</v>
      </c>
      <c r="H38" s="10" t="s">
        <v>35</v>
      </c>
      <c r="I38" s="12">
        <v>1.36879</v>
      </c>
      <c r="J38" s="12">
        <v>1.36859</v>
      </c>
      <c r="K38" s="12">
        <v>1.36232</v>
      </c>
      <c r="L38" s="12">
        <v>1.3673599999999999</v>
      </c>
      <c r="M38" s="13">
        <f t="shared" si="16"/>
        <v>32.35000000000344</v>
      </c>
      <c r="N38" s="14" t="str">
        <f>IF(H38="Long",IF(L38&gt;=K38,"Win",IF(L38&lt;=J38,"Loss","Manually-Closed")),IF(My­_Journal[[#This Row],[Direction]]="Short",IF(My­_Journal[[#This Row],[Exit Price]]&lt;=My­_Journal[[#This Row],[Take Profit]],"Win",IF(My­_Journal[[#This Row],[Exit Price]]&gt;=My­_Journal[[#This Row],[Stop Loss]],"Loss","Manually-Closed")),""))</f>
        <v>Win</v>
      </c>
      <c r="O38" s="12">
        <v>81.84</v>
      </c>
      <c r="P38" s="12">
        <v>0</v>
      </c>
      <c r="Q38" s="12">
        <v>20</v>
      </c>
      <c r="R38" s="12">
        <f>IF(My­_Journal[[#This Row],[$ Loss]]="","",My­_Journal[[#This Row],[Net_Profit]]-My­_Journal[[#This Row],[Net_Loss]])</f>
        <v>-61.84</v>
      </c>
      <c r="S38" s="15">
        <f>IF(My­_Journal[[#This Row],[Net P&amp;L]]="","",My­_Journal[[#This Row],[Net P&amp;L]]/Working!$B$4)</f>
        <v>-6.1840000000000007E-4</v>
      </c>
      <c r="T38" s="15">
        <f>IF(I38="","",Z38/Working!$B$4)</f>
        <v>0</v>
      </c>
      <c r="U38" s="15">
        <f>IF(I38="","",(O38/Working!$B$4))</f>
        <v>8.1840000000000005E-4</v>
      </c>
      <c r="V38" s="12">
        <f>IF(My­_Journal[[#This Row],[Commison]]="","",My­_Journal[[#This Row],[Commison]])</f>
        <v>20</v>
      </c>
      <c r="W38" s="12">
        <f>IF(My­_Journal[[#This Row],[Date]]="","",IF(ROW()&gt;2,W37-O38+P38-My­_Journal[[#This Row],[Comission_1]],Working!B40-My­_Journal[[#This Row],[Comission_1]]+My­_Journal[[#This Row],[$ Profit]]-My­_Journal[[#This Row],[$ Loss]]))</f>
        <v>103090.69999999998</v>
      </c>
      <c r="X38" s="12" t="str">
        <f>IF(My­_Journal[[#This Row],[Date]]="","",TEXT(My­_Journal[[#This Row],[Date]],"dd-mmm"))</f>
        <v>22-Jul</v>
      </c>
      <c r="Y38" s="10" t="str">
        <f t="shared" si="17"/>
        <v>Jul-2025</v>
      </c>
      <c r="Z38" s="17" t="str">
        <f>IF(My­_Journal[[#This Row],[$ Profit]]="","",IF(My­_Journal[[#This Row],[$ Profit]]=0, TEXT(0, "$0.00"), My­_Journal[[#This Row],[$ Profit]]-My­_Journal[[#This Row],[Comission_1]]))</f>
        <v>$0.00</v>
      </c>
      <c r="AA38" s="12">
        <f>IF(My­_Journal[[#This Row],[$ Loss]]="","",IF(My­_Journal[[#This Row],[$ Loss]]=0,0,My­_Journal[[#This Row],[$ Loss]]-My­_Journal[[#This Row],[Comission_1]]))</f>
        <v>61.84</v>
      </c>
      <c r="AB38" s="11">
        <f>IF(B38="","",_xlfn.MAXIFS(B:B,Y:Y,My­_Journal[[#This Row],[Month-Year]]))</f>
        <v>45864</v>
      </c>
      <c r="AC38" s="12">
        <f>LOOKUP(2,1/(B$2:B$1006=AB38),W$2:W$1006)</f>
        <v>103661.62999999999</v>
      </c>
      <c r="AD38" s="13">
        <f>IF(My­_Journal[[#This Row],[Net P&amp;L %]]="","",My­_Journal[[#This Row],[Net P&amp;L %]]/Working!$Q$8)</f>
        <v>-0.41226666666666673</v>
      </c>
      <c r="AE38" s="16">
        <f>IF(My­_Journal[[#This Row],[Date]]="","",IF(ROW()&gt;2,AE37+(AD38-1),Working!$Q$10+(AD38-1)))</f>
        <v>19.811733333333336</v>
      </c>
    </row>
    <row r="39" spans="1:32" x14ac:dyDescent="0.25">
      <c r="A39" s="10">
        <f t="shared" si="0"/>
        <v>38</v>
      </c>
      <c r="B39" s="11">
        <v>45860</v>
      </c>
      <c r="C39" s="10" t="str">
        <f t="shared" si="15"/>
        <v>July</v>
      </c>
      <c r="D39" s="11">
        <v>45860</v>
      </c>
      <c r="E39" s="10" t="s">
        <v>33</v>
      </c>
      <c r="F39" s="10">
        <v>4.96</v>
      </c>
      <c r="G39" s="10" t="s">
        <v>40</v>
      </c>
      <c r="H39" s="10" t="s">
        <v>38</v>
      </c>
      <c r="I39" s="12">
        <v>1.36829</v>
      </c>
      <c r="J39" s="12">
        <v>1.36921</v>
      </c>
      <c r="K39" s="12">
        <v>1.3673599999999999</v>
      </c>
      <c r="L39" s="12">
        <v>1.3673599999999999</v>
      </c>
      <c r="M39" s="13">
        <f t="shared" si="16"/>
        <v>1.0108695652174622</v>
      </c>
      <c r="N39" s="14" t="str">
        <f>IF(H39="Long",IF(L39&gt;=K39,"Win",IF(L39&lt;=J39,"Loss","Manually-Closed")),IF(My­_Journal[[#This Row],[Direction]]="Short",IF(My­_Journal[[#This Row],[Exit Price]]&lt;=My­_Journal[[#This Row],[Take Profit]],"Win",IF(My­_Journal[[#This Row],[Exit Price]]&gt;=My­_Journal[[#This Row],[Stop Loss]],"Loss","Manually-Closed")),""))</f>
        <v>Win</v>
      </c>
      <c r="O39" s="12">
        <v>0</v>
      </c>
      <c r="P39" s="12">
        <v>326.45999999999998</v>
      </c>
      <c r="Q39" s="12">
        <v>24.8</v>
      </c>
      <c r="R39" s="12">
        <f>IF(My­_Journal[[#This Row],[$ Loss]]="","",My­_Journal[[#This Row],[Net_Profit]]-My­_Journal[[#This Row],[Net_Loss]])</f>
        <v>301.65999999999997</v>
      </c>
      <c r="S39" s="15">
        <f>IF(My­_Journal[[#This Row],[Net P&amp;L]]="","",My­_Journal[[#This Row],[Net P&amp;L]]/Working!$B$4)</f>
        <v>3.0165999999999995E-3</v>
      </c>
      <c r="T39" s="15">
        <f>IF(I39="","",Z39/Working!$B$4)</f>
        <v>3.0165999999999995E-3</v>
      </c>
      <c r="U39" s="15">
        <f>IF(I39="","",(O39/Working!$B$4))</f>
        <v>0</v>
      </c>
      <c r="V39" s="12">
        <f>IF(My­_Journal[[#This Row],[Commison]]="","",My­_Journal[[#This Row],[Commison]])</f>
        <v>24.8</v>
      </c>
      <c r="W39" s="12">
        <f>IF(My­_Journal[[#This Row],[Date]]="","",IF(ROW()&gt;2,W38-O39+P39-My­_Journal[[#This Row],[Comission_1]],Working!B41-My­_Journal[[#This Row],[Comission_1]]+My­_Journal[[#This Row],[$ Profit]]-My­_Journal[[#This Row],[$ Loss]]))</f>
        <v>103392.35999999999</v>
      </c>
      <c r="X39" s="12" t="str">
        <f>IF(My­_Journal[[#This Row],[Date]]="","",TEXT(My­_Journal[[#This Row],[Date]],"dd-mmm"))</f>
        <v>22-Jul</v>
      </c>
      <c r="Y39" s="10" t="str">
        <f t="shared" si="17"/>
        <v>Jul-2025</v>
      </c>
      <c r="Z39" s="17">
        <f>IF(My­_Journal[[#This Row],[$ Profit]]="","",IF(My­_Journal[[#This Row],[$ Profit]]=0, TEXT(0, "$0.00"), My­_Journal[[#This Row],[$ Profit]]-My­_Journal[[#This Row],[Comission_1]]))</f>
        <v>301.65999999999997</v>
      </c>
      <c r="AA39" s="12">
        <f>IF(My­_Journal[[#This Row],[$ Loss]]="","",IF(My­_Journal[[#This Row],[$ Loss]]=0,0,My­_Journal[[#This Row],[$ Loss]]-My­_Journal[[#This Row],[Comission_1]]))</f>
        <v>0</v>
      </c>
      <c r="AB39" s="11">
        <f>IF(B39="","",_xlfn.MAXIFS(B:B,Y:Y,My­_Journal[[#This Row],[Month-Year]]))</f>
        <v>45864</v>
      </c>
      <c r="AC39" s="12">
        <f>LOOKUP(2,1/(B$2:B$1006=AB39),W$2:W$1006)</f>
        <v>103661.62999999999</v>
      </c>
      <c r="AD39" s="13">
        <f>IF(My­_Journal[[#This Row],[Net P&amp;L %]]="","",My­_Journal[[#This Row],[Net P&amp;L %]]/Working!$Q$8)</f>
        <v>2.0110666666666663</v>
      </c>
      <c r="AE39" s="16">
        <f>IF(My­_Journal[[#This Row],[Date]]="","",IF(ROW()&gt;2,AE38+(AD39-1),Working!$Q$10+(AD39-1)))</f>
        <v>20.822800000000001</v>
      </c>
    </row>
    <row r="40" spans="1:32" x14ac:dyDescent="0.25">
      <c r="A40" s="10">
        <f t="shared" si="0"/>
        <v>39</v>
      </c>
      <c r="B40" s="11">
        <v>45864</v>
      </c>
      <c r="C40" s="10" t="str">
        <f t="shared" ref="C40:C46" si="18">IF(B40="","",TEXT(B40,"mmmm"))</f>
        <v>July</v>
      </c>
      <c r="D40" s="11">
        <v>45852</v>
      </c>
      <c r="E40" s="10" t="s">
        <v>39</v>
      </c>
      <c r="F40" s="10">
        <v>0.15</v>
      </c>
      <c r="G40" s="10" t="s">
        <v>40</v>
      </c>
      <c r="H40" s="10" t="s">
        <v>35</v>
      </c>
      <c r="I40" s="12">
        <v>3331.06</v>
      </c>
      <c r="J40" s="12">
        <v>3315.32</v>
      </c>
      <c r="K40" s="12">
        <v>3379.64</v>
      </c>
      <c r="L40" s="12">
        <v>3349.54</v>
      </c>
      <c r="M40" s="13">
        <f t="shared" ref="M40:M46" si="19">IF(AND(I40&lt;&gt;"", J40&lt;&gt;"", K40&lt;&gt;""), IF(ABS(I40 - J40)&lt;0.0001, "Invalid", ABS(K40 - I40)/ABS(I40 - J40)), "")</f>
        <v>3.0864040660737357</v>
      </c>
      <c r="N40" s="14" t="str">
        <f>IF(H40="Long",IF(L40&gt;=K40,"Win",IF(L40&lt;=J40,"Loss","Manually-Closed")),IF(My­_Journal[[#This Row],[Direction]]="Short",IF(My­_Journal[[#This Row],[Exit Price]]&lt;=My­_Journal[[#This Row],[Take Profit]],"Win",IF(My­_Journal[[#This Row],[Exit Price]]&gt;=My­_Journal[[#This Row],[Stop Loss]],"Loss","Manually-Closed")),""))</f>
        <v>Manually-Closed</v>
      </c>
      <c r="O40" s="12">
        <v>0</v>
      </c>
      <c r="P40" s="12">
        <v>277.2</v>
      </c>
      <c r="Q40" s="12">
        <v>7.93</v>
      </c>
      <c r="R40" s="12">
        <f>IF(My­_Journal[[#This Row],[$ Loss]]="","",My­_Journal[[#This Row],[Net_Profit]]-My­_Journal[[#This Row],[Net_Loss]])</f>
        <v>269.27</v>
      </c>
      <c r="S40" s="15">
        <f>IF(My­_Journal[[#This Row],[Net P&amp;L]]="","",My­_Journal[[#This Row],[Net P&amp;L]]/Working!$B$4)</f>
        <v>2.6926999999999997E-3</v>
      </c>
      <c r="T40" s="15">
        <f>IF(I40="","",Z40/Working!$B$4)</f>
        <v>2.6926999999999997E-3</v>
      </c>
      <c r="U40" s="15">
        <f>IF(I40="","",(O40/Working!$B$4))</f>
        <v>0</v>
      </c>
      <c r="V40" s="12">
        <f>IF(My­_Journal[[#This Row],[Commison]]="","",My­_Journal[[#This Row],[Commison]])</f>
        <v>7.93</v>
      </c>
      <c r="W40" s="12">
        <f>IF(My­_Journal[[#This Row],[Date]]="","",IF(ROW()&gt;2,W39-O40+P40-My­_Journal[[#This Row],[Comission_1]],Working!B42-My­_Journal[[#This Row],[Comission_1]]+My­_Journal[[#This Row],[$ Profit]]-My­_Journal[[#This Row],[$ Loss]]))</f>
        <v>103661.62999999999</v>
      </c>
      <c r="X40" s="12" t="str">
        <f>IF(My­_Journal[[#This Row],[Date]]="","",TEXT(My­_Journal[[#This Row],[Date]],"dd-mmm"))</f>
        <v>26-Jul</v>
      </c>
      <c r="Y40" s="10" t="str">
        <f t="shared" ref="Y40:Y46" si="20">IF(B40="","",TEXT(B40,"mmm-yyyy"))</f>
        <v>Jul-2025</v>
      </c>
      <c r="Z40" s="17">
        <f>IF(My­_Journal[[#This Row],[$ Profit]]="","",IF(My­_Journal[[#This Row],[$ Profit]]=0, TEXT(0, "$0.00"), My­_Journal[[#This Row],[$ Profit]]-My­_Journal[[#This Row],[Comission_1]]))</f>
        <v>269.27</v>
      </c>
      <c r="AA40" s="12">
        <f>IF(My­_Journal[[#This Row],[$ Loss]]="","",IF(My­_Journal[[#This Row],[$ Loss]]=0,0,My­_Journal[[#This Row],[$ Loss]]-My­_Journal[[#This Row],[Comission_1]]))</f>
        <v>0</v>
      </c>
      <c r="AB40" s="11">
        <f>IF(B40="","",_xlfn.MAXIFS(B:B,Y:Y,My­_Journal[[#This Row],[Month-Year]]))</f>
        <v>45864</v>
      </c>
      <c r="AC40" s="12">
        <f>LOOKUP(2,1/(B$2:B$1006=AB40),W$2:W$1006)</f>
        <v>103661.62999999999</v>
      </c>
      <c r="AD40" s="13">
        <f>IF(My­_Journal[[#This Row],[Net P&amp;L %]]="","",My­_Journal[[#This Row],[Net P&amp;L %]]/Working!$Q$8)</f>
        <v>1.795133333333333</v>
      </c>
      <c r="AE40" s="16">
        <f>IF(My­_Journal[[#This Row],[Date]]="","",IF(ROW()&gt;2,AE39+(AD40-1),Working!$Q$10+(AD40-1)))</f>
        <v>21.617933333333333</v>
      </c>
      <c r="AF40" s="10" t="s">
        <v>118</v>
      </c>
    </row>
    <row r="41" spans="1:32" x14ac:dyDescent="0.25">
      <c r="A41" s="10">
        <f t="shared" si="0"/>
        <v>40</v>
      </c>
      <c r="B41" s="11">
        <v>45870</v>
      </c>
      <c r="C41" s="10" t="str">
        <f t="shared" si="18"/>
        <v>August</v>
      </c>
      <c r="D41" s="11">
        <v>45852</v>
      </c>
      <c r="E41" s="10" t="s">
        <v>119</v>
      </c>
      <c r="F41" s="10">
        <v>1.27</v>
      </c>
      <c r="G41" s="10" t="s">
        <v>40</v>
      </c>
      <c r="H41" s="10" t="s">
        <v>35</v>
      </c>
      <c r="I41" s="12">
        <v>96.194000000000003</v>
      </c>
      <c r="J41" s="12">
        <v>96.19</v>
      </c>
      <c r="K41" s="12">
        <v>97.385999999999996</v>
      </c>
      <c r="L41" s="12">
        <v>97.385999999999996</v>
      </c>
      <c r="M41" s="13">
        <f t="shared" si="19"/>
        <v>297.9999999996341</v>
      </c>
      <c r="N41" s="14" t="str">
        <f>IF(H41="Long",IF(L41&gt;=K41,"Win",IF(L41&lt;=J41,"Loss","Manually-Closed")),IF(My­_Journal[[#This Row],[Direction]]="Short",IF(My­_Journal[[#This Row],[Exit Price]]&lt;=My­_Journal[[#This Row],[Take Profit]],"Win",IF(My­_Journal[[#This Row],[Exit Price]]&gt;=My­_Journal[[#This Row],[Stop Loss]],"Loss","Manually-Closed")),""))</f>
        <v>Win</v>
      </c>
      <c r="O41" s="12">
        <v>0</v>
      </c>
      <c r="P41" s="12">
        <v>610.20000000000005</v>
      </c>
      <c r="Q41" s="12">
        <v>6.35</v>
      </c>
      <c r="R41" s="12">
        <f>IF(My­_Journal[[#This Row],[$ Loss]]="","",My­_Journal[[#This Row],[Net_Profit]]-My­_Journal[[#This Row],[Net_Loss]])</f>
        <v>603.85</v>
      </c>
      <c r="S41" s="15">
        <f>IF(My­_Journal[[#This Row],[Net P&amp;L]]="","",My­_Journal[[#This Row],[Net P&amp;L]]/Working!$B$4)</f>
        <v>6.0385000000000005E-3</v>
      </c>
      <c r="T41" s="15">
        <f>IF(I41="","",Z41/Working!$B$4)</f>
        <v>6.0385000000000005E-3</v>
      </c>
      <c r="U41" s="15">
        <f>IF(I41="","",(O41/Working!$B$4))</f>
        <v>0</v>
      </c>
      <c r="V41" s="12">
        <f>IF(My­_Journal[[#This Row],[Commison]]="","",My­_Journal[[#This Row],[Commison]])</f>
        <v>6.35</v>
      </c>
      <c r="W41" s="12">
        <f>IF(My­_Journal[[#This Row],[Date]]="","",IF(ROW()&gt;2,W40-O41+P41-My­_Journal[[#This Row],[Comission_1]],Working!B43-My­_Journal[[#This Row],[Comission_1]]+My­_Journal[[#This Row],[$ Profit]]-My­_Journal[[#This Row],[$ Loss]]))</f>
        <v>104265.47999999998</v>
      </c>
      <c r="X41" s="12" t="str">
        <f>IF(My­_Journal[[#This Row],[Date]]="","",TEXT(My­_Journal[[#This Row],[Date]],"dd-mmm"))</f>
        <v>01-Aug</v>
      </c>
      <c r="Y41" s="10" t="str">
        <f t="shared" si="20"/>
        <v>Aug-2025</v>
      </c>
      <c r="Z41" s="17">
        <f>IF(My­_Journal[[#This Row],[$ Profit]]="","",IF(My­_Journal[[#This Row],[$ Profit]]=0, TEXT(0, "$0.00"), My­_Journal[[#This Row],[$ Profit]]-My­_Journal[[#This Row],[Comission_1]]))</f>
        <v>603.85</v>
      </c>
      <c r="AA41" s="12">
        <f>IF(My­_Journal[[#This Row],[$ Loss]]="","",IF(My­_Journal[[#This Row],[$ Loss]]=0,0,My­_Journal[[#This Row],[$ Loss]]-My­_Journal[[#This Row],[Comission_1]]))</f>
        <v>0</v>
      </c>
      <c r="AB41" s="11">
        <f>IF(B41="","",_xlfn.MAXIFS(B:B,Y:Y,My­_Journal[[#This Row],[Month-Year]]))</f>
        <v>45875</v>
      </c>
      <c r="AC41" s="12">
        <f>LOOKUP(2,1/(B$2:B$1006=AB41),W$2:W$1006)</f>
        <v>106351.28</v>
      </c>
      <c r="AD41" s="13">
        <f>IF(My­_Journal[[#This Row],[Net P&amp;L %]]="","",My­_Journal[[#This Row],[Net P&amp;L %]]/Working!$Q$8)</f>
        <v>4.0256666666666669</v>
      </c>
      <c r="AE41" s="16">
        <f>IF(My­_Journal[[#This Row],[Date]]="","",IF(ROW()&gt;2,AE40+(AD41-1),Working!$Q$10+(AD41-1)))</f>
        <v>24.643599999999999</v>
      </c>
      <c r="AF41" s="10" t="s">
        <v>118</v>
      </c>
    </row>
    <row r="42" spans="1:32" x14ac:dyDescent="0.25">
      <c r="A42" s="10">
        <f t="shared" si="0"/>
        <v>41</v>
      </c>
      <c r="B42" s="11">
        <v>45871</v>
      </c>
      <c r="C42" s="10" t="str">
        <f t="shared" si="18"/>
        <v>August</v>
      </c>
      <c r="D42" s="11">
        <v>45852</v>
      </c>
      <c r="E42" s="10" t="s">
        <v>39</v>
      </c>
      <c r="F42" s="10">
        <v>0.15</v>
      </c>
      <c r="G42" s="10" t="s">
        <v>40</v>
      </c>
      <c r="H42" s="10" t="s">
        <v>35</v>
      </c>
      <c r="I42" s="12">
        <v>3315.44</v>
      </c>
      <c r="J42" s="12">
        <v>3315.83</v>
      </c>
      <c r="K42" s="12">
        <v>3379.5</v>
      </c>
      <c r="L42" s="12">
        <v>3349.43</v>
      </c>
      <c r="M42" s="13">
        <f t="shared" si="19"/>
        <v>164.25641025646374</v>
      </c>
      <c r="N42" s="14" t="str">
        <f>IF(H42="Long",IF(L42&gt;=K42,"Win",IF(L42&lt;=J42,"Loss","Manually-Closed")),IF(My­_Journal[[#This Row],[Direction]]="Short",IF(My­_Journal[[#This Row],[Exit Price]]&lt;=My­_Journal[[#This Row],[Take Profit]],"Win",IF(My­_Journal[[#This Row],[Exit Price]]&gt;=My­_Journal[[#This Row],[Stop Loss]],"Loss","Manually-Closed")),""))</f>
        <v>Manually-Closed</v>
      </c>
      <c r="O42" s="12">
        <v>0</v>
      </c>
      <c r="P42" s="12">
        <v>509.85</v>
      </c>
      <c r="Q42" s="12">
        <v>7.93</v>
      </c>
      <c r="R42" s="12">
        <f>IF(My­_Journal[[#This Row],[$ Loss]]="","",My­_Journal[[#This Row],[Net_Profit]]-My­_Journal[[#This Row],[Net_Loss]])</f>
        <v>501.92</v>
      </c>
      <c r="S42" s="15">
        <f>IF(My­_Journal[[#This Row],[Net P&amp;L]]="","",My­_Journal[[#This Row],[Net P&amp;L]]/Working!$B$4)</f>
        <v>5.0192000000000006E-3</v>
      </c>
      <c r="T42" s="15">
        <f>IF(I42="","",Z42/Working!$B$4)</f>
        <v>5.0192000000000006E-3</v>
      </c>
      <c r="U42" s="15">
        <f>IF(I42="","",(O42/Working!$B$4))</f>
        <v>0</v>
      </c>
      <c r="V42" s="12">
        <f>IF(My­_Journal[[#This Row],[Commison]]="","",My­_Journal[[#This Row],[Commison]])</f>
        <v>7.93</v>
      </c>
      <c r="W42" s="12">
        <f>IF(My­_Journal[[#This Row],[Date]]="","",IF(ROW()&gt;2,W41-O42+P42-My­_Journal[[#This Row],[Comission_1]],Working!B44-My­_Journal[[#This Row],[Comission_1]]+My­_Journal[[#This Row],[$ Profit]]-My­_Journal[[#This Row],[$ Loss]]))</f>
        <v>104767.4</v>
      </c>
      <c r="X42" s="12" t="str">
        <f>IF(My­_Journal[[#This Row],[Date]]="","",TEXT(My­_Journal[[#This Row],[Date]],"dd-mmm"))</f>
        <v>02-Aug</v>
      </c>
      <c r="Y42" s="10" t="str">
        <f t="shared" si="20"/>
        <v>Aug-2025</v>
      </c>
      <c r="Z42" s="17">
        <f>IF(My­_Journal[[#This Row],[$ Profit]]="","",IF(My­_Journal[[#This Row],[$ Profit]]=0, TEXT(0, "$0.00"), My­_Journal[[#This Row],[$ Profit]]-My­_Journal[[#This Row],[Comission_1]]))</f>
        <v>501.92</v>
      </c>
      <c r="AA42" s="12">
        <f>IF(My­_Journal[[#This Row],[$ Loss]]="","",IF(My­_Journal[[#This Row],[$ Loss]]=0,0,My­_Journal[[#This Row],[$ Loss]]-My­_Journal[[#This Row],[Comission_1]]))</f>
        <v>0</v>
      </c>
      <c r="AB42" s="11">
        <f>IF(B42="","",_xlfn.MAXIFS(B:B,Y:Y,My­_Journal[[#This Row],[Month-Year]]))</f>
        <v>45875</v>
      </c>
      <c r="AC42" s="12">
        <f>LOOKUP(2,1/(B$2:B$1006=AB42),W$2:W$1006)</f>
        <v>106351.28</v>
      </c>
      <c r="AD42" s="13">
        <f>IF(My­_Journal[[#This Row],[Net P&amp;L %]]="","",My­_Journal[[#This Row],[Net P&amp;L %]]/Working!$Q$8)</f>
        <v>3.3461333333333338</v>
      </c>
      <c r="AE42" s="16">
        <f>IF(My­_Journal[[#This Row],[Date]]="","",IF(ROW()&gt;2,AE41+(AD42-1),Working!$Q$10+(AD42-1)))</f>
        <v>26.989733333333334</v>
      </c>
      <c r="AF42" s="10" t="s">
        <v>118</v>
      </c>
    </row>
    <row r="43" spans="1:32" x14ac:dyDescent="0.25">
      <c r="A43" s="10">
        <f t="shared" si="0"/>
        <v>42</v>
      </c>
      <c r="B43" s="11">
        <v>45872</v>
      </c>
      <c r="C43" s="10" t="str">
        <f t="shared" si="18"/>
        <v>August</v>
      </c>
      <c r="D43" s="11">
        <v>45853</v>
      </c>
      <c r="E43" s="10" t="s">
        <v>39</v>
      </c>
      <c r="F43" s="10">
        <v>0.3</v>
      </c>
      <c r="G43" s="10" t="s">
        <v>40</v>
      </c>
      <c r="H43" s="10" t="s">
        <v>35</v>
      </c>
      <c r="I43" s="12">
        <v>3345.55</v>
      </c>
      <c r="J43" s="12">
        <v>3339.27</v>
      </c>
      <c r="K43" s="12">
        <v>3381.65</v>
      </c>
      <c r="L43" s="12">
        <v>3381.65</v>
      </c>
      <c r="M43" s="13">
        <f t="shared" si="19"/>
        <v>5.7484076433119045</v>
      </c>
      <c r="N43" s="14" t="str">
        <f>IF(H43="Long",IF(L43&gt;=K43,"Win",IF(L43&lt;=J43,"Loss","Manually-Closed")),IF(My­_Journal[[#This Row],[Direction]]="Short",IF(My­_Journal[[#This Row],[Exit Price]]&lt;=My­_Journal[[#This Row],[Take Profit]],"Win",IF(My­_Journal[[#This Row],[Exit Price]]&gt;=My­_Journal[[#This Row],[Stop Loss]],"Loss","Manually-Closed")),""))</f>
        <v>Win</v>
      </c>
      <c r="O43" s="12">
        <v>0</v>
      </c>
      <c r="P43" s="12">
        <v>1083</v>
      </c>
      <c r="Q43" s="12">
        <v>0.6</v>
      </c>
      <c r="R43" s="12">
        <f>IF(My­_Journal[[#This Row],[$ Loss]]="","",My­_Journal[[#This Row],[Net_Profit]]-My­_Journal[[#This Row],[Net_Loss]])</f>
        <v>1082.4000000000001</v>
      </c>
      <c r="S43" s="15">
        <f>IF(My­_Journal[[#This Row],[Net P&amp;L]]="","",My­_Journal[[#This Row],[Net P&amp;L]]/Working!$B$4)</f>
        <v>1.0824E-2</v>
      </c>
      <c r="T43" s="15">
        <f>IF(I43="","",Z43/Working!$B$4)</f>
        <v>1.0824E-2</v>
      </c>
      <c r="U43" s="15">
        <f>IF(I43="","",(O43/Working!$B$4))</f>
        <v>0</v>
      </c>
      <c r="V43" s="12">
        <f>IF(My­_Journal[[#This Row],[Commison]]="","",My­_Journal[[#This Row],[Commison]])</f>
        <v>0.6</v>
      </c>
      <c r="W43" s="12">
        <f>IF(My­_Journal[[#This Row],[Date]]="","",IF(ROW()&gt;2,W42-O43+P43-My­_Journal[[#This Row],[Comission_1]],Working!B45-My­_Journal[[#This Row],[Comission_1]]+My­_Journal[[#This Row],[$ Profit]]-My­_Journal[[#This Row],[$ Loss]]))</f>
        <v>105849.79999999999</v>
      </c>
      <c r="X43" s="12" t="str">
        <f>IF(My­_Journal[[#This Row],[Date]]="","",TEXT(My­_Journal[[#This Row],[Date]],"dd-mmm"))</f>
        <v>03-Aug</v>
      </c>
      <c r="Y43" s="10" t="str">
        <f t="shared" si="20"/>
        <v>Aug-2025</v>
      </c>
      <c r="Z43" s="17">
        <f>IF(My­_Journal[[#This Row],[$ Profit]]="","",IF(My­_Journal[[#This Row],[$ Profit]]=0, TEXT(0, "$0.00"), My­_Journal[[#This Row],[$ Profit]]-My­_Journal[[#This Row],[Comission_1]]))</f>
        <v>1082.4000000000001</v>
      </c>
      <c r="AA43" s="12">
        <f>IF(My­_Journal[[#This Row],[$ Loss]]="","",IF(My­_Journal[[#This Row],[$ Loss]]=0,0,My­_Journal[[#This Row],[$ Loss]]-My­_Journal[[#This Row],[Comission_1]]))</f>
        <v>0</v>
      </c>
      <c r="AB43" s="11">
        <f>IF(B43="","",_xlfn.MAXIFS(B:B,Y:Y,My­_Journal[[#This Row],[Month-Year]]))</f>
        <v>45875</v>
      </c>
      <c r="AC43" s="12">
        <f>LOOKUP(2,1/(B$2:B$1006=AB43),W$2:W$1006)</f>
        <v>106351.28</v>
      </c>
      <c r="AD43" s="13">
        <f>IF(My­_Journal[[#This Row],[Net P&amp;L %]]="","",My­_Journal[[#This Row],[Net P&amp;L %]]/Working!$Q$8)</f>
        <v>7.2160000000000002</v>
      </c>
      <c r="AE43" s="16">
        <f>IF(My­_Journal[[#This Row],[Date]]="","",IF(ROW()&gt;2,AE42+(AD43-1),Working!$Q$10+(AD43-1)))</f>
        <v>33.205733333333335</v>
      </c>
      <c r="AF43" s="10" t="s">
        <v>118</v>
      </c>
    </row>
    <row r="44" spans="1:32" x14ac:dyDescent="0.25">
      <c r="A44" s="10">
        <f t="shared" si="0"/>
        <v>43</v>
      </c>
      <c r="B44" s="11">
        <v>45873</v>
      </c>
      <c r="C44" s="10" t="str">
        <f t="shared" si="18"/>
        <v>August</v>
      </c>
      <c r="D44" s="11">
        <v>45853</v>
      </c>
      <c r="E44" s="10" t="s">
        <v>33</v>
      </c>
      <c r="F44" s="10">
        <v>4</v>
      </c>
      <c r="G44" s="10" t="s">
        <v>40</v>
      </c>
      <c r="H44" s="10" t="s">
        <v>35</v>
      </c>
      <c r="I44" s="12">
        <v>1.36879</v>
      </c>
      <c r="J44" s="12">
        <v>1.36859</v>
      </c>
      <c r="K44" s="12">
        <v>1.36232</v>
      </c>
      <c r="L44" s="12">
        <v>1.3673599999999999</v>
      </c>
      <c r="M44" s="13">
        <f t="shared" si="19"/>
        <v>32.35000000000344</v>
      </c>
      <c r="N44" s="14" t="str">
        <f>IF(H44="Long",IF(L44&gt;=K44,"Win",IF(L44&lt;=J44,"Loss","Manually-Closed")),IF(My­_Journal[[#This Row],[Direction]]="Short",IF(My­_Journal[[#This Row],[Exit Price]]&lt;=My­_Journal[[#This Row],[Take Profit]],"Win",IF(My­_Journal[[#This Row],[Exit Price]]&gt;=My­_Journal[[#This Row],[Stop Loss]],"Loss","Manually-Closed")),""))</f>
        <v>Win</v>
      </c>
      <c r="O44" s="12">
        <v>81.84</v>
      </c>
      <c r="P44" s="12">
        <v>0</v>
      </c>
      <c r="Q44" s="12">
        <v>20</v>
      </c>
      <c r="R44" s="12">
        <f>IF(My­_Journal[[#This Row],[$ Loss]]="","",My­_Journal[[#This Row],[Net_Profit]]-My­_Journal[[#This Row],[Net_Loss]])</f>
        <v>-61.84</v>
      </c>
      <c r="S44" s="15">
        <f>IF(My­_Journal[[#This Row],[Net P&amp;L]]="","",My­_Journal[[#This Row],[Net P&amp;L]]/Working!$B$4)</f>
        <v>-6.1840000000000007E-4</v>
      </c>
      <c r="T44" s="15">
        <f>IF(I44="","",Z44/Working!$B$4)</f>
        <v>0</v>
      </c>
      <c r="U44" s="15">
        <f>IF(I44="","",(O44/Working!$B$4))</f>
        <v>8.1840000000000005E-4</v>
      </c>
      <c r="V44" s="12">
        <f>IF(My­_Journal[[#This Row],[Commison]]="","",My­_Journal[[#This Row],[Commison]])</f>
        <v>20</v>
      </c>
      <c r="W44" s="12">
        <f>IF(My­_Journal[[#This Row],[Date]]="","",IF(ROW()&gt;2,W43-O44+P44-My­_Journal[[#This Row],[Comission_1]],Working!B46-My­_Journal[[#This Row],[Comission_1]]+My­_Journal[[#This Row],[$ Profit]]-My­_Journal[[#This Row],[$ Loss]]))</f>
        <v>105747.95999999999</v>
      </c>
      <c r="X44" s="12" t="str">
        <f>IF(My­_Journal[[#This Row],[Date]]="","",TEXT(My­_Journal[[#This Row],[Date]],"dd-mmm"))</f>
        <v>04-Aug</v>
      </c>
      <c r="Y44" s="10" t="str">
        <f t="shared" si="20"/>
        <v>Aug-2025</v>
      </c>
      <c r="Z44" s="17" t="str">
        <f>IF(My­_Journal[[#This Row],[$ Profit]]="","",IF(My­_Journal[[#This Row],[$ Profit]]=0, TEXT(0, "$0.00"), My­_Journal[[#This Row],[$ Profit]]-My­_Journal[[#This Row],[Comission_1]]))</f>
        <v>$0.00</v>
      </c>
      <c r="AA44" s="12">
        <f>IF(My­_Journal[[#This Row],[$ Loss]]="","",IF(My­_Journal[[#This Row],[$ Loss]]=0,0,My­_Journal[[#This Row],[$ Loss]]-My­_Journal[[#This Row],[Comission_1]]))</f>
        <v>61.84</v>
      </c>
      <c r="AB44" s="11">
        <f>IF(B44="","",_xlfn.MAXIFS(B:B,Y:Y,My­_Journal[[#This Row],[Month-Year]]))</f>
        <v>45875</v>
      </c>
      <c r="AC44" s="12">
        <f>LOOKUP(2,1/(B$2:B$1006=AB44),W$2:W$1006)</f>
        <v>106351.28</v>
      </c>
      <c r="AD44" s="13">
        <f>IF(My­_Journal[[#This Row],[Net P&amp;L %]]="","",My­_Journal[[#This Row],[Net P&amp;L %]]/Working!$Q$8)</f>
        <v>-0.41226666666666673</v>
      </c>
      <c r="AE44" s="16">
        <f>IF(My­_Journal[[#This Row],[Date]]="","",IF(ROW()&gt;2,AE43+(AD44-1),Working!$Q$10+(AD44-1)))</f>
        <v>31.793466666666667</v>
      </c>
    </row>
    <row r="45" spans="1:32" x14ac:dyDescent="0.25">
      <c r="A45" s="10">
        <f t="shared" si="0"/>
        <v>44</v>
      </c>
      <c r="B45" s="11">
        <v>45874</v>
      </c>
      <c r="C45" s="10" t="str">
        <f t="shared" si="18"/>
        <v>August</v>
      </c>
      <c r="D45" s="11">
        <v>45853</v>
      </c>
      <c r="E45" s="10" t="s">
        <v>33</v>
      </c>
      <c r="F45" s="10">
        <v>4.96</v>
      </c>
      <c r="G45" s="10" t="s">
        <v>40</v>
      </c>
      <c r="H45" s="10" t="s">
        <v>38</v>
      </c>
      <c r="I45" s="12">
        <v>1.36829</v>
      </c>
      <c r="J45" s="12">
        <v>1.36921</v>
      </c>
      <c r="K45" s="12">
        <v>1.3673599999999999</v>
      </c>
      <c r="L45" s="12">
        <v>1.3673599999999999</v>
      </c>
      <c r="M45" s="13">
        <f t="shared" si="19"/>
        <v>1.0108695652174622</v>
      </c>
      <c r="N45" s="14" t="str">
        <f>IF(H45="Long",IF(L45&gt;=K45,"Win",IF(L45&lt;=J45,"Loss","Manually-Closed")),IF(My­_Journal[[#This Row],[Direction]]="Short",IF(My­_Journal[[#This Row],[Exit Price]]&lt;=My­_Journal[[#This Row],[Take Profit]],"Win",IF(My­_Journal[[#This Row],[Exit Price]]&gt;=My­_Journal[[#This Row],[Stop Loss]],"Loss","Manually-Closed")),""))</f>
        <v>Win</v>
      </c>
      <c r="O45" s="12">
        <v>0</v>
      </c>
      <c r="P45" s="12">
        <v>326.45999999999998</v>
      </c>
      <c r="Q45" s="12">
        <v>24.8</v>
      </c>
      <c r="R45" s="12">
        <f>IF(My­_Journal[[#This Row],[$ Loss]]="","",My­_Journal[[#This Row],[Net_Profit]]-My­_Journal[[#This Row],[Net_Loss]])</f>
        <v>301.65999999999997</v>
      </c>
      <c r="S45" s="15">
        <f>IF(My­_Journal[[#This Row],[Net P&amp;L]]="","",My­_Journal[[#This Row],[Net P&amp;L]]/Working!$B$4)</f>
        <v>3.0165999999999995E-3</v>
      </c>
      <c r="T45" s="15">
        <f>IF(I45="","",Z45/Working!$B$4)</f>
        <v>3.0165999999999995E-3</v>
      </c>
      <c r="U45" s="15">
        <f>IF(I45="","",(O45/Working!$B$4))</f>
        <v>0</v>
      </c>
      <c r="V45" s="12">
        <f>IF(My­_Journal[[#This Row],[Commison]]="","",My­_Journal[[#This Row],[Commison]])</f>
        <v>24.8</v>
      </c>
      <c r="W45" s="12">
        <f>IF(My­_Journal[[#This Row],[Date]]="","",IF(ROW()&gt;2,W44-O45+P45-My­_Journal[[#This Row],[Comission_1]],Working!B47-My­_Journal[[#This Row],[Comission_1]]+My­_Journal[[#This Row],[$ Profit]]-My­_Journal[[#This Row],[$ Loss]]))</f>
        <v>106049.62</v>
      </c>
      <c r="X45" s="12" t="str">
        <f>IF(My­_Journal[[#This Row],[Date]]="","",TEXT(My­_Journal[[#This Row],[Date]],"dd-mmm"))</f>
        <v>05-Aug</v>
      </c>
      <c r="Y45" s="10" t="str">
        <f t="shared" si="20"/>
        <v>Aug-2025</v>
      </c>
      <c r="Z45" s="17">
        <f>IF(My­_Journal[[#This Row],[$ Profit]]="","",IF(My­_Journal[[#This Row],[$ Profit]]=0, TEXT(0, "$0.00"), My­_Journal[[#This Row],[$ Profit]]-My­_Journal[[#This Row],[Comission_1]]))</f>
        <v>301.65999999999997</v>
      </c>
      <c r="AA45" s="12">
        <f>IF(My­_Journal[[#This Row],[$ Loss]]="","",IF(My­_Journal[[#This Row],[$ Loss]]=0,0,My­_Journal[[#This Row],[$ Loss]]-My­_Journal[[#This Row],[Comission_1]]))</f>
        <v>0</v>
      </c>
      <c r="AB45" s="11">
        <f>IF(B45="","",_xlfn.MAXIFS(B:B,Y:Y,My­_Journal[[#This Row],[Month-Year]]))</f>
        <v>45875</v>
      </c>
      <c r="AC45" s="12">
        <f>LOOKUP(2,1/(B$2:B$1006=AB45),W$2:W$1006)</f>
        <v>106351.28</v>
      </c>
      <c r="AD45" s="13">
        <f>IF(My­_Journal[[#This Row],[Net P&amp;L %]]="","",My­_Journal[[#This Row],[Net P&amp;L %]]/Working!$Q$8)</f>
        <v>2.0110666666666663</v>
      </c>
      <c r="AE45" s="16">
        <f>IF(My­_Journal[[#This Row],[Date]]="","",IF(ROW()&gt;2,AE44+(AD45-1),Working!$Q$10+(AD45-1)))</f>
        <v>32.804533333333332</v>
      </c>
    </row>
    <row r="46" spans="1:32" x14ac:dyDescent="0.25">
      <c r="A46" s="10">
        <f t="shared" si="0"/>
        <v>45</v>
      </c>
      <c r="B46" s="11">
        <v>45875</v>
      </c>
      <c r="C46" s="10" t="str">
        <f t="shared" si="18"/>
        <v>August</v>
      </c>
      <c r="D46" s="11">
        <v>45853</v>
      </c>
      <c r="E46" s="10" t="s">
        <v>33</v>
      </c>
      <c r="F46" s="10">
        <v>4.96</v>
      </c>
      <c r="G46" s="10" t="s">
        <v>40</v>
      </c>
      <c r="H46" s="10" t="s">
        <v>38</v>
      </c>
      <c r="I46" s="12">
        <v>1.36829</v>
      </c>
      <c r="J46" s="12">
        <v>1.36921</v>
      </c>
      <c r="K46" s="12">
        <v>1.3673599999999999</v>
      </c>
      <c r="L46" s="12">
        <v>1.3673599999999999</v>
      </c>
      <c r="M46" s="13">
        <f t="shared" si="19"/>
        <v>1.0108695652174622</v>
      </c>
      <c r="N46" s="14" t="str">
        <f>IF(H46="Long",IF(L46&gt;=K46,"Win",IF(L46&lt;=J46,"Loss","Manually-Closed")),IF(My­_Journal[[#This Row],[Direction]]="Short",IF(My­_Journal[[#This Row],[Exit Price]]&lt;=My­_Journal[[#This Row],[Take Profit]],"Win",IF(My­_Journal[[#This Row],[Exit Price]]&gt;=My­_Journal[[#This Row],[Stop Loss]],"Loss","Manually-Closed")),""))</f>
        <v>Win</v>
      </c>
      <c r="O46" s="12">
        <v>0</v>
      </c>
      <c r="P46" s="12">
        <v>326.45999999999998</v>
      </c>
      <c r="Q46" s="12">
        <v>24.8</v>
      </c>
      <c r="R46" s="12">
        <f>IF(My­_Journal[[#This Row],[$ Loss]]="","",My­_Journal[[#This Row],[Net_Profit]]-My­_Journal[[#This Row],[Net_Loss]])</f>
        <v>301.65999999999997</v>
      </c>
      <c r="S46" s="15">
        <f>IF(My­_Journal[[#This Row],[Net P&amp;L]]="","",My­_Journal[[#This Row],[Net P&amp;L]]/Working!$B$4)</f>
        <v>3.0165999999999995E-3</v>
      </c>
      <c r="T46" s="15">
        <f>IF(I46="","",Z46/Working!$B$4)</f>
        <v>3.0165999999999995E-3</v>
      </c>
      <c r="U46" s="15">
        <f>IF(I46="","",(O46/Working!$B$4))</f>
        <v>0</v>
      </c>
      <c r="V46" s="12">
        <f>IF(My­_Journal[[#This Row],[Commison]]="","",My­_Journal[[#This Row],[Commison]])</f>
        <v>24.8</v>
      </c>
      <c r="W46" s="12">
        <f>IF(My­_Journal[[#This Row],[Date]]="","",IF(ROW()&gt;2,W45-O46+P46-My­_Journal[[#This Row],[Comission_1]],Working!B48-My­_Journal[[#This Row],[Comission_1]]+My­_Journal[[#This Row],[$ Profit]]-My­_Journal[[#This Row],[$ Loss]]))</f>
        <v>106351.28</v>
      </c>
      <c r="X46" s="12" t="str">
        <f>IF(My­_Journal[[#This Row],[Date]]="","",TEXT(My­_Journal[[#This Row],[Date]],"dd-mmm"))</f>
        <v>06-Aug</v>
      </c>
      <c r="Y46" s="10" t="str">
        <f t="shared" si="20"/>
        <v>Aug-2025</v>
      </c>
      <c r="Z46" s="17">
        <f>IF(My­_Journal[[#This Row],[$ Profit]]="","",IF(My­_Journal[[#This Row],[$ Profit]]=0, TEXT(0, "$0.00"), My­_Journal[[#This Row],[$ Profit]]-My­_Journal[[#This Row],[Comission_1]]))</f>
        <v>301.65999999999997</v>
      </c>
      <c r="AA46" s="12">
        <f>IF(My­_Journal[[#This Row],[$ Loss]]="","",IF(My­_Journal[[#This Row],[$ Loss]]=0,0,My­_Journal[[#This Row],[$ Loss]]-My­_Journal[[#This Row],[Comission_1]]))</f>
        <v>0</v>
      </c>
      <c r="AB46" s="11">
        <f>IF(B46="","",_xlfn.MAXIFS(B:B,Y:Y,My­_Journal[[#This Row],[Month-Year]]))</f>
        <v>45875</v>
      </c>
      <c r="AC46" s="12">
        <f>LOOKUP(2,1/(B$2:B$1006=AB46),W$2:W$1006)</f>
        <v>106351.28</v>
      </c>
      <c r="AD46" s="13">
        <f>IF(My­_Journal[[#This Row],[Net P&amp;L %]]="","",My­_Journal[[#This Row],[Net P&amp;L %]]/Working!$Q$8)</f>
        <v>2.0110666666666663</v>
      </c>
      <c r="AE46" s="16">
        <f>IF(My­_Journal[[#This Row],[Date]]="","",IF(ROW()&gt;2,AE45+(AD46-1),Working!$Q$10+(AD46-1)))</f>
        <v>33.815599999999996</v>
      </c>
    </row>
  </sheetData>
  <phoneticPr fontId="0" type="noConversion"/>
  <dataValidations count="1">
    <dataValidation allowBlank="1" showInputMessage="1" showErrorMessage="1" sqref="A1:B1 C1:C46" xr:uid="{F93D4660-ADA4-425F-8536-6BB72E2AD6F8}"/>
  </dataValidations>
  <pageMargins left="0.7" right="0.7" top="0.75" bottom="0.75" header="0.3" footer="0.3"/>
  <ignoredErrors>
    <ignoredError sqref="B1:B36" listDataValidation="1"/>
  </ignoredErrors>
  <tableParts count="1">
    <tablePart r:id="rId1"/>
  </tableParts>
  <extLst>
    <ext xmlns:x14="http://schemas.microsoft.com/office/spreadsheetml/2009/9/main" uri="{CCE6A557-97BC-4b89-ADB6-D9C93CAAB3DF}">
      <x14:dataValidations xmlns:xm="http://schemas.microsoft.com/office/excel/2006/main" count="5">
        <x14:dataValidation type="list" allowBlank="1" showInputMessage="1" showErrorMessage="1" xr:uid="{FBBFFBF4-018E-40E8-91DC-560BAD012139}">
          <x14:formula1>
            <xm:f>'List Variable'!$I$4:$I$13</xm:f>
          </x14:formula1>
          <xm:sqref>G2:G46</xm:sqref>
        </x14:dataValidation>
        <x14:dataValidation type="list" allowBlank="1" showInputMessage="1" showErrorMessage="1" xr:uid="{F4772D64-8B29-4E15-BE47-A04D81859DDC}">
          <x14:formula1>
            <xm:f>'List Variable'!$K$4:$K$5</xm:f>
          </x14:formula1>
          <xm:sqref>H2:H46</xm:sqref>
        </x14:dataValidation>
        <x14:dataValidation type="list" allowBlank="1" showInputMessage="1" showErrorMessage="1" xr:uid="{88A4DF74-D1DF-4513-A8CA-688893909476}">
          <x14:formula1>
            <xm:f>'List Variable'!$E$4:$E$13</xm:f>
          </x14:formula1>
          <xm:sqref>AF2:AF46</xm:sqref>
        </x14:dataValidation>
        <x14:dataValidation type="list" errorStyle="warning" allowBlank="1" showInputMessage="1" showErrorMessage="1" error="The Date should be in mm/dd/yyy format" xr:uid="{16D24598-9D40-4590-AEE1-D91318823596}">
          <x14:formula1>
            <xm:f>'List Variable'!$M$4:$M$27</xm:f>
          </x14:formula1>
          <xm:sqref>B2:B46</xm:sqref>
        </x14:dataValidation>
        <x14:dataValidation type="list" allowBlank="1" showInputMessage="1" showErrorMessage="1" xr:uid="{C1587F41-CB7B-4DE7-ABA2-04DA6DA59366}">
          <x14:formula1>
            <xm:f>'List Variable'!$B$4:$B$56</xm:f>
          </x14:formula1>
          <xm:sqref>E2:E46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636DC-CE0E-471F-A06F-3835946A7B02}">
  <sheetPr codeName="Sheet5"/>
  <dimension ref="B1:BT48"/>
  <sheetViews>
    <sheetView zoomScale="72" zoomScaleNormal="85" workbookViewId="0">
      <selection activeCell="F9" sqref="F9"/>
    </sheetView>
  </sheetViews>
  <sheetFormatPr defaultColWidth="8.85546875" defaultRowHeight="15" x14ac:dyDescent="0.25"/>
  <cols>
    <col min="2" max="2" width="20.5703125" bestFit="1" customWidth="1"/>
    <col min="3" max="3" width="26" bestFit="1" customWidth="1"/>
    <col min="4" max="4" width="10.7109375" bestFit="1" customWidth="1"/>
    <col min="5" max="5" width="18.85546875" bestFit="1" customWidth="1"/>
    <col min="6" max="6" width="29.7109375" bestFit="1" customWidth="1"/>
    <col min="7" max="7" width="29.28515625" bestFit="1" customWidth="1"/>
    <col min="8" max="8" width="15.85546875" customWidth="1"/>
    <col min="9" max="9" width="19.140625" bestFit="1" customWidth="1"/>
    <col min="10" max="10" width="24.5703125" bestFit="1" customWidth="1"/>
    <col min="11" max="11" width="10.7109375" customWidth="1"/>
    <col min="12" max="12" width="15" bestFit="1" customWidth="1"/>
    <col min="13" max="13" width="19.5703125" bestFit="1" customWidth="1"/>
    <col min="14" max="14" width="27" bestFit="1" customWidth="1"/>
    <col min="15" max="15" width="26" bestFit="1" customWidth="1"/>
    <col min="16" max="16" width="18.140625" bestFit="1" customWidth="1"/>
    <col min="17" max="17" width="16.42578125" bestFit="1" customWidth="1"/>
    <col min="18" max="18" width="27" bestFit="1" customWidth="1"/>
    <col min="19" max="19" width="26" bestFit="1" customWidth="1"/>
    <col min="20" max="20" width="11.140625" bestFit="1" customWidth="1"/>
    <col min="21" max="21" width="22" bestFit="1" customWidth="1"/>
    <col min="22" max="22" width="27" bestFit="1" customWidth="1"/>
    <col min="23" max="23" width="26" bestFit="1" customWidth="1"/>
    <col min="25" max="25" width="24" bestFit="1" customWidth="1"/>
    <col min="26" max="26" width="25" bestFit="1" customWidth="1"/>
    <col min="27" max="27" width="21.5703125" bestFit="1" customWidth="1"/>
    <col min="30" max="30" width="17.85546875" bestFit="1" customWidth="1"/>
    <col min="31" max="31" width="26.28515625" bestFit="1" customWidth="1"/>
    <col min="32" max="32" width="12.85546875" bestFit="1" customWidth="1"/>
    <col min="33" max="33" width="19.140625" bestFit="1" customWidth="1"/>
    <col min="34" max="34" width="33.140625" bestFit="1" customWidth="1"/>
    <col min="36" max="36" width="17.42578125" customWidth="1"/>
    <col min="37" max="37" width="13.42578125" style="3" bestFit="1" customWidth="1"/>
    <col min="38" max="38" width="21.85546875" style="2" bestFit="1" customWidth="1"/>
    <col min="39" max="39" width="21.28515625" style="2" bestFit="1" customWidth="1"/>
    <col min="40" max="41" width="17.42578125" style="2" customWidth="1"/>
    <col min="42" max="42" width="13.42578125" bestFit="1" customWidth="1"/>
    <col min="43" max="43" width="14" bestFit="1" customWidth="1"/>
    <col min="44" max="44" width="13.140625" bestFit="1" customWidth="1"/>
    <col min="45" max="45" width="17.7109375" bestFit="1" customWidth="1"/>
    <col min="46" max="47" width="27.140625" bestFit="1" customWidth="1"/>
    <col min="48" max="48" width="14.42578125" bestFit="1" customWidth="1"/>
    <col min="49" max="49" width="17.7109375" bestFit="1" customWidth="1"/>
    <col min="50" max="51" width="28.7109375" bestFit="1" customWidth="1"/>
    <col min="67" max="68" width="15.7109375" customWidth="1"/>
    <col min="71" max="71" width="18" customWidth="1"/>
    <col min="72" max="73" width="10.28515625" bestFit="1" customWidth="1"/>
    <col min="76" max="76" width="10.28515625" bestFit="1" customWidth="1"/>
  </cols>
  <sheetData>
    <row r="1" spans="2:72" ht="15" customHeight="1" x14ac:dyDescent="0.25">
      <c r="AJ1" s="28" t="s">
        <v>46</v>
      </c>
      <c r="AK1" s="28"/>
      <c r="AL1" s="28"/>
      <c r="AM1" s="28"/>
      <c r="AN1" s="28"/>
      <c r="AO1" s="28"/>
      <c r="AP1" s="28"/>
      <c r="AQ1" s="28"/>
      <c r="AS1" s="28" t="s">
        <v>47</v>
      </c>
      <c r="AT1" s="28"/>
      <c r="AU1" s="28"/>
      <c r="AV1" s="28"/>
    </row>
    <row r="2" spans="2:72" ht="15.75" customHeight="1" x14ac:dyDescent="0.25">
      <c r="B2" s="27" t="s">
        <v>48</v>
      </c>
      <c r="C2" s="27"/>
      <c r="E2" s="27" t="s">
        <v>49</v>
      </c>
      <c r="F2" s="27"/>
      <c r="G2" s="27"/>
      <c r="I2" s="27" t="s">
        <v>50</v>
      </c>
      <c r="J2" s="27"/>
      <c r="M2" s="27" t="s">
        <v>51</v>
      </c>
      <c r="N2" s="27"/>
      <c r="O2" s="27"/>
      <c r="Q2" s="27" t="s">
        <v>52</v>
      </c>
      <c r="R2" s="27"/>
      <c r="S2" s="27"/>
      <c r="U2" s="27" t="s">
        <v>53</v>
      </c>
      <c r="V2" s="27"/>
      <c r="W2" s="27"/>
      <c r="Y2" s="27" t="s">
        <v>54</v>
      </c>
      <c r="Z2" s="27"/>
      <c r="AA2" s="27"/>
      <c r="AD2" s="27" t="s">
        <v>55</v>
      </c>
      <c r="AE2" s="27"/>
      <c r="AG2" s="27" t="s">
        <v>56</v>
      </c>
      <c r="AH2" s="27"/>
      <c r="AJ2" s="28"/>
      <c r="AK2" s="28"/>
      <c r="AL2" s="28"/>
      <c r="AM2" s="28"/>
      <c r="AN2" s="28"/>
      <c r="AO2" s="28"/>
      <c r="AP2" s="28"/>
      <c r="AQ2" s="28"/>
      <c r="AS2" s="28"/>
      <c r="AT2" s="28"/>
      <c r="AU2" s="28"/>
      <c r="AV2" s="28"/>
    </row>
    <row r="4" spans="2:72" x14ac:dyDescent="0.25">
      <c r="B4" s="4" t="s">
        <v>3</v>
      </c>
      <c r="C4" t="s">
        <v>57</v>
      </c>
      <c r="E4" s="4" t="s">
        <v>58</v>
      </c>
      <c r="F4" t="s">
        <v>59</v>
      </c>
      <c r="G4" t="s">
        <v>60</v>
      </c>
      <c r="I4" s="4" t="s">
        <v>25</v>
      </c>
      <c r="J4" t="s">
        <v>61</v>
      </c>
      <c r="M4" s="4" t="s">
        <v>7</v>
      </c>
      <c r="N4" t="s">
        <v>62</v>
      </c>
      <c r="O4" t="s">
        <v>63</v>
      </c>
      <c r="Q4" s="4" t="s">
        <v>8</v>
      </c>
      <c r="R4" t="s">
        <v>62</v>
      </c>
      <c r="S4" t="s">
        <v>63</v>
      </c>
      <c r="U4" s="4" t="s">
        <v>5</v>
      </c>
      <c r="V4" t="s">
        <v>62</v>
      </c>
      <c r="W4" t="s">
        <v>63</v>
      </c>
      <c r="Y4" t="s">
        <v>64</v>
      </c>
      <c r="Z4" t="s">
        <v>65</v>
      </c>
      <c r="AA4" t="s">
        <v>66</v>
      </c>
      <c r="AD4" s="4" t="s">
        <v>14</v>
      </c>
      <c r="AE4" t="s">
        <v>67</v>
      </c>
      <c r="AG4" s="4" t="s">
        <v>25</v>
      </c>
      <c r="AH4" t="s">
        <v>68</v>
      </c>
      <c r="AJ4" t="s">
        <v>2</v>
      </c>
      <c r="AK4" s="3" t="s">
        <v>1</v>
      </c>
      <c r="AL4" s="2" t="s">
        <v>69</v>
      </c>
      <c r="AM4" s="2" t="s">
        <v>70</v>
      </c>
      <c r="AN4" s="2" t="s">
        <v>27</v>
      </c>
      <c r="AO4" s="2" t="s">
        <v>71</v>
      </c>
      <c r="AP4" t="s">
        <v>72</v>
      </c>
      <c r="AQ4" t="s">
        <v>73</v>
      </c>
    </row>
    <row r="5" spans="2:72" x14ac:dyDescent="0.25">
      <c r="B5" t="s">
        <v>74</v>
      </c>
      <c r="C5" s="24">
        <v>98595.327272727256</v>
      </c>
      <c r="E5" s="26" t="s">
        <v>156</v>
      </c>
      <c r="F5" s="19">
        <v>7.8899999999999994E-3</v>
      </c>
      <c r="G5" s="19" t="e">
        <v>#N/A</v>
      </c>
      <c r="I5" t="s">
        <v>75</v>
      </c>
      <c r="J5" s="1">
        <v>6.3371100000000014E-2</v>
      </c>
      <c r="M5" t="s">
        <v>34</v>
      </c>
      <c r="N5" s="1">
        <v>1.1731999999999999E-2</v>
      </c>
      <c r="O5" s="1">
        <v>1.16407E-2</v>
      </c>
      <c r="Q5" t="s">
        <v>35</v>
      </c>
      <c r="R5" s="1">
        <v>8.5148700000000008E-2</v>
      </c>
      <c r="S5" s="1">
        <v>3.2275399999999996E-2</v>
      </c>
      <c r="U5" t="s">
        <v>37</v>
      </c>
      <c r="V5" s="1">
        <v>1.5511999999999998E-3</v>
      </c>
      <c r="W5" s="1">
        <v>1.3824E-3</v>
      </c>
      <c r="Y5" s="23">
        <v>77.867111111111114</v>
      </c>
      <c r="Z5" s="23">
        <v>228.19755555555551</v>
      </c>
      <c r="AA5" s="140">
        <v>6622.3399999999983</v>
      </c>
      <c r="AD5" t="s">
        <v>76</v>
      </c>
      <c r="AE5" s="140">
        <v>12</v>
      </c>
      <c r="AG5" t="s">
        <v>77</v>
      </c>
      <c r="AH5" s="24">
        <v>97442.419999999984</v>
      </c>
      <c r="AJ5" s="2" t="str">
        <f>IF(ROW()-ROW(AJ5) +1&lt;= MIN(COUNTA(My_Journal!X:X), 14),
  INDEX(My_Journal!X:X,
    MAX(2, COUNTA(My_Journal!X:X) - MIN(COUNTA(My_Journal!X:X), 14) + 2 - 1) + ROW(A1) - 1
  ),
  ""
)</f>
        <v>15-Jul</v>
      </c>
      <c r="AK5" s="3">
        <f>IF(ROW()-ROW(AK5)+1 &lt;= MIN(COUNTA(My_Journal!A:A), 14),
  INDEX(My_Journal!A:A,
    MAX(2, COUNTA(My_Journal!A:A) - MIN(COUNTA(My_Journal!A:A), 14) + 2 - 1) + ROW(A1) - 1
  ),
  ""
)</f>
        <v>32</v>
      </c>
      <c r="AL5" s="19">
        <f>IF(ROW()-ROW(AK5)+1 &lt;= MIN(COUNTA(My_Journal!T:T), 14),
  INDEX(My_Journal!T:T,
    MAX(2, COUNTA(My_Journal!T:T) - MIN(COUNTA(My_Journal!T:T), 14) + 2 - 1) + ROW(X1) - 1
  ),
  ""
)</f>
        <v>7.8899999999999994E-3</v>
      </c>
      <c r="AM5" s="19">
        <f>IF(Table8[[#This Row],[Net_Profit%]]=0,NA(),AL5)</f>
        <v>7.8899999999999994E-3</v>
      </c>
      <c r="AN5" s="1">
        <f>IF(ROW()-ROW(AN5)+1 &lt;= MIN(COUNTA(My_Journal!U:U), 14),
  INDEX(My_Journal!U:U,
    MAX(2, COUNTA(My_Journal!U:U) - MIN(COUNTA(My_Journal!U:U), 14) + 2 - 1) + ROW(X1) - 1
  ),
  ""
)</f>
        <v>0</v>
      </c>
      <c r="AO5" s="19" t="e">
        <f t="shared" ref="AO5:AO18" si="0">IF(AN5=0,NA(),AN5)</f>
        <v>#N/A</v>
      </c>
      <c r="AP5" s="18">
        <f>IF(ROW()-ROW(AK5)+1 &lt;= MIN(COUNTA(My_Journal!T:T), 14),
  INDEX(My_Journal!T:T,
    MAX(2, COUNTA(My_Journal!T:T) - MIN(COUNTA(My_Journal!T:T), 14) + 2 - 1) + ROW(X1) - 1
  ),
  ""
)</f>
        <v>7.8899999999999994E-3</v>
      </c>
      <c r="AQ5" s="18">
        <f>Working!$B$4</f>
        <v>100000</v>
      </c>
      <c r="AS5" t="s">
        <v>78</v>
      </c>
      <c r="AT5" t="s">
        <v>79</v>
      </c>
      <c r="AU5" t="s">
        <v>73</v>
      </c>
      <c r="AV5" t="s">
        <v>72</v>
      </c>
    </row>
    <row r="6" spans="2:72" x14ac:dyDescent="0.25">
      <c r="B6" t="s">
        <v>80</v>
      </c>
      <c r="C6" s="24">
        <v>99574.273571428581</v>
      </c>
      <c r="E6" s="20">
        <v>32</v>
      </c>
      <c r="F6" s="19">
        <v>7.8899999999999994E-3</v>
      </c>
      <c r="G6" s="19" t="e">
        <v>#N/A</v>
      </c>
      <c r="I6" t="s">
        <v>77</v>
      </c>
      <c r="J6" s="1">
        <v>-2.4444199999999999E-2</v>
      </c>
      <c r="M6" t="s">
        <v>40</v>
      </c>
      <c r="N6" s="1">
        <v>8.8176299999999999E-2</v>
      </c>
      <c r="O6" s="1">
        <v>2.3399500000000004E-2</v>
      </c>
      <c r="Q6" t="s">
        <v>38</v>
      </c>
      <c r="R6" s="1">
        <v>1.4759599999999998E-2</v>
      </c>
      <c r="S6" s="1">
        <v>2.7648E-3</v>
      </c>
      <c r="U6" t="s">
        <v>33</v>
      </c>
      <c r="V6" s="1">
        <v>1.4493499999999999E-2</v>
      </c>
      <c r="W6" s="1">
        <v>5.218200000000001E-3</v>
      </c>
      <c r="AD6" t="s">
        <v>81</v>
      </c>
      <c r="AE6" s="140">
        <v>17</v>
      </c>
      <c r="AG6" t="s">
        <v>75</v>
      </c>
      <c r="AH6" s="24">
        <v>103661.62999999999</v>
      </c>
      <c r="AJ6" s="2" t="str">
        <f>IF(ROW()-ROW(AJ6) +1&lt;= MIN(COUNTA(My_Journal!X:X), 14),
  INDEX(My_Journal!X:X,
    MAX(2, COUNTA(My_Journal!X:X) - MIN(COUNTA(My_Journal!X:X), 14) + 2 - 1) + ROW(A2) - 1
  ),
  ""
)</f>
        <v>17-Jul</v>
      </c>
      <c r="AK6" s="3">
        <f>IF(ROW()-ROW(AK6)+1 &lt;= MIN(COUNTA(My_Journal!A:A), 14),
  INDEX(My_Journal!A:A,
    MAX(2, COUNTA(My_Journal!A:A) - MIN(COUNTA(My_Journal!A:A), 14) + 2 - 1) + ROW(A2) - 1
  ),
  ""
)</f>
        <v>33</v>
      </c>
      <c r="AL6" s="19">
        <f>IF(ROW()-ROW(AK6)+1 &lt;= MIN(COUNTA(My_Journal!T:T), 14),
  INDEX(My_Journal!T:T,
    MAX(2, COUNTA(My_Journal!T:T) - MIN(COUNTA(My_Journal!T:T), 14) + 2 - 1) + ROW(X2) - 1
  ),
  ""
)</f>
        <v>2.6926999999999997E-3</v>
      </c>
      <c r="AM6" s="19">
        <f>IF(Table8[[#This Row],[Net_Profit%]]=0,NA(),AL6)</f>
        <v>2.6926999999999997E-3</v>
      </c>
      <c r="AN6" s="1">
        <f>IF(ROW()-ROW(AN6)+1 &lt;= MIN(COUNTA(My_Journal!U:U), 14),
  INDEX(My_Journal!U:U,
    MAX(2, COUNTA(My_Journal!U:U) - MIN(COUNTA(My_Journal!U:U), 14) + 2 - 1) + ROW(X2) - 1
  ),
  ""
)</f>
        <v>0</v>
      </c>
      <c r="AO6" s="19" t="e">
        <f t="shared" si="0"/>
        <v>#N/A</v>
      </c>
      <c r="AP6" s="18">
        <f>IF(ROW()-ROW(AK6)+1 &lt;= MIN(COUNTA(My_Journal!T:T), 14),
  INDEX(My_Journal!T:T,
    MAX(2, COUNTA(My_Journal!T:T) - MIN(COUNTA(My_Journal!T:T), 14) + 2 - 1) + ROW(X2) - 1
  ),
  ""
)</f>
        <v>2.6926999999999997E-3</v>
      </c>
      <c r="AQ6" s="18">
        <f>Working!$B$4</f>
        <v>100000</v>
      </c>
      <c r="AS6" s="23">
        <f>Working!$B$4</f>
        <v>100000</v>
      </c>
      <c r="AT6" s="23">
        <f>Working!$B$9</f>
        <v>106351.28</v>
      </c>
      <c r="AU6" s="25">
        <f>(Working!$B$4/AS6)-1</f>
        <v>0</v>
      </c>
      <c r="AV6" s="1">
        <f t="shared" ref="AV6:AV15" si="1">(AT6/AS6)-1</f>
        <v>6.3512800000000036E-2</v>
      </c>
    </row>
    <row r="7" spans="2:72" x14ac:dyDescent="0.25">
      <c r="B7" t="s">
        <v>168</v>
      </c>
      <c r="C7" s="24">
        <v>105505.25666666665</v>
      </c>
      <c r="E7" s="26" t="s">
        <v>157</v>
      </c>
      <c r="F7" s="19">
        <v>1.3750399999999999E-2</v>
      </c>
      <c r="G7" s="19" t="e">
        <v>#N/A</v>
      </c>
      <c r="I7" t="s">
        <v>167</v>
      </c>
      <c r="J7" s="1">
        <v>2.7296500000000001E-2</v>
      </c>
      <c r="M7" t="s">
        <v>82</v>
      </c>
      <c r="N7" s="1">
        <v>9.9908300000000005E-2</v>
      </c>
      <c r="O7" s="1">
        <v>3.5040200000000007E-2</v>
      </c>
      <c r="Q7" t="s">
        <v>82</v>
      </c>
      <c r="R7" s="1">
        <v>9.9908300000000005E-2</v>
      </c>
      <c r="S7" s="1">
        <v>3.5040199999999994E-2</v>
      </c>
      <c r="U7" t="s">
        <v>42</v>
      </c>
      <c r="V7" s="1">
        <v>0</v>
      </c>
      <c r="W7" s="1">
        <v>1.3824E-3</v>
      </c>
      <c r="AD7" t="s">
        <v>82</v>
      </c>
      <c r="AE7" s="140">
        <v>29</v>
      </c>
      <c r="AG7" t="s">
        <v>167</v>
      </c>
      <c r="AH7" s="24">
        <v>106351.28</v>
      </c>
      <c r="AJ7" s="2" t="str">
        <f>IF(ROW()-ROW(AJ7) +1&lt;= MIN(COUNTA(My_Journal!X:X), 14),
  INDEX(My_Journal!X:X,
    MAX(2, COUNTA(My_Journal!X:X) - MIN(COUNTA(My_Journal!X:X), 14) + 2 - 1) + ROW(A3) - 1
  ),
  ""
)</f>
        <v>17-Jul</v>
      </c>
      <c r="AK7" s="3">
        <f>IF(ROW()-ROW(AK7)+1 &lt;= MIN(COUNTA(My_Journal!A:A), 14),
  INDEX(My_Journal!A:A,
    MAX(2, COUNTA(My_Journal!A:A) - MIN(COUNTA(My_Journal!A:A), 14) + 2 - 1) + ROW(A3) - 1
  ),
  ""
)</f>
        <v>34</v>
      </c>
      <c r="AL7" s="19">
        <f>IF(ROW()-ROW(AK7)+1 &lt;= MIN(COUNTA(My_Journal!T:T), 14),
  INDEX(My_Journal!T:T,
    MAX(2, COUNTA(My_Journal!T:T) - MIN(COUNTA(My_Journal!T:T), 14) + 2 - 1) + ROW(X3) - 1
  ),
  ""
)</f>
        <v>6.0385000000000005E-3</v>
      </c>
      <c r="AM7" s="19">
        <f>IF(Table8[[#This Row],[Net_Profit%]]=0,NA(),AL7)</f>
        <v>6.0385000000000005E-3</v>
      </c>
      <c r="AN7" s="1">
        <f>IF(ROW()-ROW(AN7)+1 &lt;= MIN(COUNTA(My_Journal!U:U), 14),
  INDEX(My_Journal!U:U,
    MAX(2, COUNTA(My_Journal!U:U) - MIN(COUNTA(My_Journal!U:U), 14) + 2 - 1) + ROW(X3) - 1
  ),
  ""
)</f>
        <v>0</v>
      </c>
      <c r="AO7" s="19" t="e">
        <f t="shared" si="0"/>
        <v>#N/A</v>
      </c>
      <c r="AP7" s="18">
        <f>IF(ROW()-ROW(AK7)+1 &lt;= MIN(COUNTA(My_Journal!T:T), 14),
  INDEX(My_Journal!T:T,
    MAX(2, COUNTA(My_Journal!T:T) - MIN(COUNTA(My_Journal!T:T), 14) + 2 - 1) + ROW(X3) - 1
  ),
  ""
)</f>
        <v>6.0385000000000005E-3</v>
      </c>
      <c r="AQ7" s="18">
        <f>Working!$B$4</f>
        <v>100000</v>
      </c>
      <c r="AS7" s="23">
        <f>Working!$B$4</f>
        <v>100000</v>
      </c>
      <c r="AT7" s="23">
        <f>Working!$B$9</f>
        <v>106351.28</v>
      </c>
      <c r="AU7" s="25">
        <f>(Working!$B$4/AS7)-1</f>
        <v>0</v>
      </c>
      <c r="AV7" s="1">
        <f t="shared" si="1"/>
        <v>6.3512800000000036E-2</v>
      </c>
    </row>
    <row r="8" spans="2:72" x14ac:dyDescent="0.25">
      <c r="B8" t="s">
        <v>82</v>
      </c>
      <c r="C8" s="140">
        <v>100125.77333333333</v>
      </c>
      <c r="E8" s="20">
        <v>33</v>
      </c>
      <c r="F8" s="19">
        <v>2.6926999999999997E-3</v>
      </c>
      <c r="G8" s="19" t="e">
        <v>#N/A</v>
      </c>
      <c r="I8" t="s">
        <v>82</v>
      </c>
      <c r="J8" s="1">
        <v>6.6223400000000016E-2</v>
      </c>
      <c r="U8" t="s">
        <v>119</v>
      </c>
      <c r="V8" s="1">
        <v>1.2077000000000001E-2</v>
      </c>
      <c r="W8" s="1">
        <v>0</v>
      </c>
      <c r="AG8" t="s">
        <v>82</v>
      </c>
      <c r="AH8" s="24">
        <v>106351.28</v>
      </c>
      <c r="AJ8" s="2" t="str">
        <f>IF(ROW()-ROW(AJ8) +1&lt;= MIN(COUNTA(My_Journal!X:X), 14),
  INDEX(My_Journal!X:X,
    MAX(2, COUNTA(My_Journal!X:X) - MIN(COUNTA(My_Journal!X:X), 14) + 2 - 1) + ROW(A4) - 1
  ),
  ""
)</f>
        <v>17-Jul</v>
      </c>
      <c r="AK8" s="3">
        <f>IF(ROW()-ROW(AK8)+1 &lt;= MIN(COUNTA(My_Journal!A:A), 14),
  INDEX(My_Journal!A:A,
    MAX(2, COUNTA(My_Journal!A:A) - MIN(COUNTA(My_Journal!A:A), 14) + 2 - 1) + ROW(A4) - 1
  ),
  ""
)</f>
        <v>35</v>
      </c>
      <c r="AL8" s="19">
        <f>IF(ROW()-ROW(AK8)+1 &lt;= MIN(COUNTA(My_Journal!T:T), 14),
  INDEX(My_Journal!T:T,
    MAX(2, COUNTA(My_Journal!T:T) - MIN(COUNTA(My_Journal!T:T), 14) + 2 - 1) + ROW(X4) - 1
  ),
  ""
)</f>
        <v>5.0192000000000006E-3</v>
      </c>
      <c r="AM8" s="19">
        <f>IF(Table8[[#This Row],[Net_Profit%]]=0,NA(),AL8)</f>
        <v>5.0192000000000006E-3</v>
      </c>
      <c r="AN8" s="1">
        <f>IF(ROW()-ROW(AN8)+1 &lt;= MIN(COUNTA(My_Journal!U:U), 14),
  INDEX(My_Journal!U:U,
    MAX(2, COUNTA(My_Journal!U:U) - MIN(COUNTA(My_Journal!U:U), 14) + 2 - 1) + ROW(X4) - 1
  ),
  ""
)</f>
        <v>0</v>
      </c>
      <c r="AO8" s="19" t="e">
        <f t="shared" si="0"/>
        <v>#N/A</v>
      </c>
      <c r="AP8" s="18">
        <f>IF(ROW()-ROW(AK8)+1 &lt;= MIN(COUNTA(My_Journal!T:T), 14),
  INDEX(My_Journal!T:T,
    MAX(2, COUNTA(My_Journal!T:T) - MIN(COUNTA(My_Journal!T:T), 14) + 2 - 1) + ROW(X4) - 1
  ),
  ""
)</f>
        <v>5.0192000000000006E-3</v>
      </c>
      <c r="AQ8" s="18">
        <f>Working!$B$4</f>
        <v>100000</v>
      </c>
      <c r="AS8" s="23">
        <f>Working!$B$4</f>
        <v>100000</v>
      </c>
      <c r="AT8" s="23">
        <f>Working!$B$9</f>
        <v>106351.28</v>
      </c>
      <c r="AU8" s="25">
        <f>(Working!$B$4/AS8)-1</f>
        <v>0</v>
      </c>
      <c r="AV8" s="1">
        <f t="shared" si="1"/>
        <v>6.3512800000000036E-2</v>
      </c>
      <c r="BK8" s="24"/>
      <c r="BL8" s="24"/>
    </row>
    <row r="9" spans="2:72" x14ac:dyDescent="0.25">
      <c r="E9" s="20">
        <v>34</v>
      </c>
      <c r="F9" s="19">
        <v>6.0385000000000005E-3</v>
      </c>
      <c r="G9" s="19" t="e">
        <v>#N/A</v>
      </c>
      <c r="U9" t="s">
        <v>44</v>
      </c>
      <c r="V9" s="1">
        <v>1.3890999999999999E-3</v>
      </c>
      <c r="W9" s="1">
        <v>0</v>
      </c>
      <c r="AJ9" s="2" t="str">
        <f>IF(ROW()-ROW(AJ9) +1&lt;= MIN(COUNTA(My_Journal!X:X), 14),
  INDEX(My_Journal!X:X,
    MAX(2, COUNTA(My_Journal!X:X) - MIN(COUNTA(My_Journal!X:X), 14) + 2 - 1) + ROW(A5) - 1
  ),
  ""
)</f>
        <v>21-Jul</v>
      </c>
      <c r="AK9" s="3">
        <f>IF(ROW()-ROW(AK9)+1 &lt;= MIN(COUNTA(My_Journal!A:A), 14),
  INDEX(My_Journal!A:A,
    MAX(2, COUNTA(My_Journal!A:A) - MIN(COUNTA(My_Journal!A:A), 14) + 2 - 1) + ROW(A5) - 1
  ),
  ""
)</f>
        <v>36</v>
      </c>
      <c r="AL9" s="19">
        <f>IF(ROW()-ROW(AK9)+1 &lt;= MIN(COUNTA(My_Journal!T:T), 14),
  INDEX(My_Journal!T:T,
    MAX(2, COUNTA(My_Journal!T:T) - MIN(COUNTA(My_Journal!T:T), 14) + 2 - 1) + ROW(X5) - 1
  ),
  ""
)</f>
        <v>1.0824E-2</v>
      </c>
      <c r="AM9" s="19">
        <f>IF(Table8[[#This Row],[Net_Profit%]]=0,NA(),AL9)</f>
        <v>1.0824E-2</v>
      </c>
      <c r="AN9" s="1">
        <f>IF(ROW()-ROW(AN9)+1 &lt;= MIN(COUNTA(My_Journal!U:U), 14),
  INDEX(My_Journal!U:U,
    MAX(2, COUNTA(My_Journal!U:U) - MIN(COUNTA(My_Journal!U:U), 14) + 2 - 1) + ROW(X5) - 1
  ),
  ""
)</f>
        <v>0</v>
      </c>
      <c r="AO9" s="19" t="e">
        <f t="shared" si="0"/>
        <v>#N/A</v>
      </c>
      <c r="AP9" s="18">
        <f>IF(ROW()-ROW(AK9)+1 &lt;= MIN(COUNTA(My_Journal!T:T), 14),
  INDEX(My_Journal!T:T,
    MAX(2, COUNTA(My_Journal!T:T) - MIN(COUNTA(My_Journal!T:T), 14) + 2 - 1) + ROW(X5) - 1
  ),
  ""
)</f>
        <v>1.0824E-2</v>
      </c>
      <c r="AQ9" s="18">
        <f>Working!$B$4</f>
        <v>100000</v>
      </c>
      <c r="AS9" s="23">
        <f>Working!$B$4</f>
        <v>100000</v>
      </c>
      <c r="AT9" s="23">
        <f>Working!$B$9</f>
        <v>106351.28</v>
      </c>
      <c r="AU9" s="25">
        <f>(Working!$B$4/AS9)-1</f>
        <v>0</v>
      </c>
      <c r="AV9" s="1">
        <f t="shared" si="1"/>
        <v>6.3512800000000036E-2</v>
      </c>
      <c r="BK9" s="24"/>
      <c r="BL9" s="24"/>
    </row>
    <row r="10" spans="2:72" x14ac:dyDescent="0.25">
      <c r="E10" s="20">
        <v>35</v>
      </c>
      <c r="F10" s="19">
        <v>5.0192000000000006E-3</v>
      </c>
      <c r="G10" s="19" t="e">
        <v>#N/A</v>
      </c>
      <c r="U10" t="s">
        <v>39</v>
      </c>
      <c r="V10" s="1">
        <v>6.4785000000000009E-2</v>
      </c>
      <c r="W10" s="1">
        <v>2.3874700000000002E-2</v>
      </c>
      <c r="AJ10" s="2" t="str">
        <f>IF(ROW()-ROW(AJ10) +1&lt;= MIN(COUNTA(My_Journal!X:X), 14),
  INDEX(My_Journal!X:X,
    MAX(2, COUNTA(My_Journal!X:X) - MIN(COUNTA(My_Journal!X:X), 14) + 2 - 1) + ROW(A6) - 1
  ),
  ""
)</f>
        <v>22-Jul</v>
      </c>
      <c r="AK10" s="3">
        <f>IF(ROW()-ROW(AK10)+1 &lt;= MIN(COUNTA(My_Journal!A:A), 14),
  INDEX(My_Journal!A:A,
    MAX(2, COUNTA(My_Journal!A:A) - MIN(COUNTA(My_Journal!A:A), 14) + 2 - 1) + ROW(A6) - 1
  ),
  ""
)</f>
        <v>37</v>
      </c>
      <c r="AL10" s="19">
        <f>IF(ROW()-ROW(AK10)+1 &lt;= MIN(COUNTA(My_Journal!T:T), 14),
  INDEX(My_Journal!T:T,
    MAX(2, COUNTA(My_Journal!T:T) - MIN(COUNTA(My_Journal!T:T), 14) + 2 - 1) + ROW(X6) - 1
  ),
  ""
)</f>
        <v>0</v>
      </c>
      <c r="AM10" s="19" t="e">
        <f>IF(Table8[[#This Row],[Net_Profit%]]=0,NA(),AL10)</f>
        <v>#N/A</v>
      </c>
      <c r="AN10" s="1">
        <f>IF(ROW()-ROW(AN10)+1 &lt;= MIN(COUNTA(My_Journal!U:U), 14),
  INDEX(My_Journal!U:U,
    MAX(2, COUNTA(My_Journal!U:U) - MIN(COUNTA(My_Journal!U:U), 14) + 2 - 1) + ROW(X6) - 1
  ),
  ""
)</f>
        <v>8.1840000000000005E-4</v>
      </c>
      <c r="AO10" s="19">
        <f t="shared" si="0"/>
        <v>8.1840000000000005E-4</v>
      </c>
      <c r="AP10" s="18">
        <f>IF(ROW()-ROW(AK10)+1 &lt;= MIN(COUNTA(My_Journal!T:T), 14),
  INDEX(My_Journal!T:T,
    MAX(2, COUNTA(My_Journal!T:T) - MIN(COUNTA(My_Journal!T:T), 14) + 2 - 1) + ROW(X6) - 1
  ),
  ""
)</f>
        <v>0</v>
      </c>
      <c r="AQ10" s="18">
        <f>Working!$B$4</f>
        <v>100000</v>
      </c>
      <c r="AS10" s="23">
        <f>Working!$B$4</f>
        <v>100000</v>
      </c>
      <c r="AT10" s="23">
        <f>Working!$B$9</f>
        <v>106351.28</v>
      </c>
      <c r="AU10" s="25">
        <f>(Working!$B$4/AS10)-1</f>
        <v>0</v>
      </c>
      <c r="AV10" s="1">
        <f t="shared" si="1"/>
        <v>6.3512800000000036E-2</v>
      </c>
      <c r="BK10" s="24"/>
      <c r="BL10" s="24"/>
    </row>
    <row r="11" spans="2:72" x14ac:dyDescent="0.25">
      <c r="E11" s="26" t="s">
        <v>158</v>
      </c>
      <c r="F11" s="19">
        <v>1.0824E-2</v>
      </c>
      <c r="G11" s="19" t="e">
        <v>#N/A</v>
      </c>
      <c r="U11" t="s">
        <v>41</v>
      </c>
      <c r="V11" s="1">
        <v>2.9185999999999999E-3</v>
      </c>
      <c r="W11" s="1">
        <v>0</v>
      </c>
      <c r="AJ11" s="2" t="str">
        <f>IF(ROW()-ROW(AJ11) +1&lt;= MIN(COUNTA(My_Journal!X:X), 14),
  INDEX(My_Journal!X:X,
    MAX(2, COUNTA(My_Journal!X:X) - MIN(COUNTA(My_Journal!X:X), 14) + 2 - 1) + ROW(A7) - 1
  ),
  ""
)</f>
        <v>22-Jul</v>
      </c>
      <c r="AK11" s="3">
        <f>IF(ROW()-ROW(AK11)+1 &lt;= MIN(COUNTA(My_Journal!A:A), 14),
  INDEX(My_Journal!A:A,
    MAX(2, COUNTA(My_Journal!A:A) - MIN(COUNTA(My_Journal!A:A), 14) + 2 - 1) + ROW(A7) - 1
  ),
  ""
)</f>
        <v>38</v>
      </c>
      <c r="AL11" s="19">
        <f>IF(ROW()-ROW(AK11)+1 &lt;= MIN(COUNTA(My_Journal!T:T), 14),
  INDEX(My_Journal!T:T,
    MAX(2, COUNTA(My_Journal!T:T) - MIN(COUNTA(My_Journal!T:T), 14) + 2 - 1) + ROW(X7) - 1
  ),
  ""
)</f>
        <v>3.0165999999999995E-3</v>
      </c>
      <c r="AM11" s="19">
        <f>IF(Table8[[#This Row],[Net_Profit%]]=0,NA(),AL11)</f>
        <v>3.0165999999999995E-3</v>
      </c>
      <c r="AN11" s="1">
        <f>IF(ROW()-ROW(AN11)+1 &lt;= MIN(COUNTA(My_Journal!U:U), 14),
  INDEX(My_Journal!U:U,
    MAX(2, COUNTA(My_Journal!U:U) - MIN(COUNTA(My_Journal!U:U), 14) + 2 - 1) + ROW(X7) - 1
  ),
  ""
)</f>
        <v>0</v>
      </c>
      <c r="AO11" s="19" t="e">
        <f t="shared" si="0"/>
        <v>#N/A</v>
      </c>
      <c r="AP11" s="18">
        <f>IF(ROW()-ROW(AK11)+1 &lt;= MIN(COUNTA(My_Journal!T:T), 14),
  INDEX(My_Journal!T:T,
    MAX(2, COUNTA(My_Journal!T:T) - MIN(COUNTA(My_Journal!T:T), 14) + 2 - 1) + ROW(X7) - 1
  ),
  ""
)</f>
        <v>3.0165999999999995E-3</v>
      </c>
      <c r="AQ11" s="18">
        <f>Working!$B$4</f>
        <v>100000</v>
      </c>
      <c r="AS11" s="23">
        <f>Working!$B$4</f>
        <v>100000</v>
      </c>
      <c r="AT11" s="23">
        <f>Working!$B$9</f>
        <v>106351.28</v>
      </c>
      <c r="AU11" s="25">
        <f>(Working!$B$4/AS11)-1</f>
        <v>0</v>
      </c>
      <c r="AV11" s="1">
        <f t="shared" si="1"/>
        <v>6.3512800000000036E-2</v>
      </c>
      <c r="BK11" s="24"/>
      <c r="BL11" s="24"/>
      <c r="BN11" s="21"/>
      <c r="BO11" s="24"/>
      <c r="BP11" s="24"/>
      <c r="BQ11" s="24"/>
      <c r="BT11" s="24"/>
    </row>
    <row r="12" spans="2:72" x14ac:dyDescent="0.25">
      <c r="E12" s="20">
        <v>36</v>
      </c>
      <c r="F12" s="19">
        <v>1.0824E-2</v>
      </c>
      <c r="G12" s="19" t="e">
        <v>#N/A</v>
      </c>
      <c r="U12" t="s">
        <v>43</v>
      </c>
      <c r="V12" s="1">
        <v>1.3185E-3</v>
      </c>
      <c r="W12" s="1">
        <v>1.5571000000000001E-3</v>
      </c>
      <c r="AJ12" s="2" t="str">
        <f>IF(ROW()-ROW(AJ12) +1&lt;= MIN(COUNTA(My_Journal!X:X), 14),
  INDEX(My_Journal!X:X,
    MAX(2, COUNTA(My_Journal!X:X) - MIN(COUNTA(My_Journal!X:X), 14) + 2 - 1) + ROW(A8) - 1
  ),
  ""
)</f>
        <v>26-Jul</v>
      </c>
      <c r="AK12" s="3">
        <f>IF(ROW()-ROW(AK12)+1 &lt;= MIN(COUNTA(My_Journal!A:A), 14),
  INDEX(My_Journal!A:A,
    MAX(2, COUNTA(My_Journal!A:A) - MIN(COUNTA(My_Journal!A:A), 14) + 2 - 1) + ROW(A8) - 1
  ),
  ""
)</f>
        <v>39</v>
      </c>
      <c r="AL12" s="19">
        <f>IF(ROW()-ROW(AK12)+1 &lt;= MIN(COUNTA(My_Journal!T:T), 14),
  INDEX(My_Journal!T:T,
    MAX(2, COUNTA(My_Journal!T:T) - MIN(COUNTA(My_Journal!T:T), 14) + 2 - 1) + ROW(X8) - 1
  ),
  ""
)</f>
        <v>2.6926999999999997E-3</v>
      </c>
      <c r="AM12" s="19">
        <f>IF(Table8[[#This Row],[Net_Profit%]]=0,NA(),AL12)</f>
        <v>2.6926999999999997E-3</v>
      </c>
      <c r="AN12" s="1">
        <f>IF(ROW()-ROW(AN12)+1 &lt;= MIN(COUNTA(My_Journal!U:U), 14),
  INDEX(My_Journal!U:U,
    MAX(2, COUNTA(My_Journal!U:U) - MIN(COUNTA(My_Journal!U:U), 14) + 2 - 1) + ROW(X8) - 1
  ),
  ""
)</f>
        <v>0</v>
      </c>
      <c r="AO12" s="19" t="e">
        <f t="shared" si="0"/>
        <v>#N/A</v>
      </c>
      <c r="AP12" s="18">
        <f>IF(ROW()-ROW(AK12)+1 &lt;= MIN(COUNTA(My_Journal!T:T), 14),
  INDEX(My_Journal!T:T,
    MAX(2, COUNTA(My_Journal!T:T) - MIN(COUNTA(My_Journal!T:T), 14) + 2 - 1) + ROW(X8) - 1
  ),
  ""
)</f>
        <v>2.6926999999999997E-3</v>
      </c>
      <c r="AQ12" s="18">
        <f>Working!$B$4</f>
        <v>100000</v>
      </c>
      <c r="AS12" s="23">
        <f>Working!$B$4</f>
        <v>100000</v>
      </c>
      <c r="AT12" s="23">
        <f>Working!$B$9</f>
        <v>106351.28</v>
      </c>
      <c r="AU12" s="25">
        <f>(Working!$B$4/AS12)-1</f>
        <v>0</v>
      </c>
      <c r="AV12" s="1">
        <f t="shared" si="1"/>
        <v>6.3512800000000036E-2</v>
      </c>
      <c r="BK12" s="24"/>
      <c r="BL12" s="24"/>
      <c r="BP12" s="24"/>
      <c r="BT12" s="24"/>
    </row>
    <row r="13" spans="2:72" x14ac:dyDescent="0.25">
      <c r="E13" s="26" t="s">
        <v>159</v>
      </c>
      <c r="F13" s="19" t="e">
        <v>#N/A</v>
      </c>
      <c r="G13" s="19" t="e">
        <v>#N/A</v>
      </c>
      <c r="U13" t="s">
        <v>45</v>
      </c>
      <c r="V13" s="1">
        <v>1.3753999999999997E-3</v>
      </c>
      <c r="W13" s="1">
        <v>0</v>
      </c>
      <c r="AJ13" s="2" t="str">
        <f>IF(ROW()-ROW(AJ13) +1&lt;= MIN(COUNTA(My_Journal!X:X), 14),
  INDEX(My_Journal!X:X,
    MAX(2, COUNTA(My_Journal!X:X) - MIN(COUNTA(My_Journal!X:X), 14) + 2 - 1) + ROW(A9) - 1
  ),
  ""
)</f>
        <v>01-Aug</v>
      </c>
      <c r="AK13" s="3">
        <f>IF(ROW()-ROW(AK13)+1 &lt;= MIN(COUNTA(My_Journal!A:A), 14),
  INDEX(My_Journal!A:A,
    MAX(2, COUNTA(My_Journal!A:A) - MIN(COUNTA(My_Journal!A:A), 14) + 2 - 1) + ROW(A9) - 1
  ),
  ""
)</f>
        <v>40</v>
      </c>
      <c r="AL13" s="19">
        <f>IF(ROW()-ROW(AK13)+1 &lt;= MIN(COUNTA(My_Journal!T:T), 14),
  INDEX(My_Journal!T:T,
    MAX(2, COUNTA(My_Journal!T:T) - MIN(COUNTA(My_Journal!T:T), 14) + 2 - 1) + ROW(X9) - 1
  ),
  ""
)</f>
        <v>6.0385000000000005E-3</v>
      </c>
      <c r="AM13" s="19">
        <f>IF(Table8[[#This Row],[Net_Profit%]]=0,NA(),AL13)</f>
        <v>6.0385000000000005E-3</v>
      </c>
      <c r="AN13" s="1">
        <f>IF(ROW()-ROW(AN13)+1 &lt;= MIN(COUNTA(My_Journal!U:U), 14),
  INDEX(My_Journal!U:U,
    MAX(2, COUNTA(My_Journal!U:U) - MIN(COUNTA(My_Journal!U:U), 14) + 2 - 1) + ROW(X9) - 1
  ),
  ""
)</f>
        <v>0</v>
      </c>
      <c r="AO13" s="19" t="e">
        <f t="shared" si="0"/>
        <v>#N/A</v>
      </c>
      <c r="AP13" s="18">
        <f>IF(ROW()-ROW(AK13)+1 &lt;= MIN(COUNTA(My_Journal!T:T), 14),
  INDEX(My_Journal!T:T,
    MAX(2, COUNTA(My_Journal!T:T) - MIN(COUNTA(My_Journal!T:T), 14) + 2 - 1) + ROW(X9) - 1
  ),
  ""
)</f>
        <v>6.0385000000000005E-3</v>
      </c>
      <c r="AQ13" s="18">
        <f>Working!$B$4</f>
        <v>100000</v>
      </c>
      <c r="AS13" s="23">
        <f>Working!$B$4</f>
        <v>100000</v>
      </c>
      <c r="AT13" s="23">
        <f>Working!$B$9</f>
        <v>106351.28</v>
      </c>
      <c r="AU13" s="25">
        <f>(Working!$B$4/AS13)-1</f>
        <v>0</v>
      </c>
      <c r="AV13" s="1">
        <f t="shared" si="1"/>
        <v>6.3512800000000036E-2</v>
      </c>
      <c r="BK13" s="24"/>
      <c r="BL13" s="24"/>
    </row>
    <row r="14" spans="2:72" x14ac:dyDescent="0.25">
      <c r="E14" s="20">
        <v>37</v>
      </c>
      <c r="F14" s="19" t="e">
        <v>#N/A</v>
      </c>
      <c r="G14" s="19">
        <v>8.1840000000000005E-4</v>
      </c>
      <c r="U14" t="s">
        <v>141</v>
      </c>
      <c r="V14" s="1">
        <v>0</v>
      </c>
      <c r="W14" s="1">
        <v>1.6253999999999999E-3</v>
      </c>
      <c r="AJ14" s="2" t="str">
        <f>IF(ROW()-ROW(AJ14) +1&lt;= MIN(COUNTA(My_Journal!X:X), 14),
  INDEX(My_Journal!X:X,
    MAX(2, COUNTA(My_Journal!X:X) - MIN(COUNTA(My_Journal!X:X), 14) + 2 - 1) + ROW(A10) - 1
  ),
  ""
)</f>
        <v>02-Aug</v>
      </c>
      <c r="AK14" s="3">
        <f>IF(ROW()-ROW(AK14)+1 &lt;= MIN(COUNTA(My_Journal!A:A), 14),
  INDEX(My_Journal!A:A,
    MAX(2, COUNTA(My_Journal!A:A) - MIN(COUNTA(My_Journal!A:A), 14) + 2 - 1) + ROW(A10) - 1
  ),
  ""
)</f>
        <v>41</v>
      </c>
      <c r="AL14" s="19">
        <f>IF(ROW()-ROW(AK14)+1 &lt;= MIN(COUNTA(My_Journal!T:T), 14),
  INDEX(My_Journal!T:T,
    MAX(2, COUNTA(My_Journal!T:T) - MIN(COUNTA(My_Journal!T:T), 14) + 2 - 1) + ROW(X10) - 1
  ),
  ""
)</f>
        <v>5.0192000000000006E-3</v>
      </c>
      <c r="AM14" s="19">
        <f>IF(Table8[[#This Row],[Net_Profit%]]=0,NA(),AL14)</f>
        <v>5.0192000000000006E-3</v>
      </c>
      <c r="AN14" s="1">
        <f>IF(ROW()-ROW(AN14)+1 &lt;= MIN(COUNTA(My_Journal!U:U), 14),
  INDEX(My_Journal!U:U,
    MAX(2, COUNTA(My_Journal!U:U) - MIN(COUNTA(My_Journal!U:U), 14) + 2 - 1) + ROW(X10) - 1
  ),
  ""
)</f>
        <v>0</v>
      </c>
      <c r="AO14" s="19" t="e">
        <f t="shared" si="0"/>
        <v>#N/A</v>
      </c>
      <c r="AP14" s="18">
        <f>IF(ROW()-ROW(AK14)+1 &lt;= MIN(COUNTA(My_Journal!T:T), 14),
  INDEX(My_Journal!T:T,
    MAX(2, COUNTA(My_Journal!T:T) - MIN(COUNTA(My_Journal!T:T), 14) + 2 - 1) + ROW(X10) - 1
  ),
  ""
)</f>
        <v>5.0192000000000006E-3</v>
      </c>
      <c r="AQ14" s="18">
        <f>Working!$B$4</f>
        <v>100000</v>
      </c>
      <c r="AS14" s="23">
        <f>Working!$B$4</f>
        <v>100000</v>
      </c>
      <c r="AT14" s="23">
        <f>Working!$B$9</f>
        <v>106351.28</v>
      </c>
      <c r="AU14" s="25">
        <f>(Working!$B$4/AS14)-1</f>
        <v>0</v>
      </c>
      <c r="AV14" s="1">
        <f t="shared" si="1"/>
        <v>6.3512800000000036E-2</v>
      </c>
      <c r="BK14" s="24"/>
      <c r="BL14" s="24"/>
    </row>
    <row r="15" spans="2:72" x14ac:dyDescent="0.25">
      <c r="E15" s="20">
        <v>38</v>
      </c>
      <c r="F15" s="19">
        <v>3.0165999999999995E-3</v>
      </c>
      <c r="G15" s="19" t="e">
        <v>#N/A</v>
      </c>
      <c r="U15" t="s">
        <v>82</v>
      </c>
      <c r="V15" s="1">
        <v>9.9908300000000005E-2</v>
      </c>
      <c r="W15" s="1">
        <v>3.5040200000000001E-2</v>
      </c>
      <c r="AJ15" s="2" t="str">
        <f>IF(ROW()-ROW(AJ15) +1&lt;= MIN(COUNTA(My_Journal!X:X), 14),
  INDEX(My_Journal!X:X,
    MAX(2, COUNTA(My_Journal!X:X) - MIN(COUNTA(My_Journal!X:X), 14) + 2 - 1) + ROW(A11) - 1
  ),
  ""
)</f>
        <v>03-Aug</v>
      </c>
      <c r="AK15" s="3">
        <f>IF(ROW()-ROW(AK15)+1 &lt;= MIN(COUNTA(My_Journal!A:A), 14),
  INDEX(My_Journal!A:A,
    MAX(2, COUNTA(My_Journal!A:A) - MIN(COUNTA(My_Journal!A:A), 14) + 2 - 1) + ROW(A11) - 1
  ),
  ""
)</f>
        <v>42</v>
      </c>
      <c r="AL15" s="19">
        <f>IF(ROW()-ROW(AK15)+1 &lt;= MIN(COUNTA(My_Journal!T:T), 14),
  INDEX(My_Journal!T:T,
    MAX(2, COUNTA(My_Journal!T:T) - MIN(COUNTA(My_Journal!T:T), 14) + 2 - 1) + ROW(X11) - 1
  ),
  ""
)</f>
        <v>1.0824E-2</v>
      </c>
      <c r="AM15" s="19">
        <f>IF(Table8[[#This Row],[Net_Profit%]]=0,NA(),AL15)</f>
        <v>1.0824E-2</v>
      </c>
      <c r="AN15" s="1">
        <f>IF(ROW()-ROW(AN15)+1 &lt;= MIN(COUNTA(My_Journal!U:U), 14),
  INDEX(My_Journal!U:U,
    MAX(2, COUNTA(My_Journal!U:U) - MIN(COUNTA(My_Journal!U:U), 14) + 2 - 1) + ROW(X11) - 1
  ),
  ""
)</f>
        <v>0</v>
      </c>
      <c r="AO15" s="19" t="e">
        <f t="shared" si="0"/>
        <v>#N/A</v>
      </c>
      <c r="AP15" s="18">
        <f>IF(ROW()-ROW(AK15)+1 &lt;= MIN(COUNTA(My_Journal!T:T), 14),
  INDEX(My_Journal!T:T,
    MAX(2, COUNTA(My_Journal!T:T) - MIN(COUNTA(My_Journal!T:T), 14) + 2 - 1) + ROW(X11) - 1
  ),
  ""
)</f>
        <v>1.0824E-2</v>
      </c>
      <c r="AQ15" s="18">
        <f>Working!$B$4</f>
        <v>100000</v>
      </c>
      <c r="AS15" s="23">
        <f>Working!$B$4</f>
        <v>100000</v>
      </c>
      <c r="AT15" s="23">
        <f>Working!$B$9</f>
        <v>106351.28</v>
      </c>
      <c r="AU15" s="25">
        <f>(Working!$B$4/AS15)-1</f>
        <v>0</v>
      </c>
      <c r="AV15" s="1">
        <f t="shared" si="1"/>
        <v>6.3512800000000036E-2</v>
      </c>
      <c r="BK15" s="24"/>
      <c r="BL15" s="24"/>
    </row>
    <row r="16" spans="2:72" x14ac:dyDescent="0.25">
      <c r="E16" s="26" t="s">
        <v>169</v>
      </c>
      <c r="F16" s="19">
        <v>2.6926999999999997E-3</v>
      </c>
      <c r="G16" s="19" t="e">
        <v>#N/A</v>
      </c>
      <c r="AJ16" s="2" t="str">
        <f>IF(ROW()-ROW(AJ16) +1&lt;= MIN(COUNTA(My_Journal!X:X), 14),
  INDEX(My_Journal!X:X,
    MAX(2, COUNTA(My_Journal!X:X) - MIN(COUNTA(My_Journal!X:X), 14) + 2 - 1) + ROW(A12) - 1
  ),
  ""
)</f>
        <v>04-Aug</v>
      </c>
      <c r="AK16" s="3">
        <f>IF(ROW()-ROW(AK16)+1 &lt;= MIN(COUNTA(My_Journal!A:A), 14),
  INDEX(My_Journal!A:A,
    MAX(2, COUNTA(My_Journal!A:A) - MIN(COUNTA(My_Journal!A:A), 14) + 2 - 1) + ROW(A12) - 1
  ),
  ""
)</f>
        <v>43</v>
      </c>
      <c r="AL16" s="19">
        <f>IF(ROW()-ROW(AK16)+1 &lt;= MIN(COUNTA(My_Journal!T:T), 14),
  INDEX(My_Journal!T:T,
    MAX(2, COUNTA(My_Journal!T:T) - MIN(COUNTA(My_Journal!T:T), 14) + 2 - 1) + ROW(X12) - 1
  ),
  ""
)</f>
        <v>0</v>
      </c>
      <c r="AM16" s="19" t="e">
        <f>IF(Table8[[#This Row],[Net_Profit%]]=0,NA(),AL16)</f>
        <v>#N/A</v>
      </c>
      <c r="AN16" s="1">
        <f>IF(ROW()-ROW(AN16)+1 &lt;= MIN(COUNTA(My_Journal!U:U), 14),
  INDEX(My_Journal!U:U,
    MAX(2, COUNTA(My_Journal!U:U) - MIN(COUNTA(My_Journal!U:U), 14) + 2 - 1) + ROW(X12) - 1
  ),
  ""
)</f>
        <v>8.1840000000000005E-4</v>
      </c>
      <c r="AO16" s="19">
        <f t="shared" si="0"/>
        <v>8.1840000000000005E-4</v>
      </c>
      <c r="AP16" s="18">
        <f>IF(ROW()-ROW(AK16)+1 &lt;= MIN(COUNTA(My_Journal!T:T), 14),
  INDEX(My_Journal!T:T,
    MAX(2, COUNTA(My_Journal!T:T) - MIN(COUNTA(My_Journal!T:T), 14) + 2 - 1) + ROW(X12) - 1
  ),
  ""
)</f>
        <v>0</v>
      </c>
      <c r="AQ16" s="18">
        <f>Working!$B$4</f>
        <v>100000</v>
      </c>
      <c r="BK16" s="24"/>
      <c r="BL16" s="24"/>
    </row>
    <row r="17" spans="5:68" x14ac:dyDescent="0.25">
      <c r="E17" s="20">
        <v>39</v>
      </c>
      <c r="F17" s="19">
        <v>2.6926999999999997E-3</v>
      </c>
      <c r="G17" s="19" t="e">
        <v>#N/A</v>
      </c>
      <c r="AJ17" s="2" t="str">
        <f>IF(ROW()-ROW(AJ17) +1&lt;= MIN(COUNTA(My_Journal!X:X), 14),
  INDEX(My_Journal!X:X,
    MAX(2, COUNTA(My_Journal!X:X) - MIN(COUNTA(My_Journal!X:X), 14) + 2 - 1) + ROW(A13) - 1
  ),
  ""
)</f>
        <v>05-Aug</v>
      </c>
      <c r="AK17" s="3">
        <f>IF(ROW()-ROW(AK17)+1 &lt;= MIN(COUNTA(My_Journal!A:A), 14),
  INDEX(My_Journal!A:A,
    MAX(2, COUNTA(My_Journal!A:A) - MIN(COUNTA(My_Journal!A:A), 14) + 2 - 1) + ROW(A13) - 1
  ),
  ""
)</f>
        <v>44</v>
      </c>
      <c r="AL17" s="19">
        <f>IF(ROW()-ROW(AK17)+1 &lt;= MIN(COUNTA(My_Journal!T:T), 14),
  INDEX(My_Journal!T:T,
    MAX(2, COUNTA(My_Journal!T:T) - MIN(COUNTA(My_Journal!T:T), 14) + 2 - 1) + ROW(X13) - 1
  ),
  ""
)</f>
        <v>3.0165999999999995E-3</v>
      </c>
      <c r="AM17" s="19">
        <f>IF(Table8[[#This Row],[Net_Profit%]]=0,NA(),AL17)</f>
        <v>3.0165999999999995E-3</v>
      </c>
      <c r="AN17" s="1">
        <f>IF(ROW()-ROW(AN17)+1 &lt;= MIN(COUNTA(My_Journal!U:U), 14),
  INDEX(My_Journal!U:U,
    MAX(2, COUNTA(My_Journal!U:U) - MIN(COUNTA(My_Journal!U:U), 14) + 2 - 1) + ROW(X13) - 1
  ),
  ""
)</f>
        <v>0</v>
      </c>
      <c r="AO17" s="19" t="e">
        <f t="shared" si="0"/>
        <v>#N/A</v>
      </c>
      <c r="AP17" s="18">
        <f>IF(ROW()-ROW(AK17)+1 &lt;= MIN(COUNTA(My_Journal!T:T), 14),
  INDEX(My_Journal!T:T,
    MAX(2, COUNTA(My_Journal!T:T) - MIN(COUNTA(My_Journal!T:T), 14) + 2 - 1) + ROW(X13) - 1
  ),
  ""
)</f>
        <v>3.0165999999999995E-3</v>
      </c>
      <c r="AQ17" s="18">
        <f>Working!$B$4</f>
        <v>100000</v>
      </c>
      <c r="BK17" s="24"/>
      <c r="BL17" s="24"/>
    </row>
    <row r="18" spans="5:68" x14ac:dyDescent="0.25">
      <c r="E18" s="26" t="s">
        <v>170</v>
      </c>
      <c r="F18" s="19">
        <v>6.0385000000000005E-3</v>
      </c>
      <c r="G18" s="19" t="e">
        <v>#N/A</v>
      </c>
      <c r="AJ18" s="2" t="str">
        <f>IF(ROW()-ROW(AJ18) +1&lt;= MIN(COUNTA(My_Journal!X:X), 14),
  INDEX(My_Journal!X:X,
    MAX(2, COUNTA(My_Journal!X:X) - MIN(COUNTA(My_Journal!X:X), 14) + 2 - 1) + ROW(A14) - 1
  ),
  ""
)</f>
        <v>06-Aug</v>
      </c>
      <c r="AK18" s="3">
        <f>IF(ROW()-ROW(AK18)+1 &lt;= MIN(COUNTA(My_Journal!A:A), 14),
  INDEX(My_Journal!A:A,
    MAX(2, COUNTA(My_Journal!A:A) - MIN(COUNTA(My_Journal!A:A), 14) + 2 - 1) + ROW(A14) - 1
  ),
  ""
)</f>
        <v>45</v>
      </c>
      <c r="AL18" s="19">
        <f>IF(ROW()-ROW(AK18)+1 &lt;= MIN(COUNTA(My_Journal!T:T), 14),
  INDEX(My_Journal!T:T,
    MAX(2, COUNTA(My_Journal!T:T) - MIN(COUNTA(My_Journal!T:T), 14) + 2 - 1) + ROW(X14) - 1
  ),
  ""
)</f>
        <v>3.0165999999999995E-3</v>
      </c>
      <c r="AM18" s="19">
        <f>IF(Table8[[#This Row],[Net_Profit%]]=0,NA(),AL18)</f>
        <v>3.0165999999999995E-3</v>
      </c>
      <c r="AN18" s="1">
        <f>IF(ROW()-ROW(AN18)+1 &lt;= MIN(COUNTA(My_Journal!U:U), 14),
  INDEX(My_Journal!U:U,
    MAX(2, COUNTA(My_Journal!U:U) - MIN(COUNTA(My_Journal!U:U), 14) + 2 - 1) + ROW(X14) - 1
  ),
  ""
)</f>
        <v>0</v>
      </c>
      <c r="AO18" s="19" t="e">
        <f t="shared" si="0"/>
        <v>#N/A</v>
      </c>
      <c r="AP18" s="18">
        <f>IF(ROW()-ROW(AK18)+1 &lt;= MIN(COUNTA(My_Journal!T:T), 14),
  INDEX(My_Journal!T:T,
    MAX(2, COUNTA(My_Journal!T:T) - MIN(COUNTA(My_Journal!T:T), 14) + 2 - 1) + ROW(X14) - 1
  ),
  ""
)</f>
        <v>3.0165999999999995E-3</v>
      </c>
      <c r="AQ18" s="18">
        <f>Working!$B$4</f>
        <v>100000</v>
      </c>
      <c r="BK18" s="24"/>
      <c r="BL18" s="24"/>
    </row>
    <row r="19" spans="5:68" x14ac:dyDescent="0.25">
      <c r="E19" s="20">
        <v>40</v>
      </c>
      <c r="F19" s="19">
        <v>6.0385000000000005E-3</v>
      </c>
      <c r="G19" s="19" t="e">
        <v>#N/A</v>
      </c>
      <c r="BK19" s="24"/>
      <c r="BL19" s="24"/>
    </row>
    <row r="20" spans="5:68" x14ac:dyDescent="0.25">
      <c r="E20" s="26" t="s">
        <v>171</v>
      </c>
      <c r="F20" s="19">
        <v>5.0192000000000006E-3</v>
      </c>
      <c r="G20" s="19" t="e">
        <v>#N/A</v>
      </c>
      <c r="AK20"/>
      <c r="AL20"/>
      <c r="AM20"/>
      <c r="BK20" s="24"/>
      <c r="BL20" s="24"/>
    </row>
    <row r="21" spans="5:68" x14ac:dyDescent="0.25">
      <c r="E21" s="20">
        <v>41</v>
      </c>
      <c r="F21" s="19">
        <v>5.0192000000000006E-3</v>
      </c>
      <c r="G21" s="19" t="e">
        <v>#N/A</v>
      </c>
      <c r="AK21"/>
      <c r="AL21"/>
      <c r="AM21"/>
      <c r="BO21" s="24"/>
      <c r="BP21" s="24"/>
    </row>
    <row r="22" spans="5:68" x14ac:dyDescent="0.25">
      <c r="E22" s="26" t="s">
        <v>172</v>
      </c>
      <c r="F22" s="19">
        <v>1.0824E-2</v>
      </c>
      <c r="G22" s="19" t="e">
        <v>#N/A</v>
      </c>
      <c r="BO22" s="24"/>
      <c r="BP22" s="24"/>
    </row>
    <row r="23" spans="5:68" x14ac:dyDescent="0.25">
      <c r="E23" s="20">
        <v>42</v>
      </c>
      <c r="F23" s="19">
        <v>1.0824E-2</v>
      </c>
      <c r="G23" s="19" t="e">
        <v>#N/A</v>
      </c>
      <c r="BO23" s="24"/>
      <c r="BP23" s="24"/>
    </row>
    <row r="24" spans="5:68" x14ac:dyDescent="0.25">
      <c r="E24" s="26" t="s">
        <v>173</v>
      </c>
      <c r="F24" s="19" t="e">
        <v>#N/A</v>
      </c>
      <c r="G24" s="19">
        <v>8.1840000000000005E-4</v>
      </c>
    </row>
    <row r="25" spans="5:68" x14ac:dyDescent="0.25">
      <c r="E25" s="20">
        <v>43</v>
      </c>
      <c r="F25" s="19" t="e">
        <v>#N/A</v>
      </c>
      <c r="G25" s="19">
        <v>8.1840000000000005E-4</v>
      </c>
    </row>
    <row r="26" spans="5:68" x14ac:dyDescent="0.25">
      <c r="E26" s="26" t="s">
        <v>174</v>
      </c>
      <c r="F26" s="19">
        <v>3.0165999999999995E-3</v>
      </c>
      <c r="G26" s="19" t="e">
        <v>#N/A</v>
      </c>
    </row>
    <row r="27" spans="5:68" x14ac:dyDescent="0.25">
      <c r="E27" s="20">
        <v>44</v>
      </c>
      <c r="F27" s="19">
        <v>3.0165999999999995E-3</v>
      </c>
      <c r="G27" s="19" t="e">
        <v>#N/A</v>
      </c>
    </row>
    <row r="28" spans="5:68" x14ac:dyDescent="0.25">
      <c r="E28" s="26" t="s">
        <v>175</v>
      </c>
      <c r="F28" s="19">
        <v>3.0165999999999995E-3</v>
      </c>
      <c r="G28" s="19" t="e">
        <v>#N/A</v>
      </c>
    </row>
    <row r="29" spans="5:68" x14ac:dyDescent="0.25">
      <c r="E29" s="20">
        <v>45</v>
      </c>
      <c r="F29" s="19">
        <v>3.0165999999999995E-3</v>
      </c>
      <c r="G29" s="19" t="e">
        <v>#N/A</v>
      </c>
    </row>
    <row r="30" spans="5:68" x14ac:dyDescent="0.25">
      <c r="E30" s="26" t="s">
        <v>82</v>
      </c>
      <c r="F30" s="19" t="e">
        <v>#N/A</v>
      </c>
      <c r="G30" s="19" t="e">
        <v>#N/A</v>
      </c>
    </row>
    <row r="47" spans="37:39" x14ac:dyDescent="0.25">
      <c r="AK47"/>
      <c r="AL47"/>
      <c r="AM47"/>
    </row>
    <row r="48" spans="37:39" x14ac:dyDescent="0.25">
      <c r="AK48"/>
      <c r="AL48"/>
      <c r="AM48"/>
    </row>
  </sheetData>
  <sheetProtection selectLockedCells="1"/>
  <mergeCells count="11">
    <mergeCell ref="AG2:AH2"/>
    <mergeCell ref="AS1:AV2"/>
    <mergeCell ref="AJ1:AQ2"/>
    <mergeCell ref="B2:C2"/>
    <mergeCell ref="M2:O2"/>
    <mergeCell ref="Q2:S2"/>
    <mergeCell ref="U2:W2"/>
    <mergeCell ref="AD2:AE2"/>
    <mergeCell ref="E2:G2"/>
    <mergeCell ref="I2:J2"/>
    <mergeCell ref="Y2:AA2"/>
  </mergeCells>
  <phoneticPr fontId="23" type="noConversion"/>
  <pageMargins left="0.7" right="0.7" top="0.75" bottom="0.75" header="0.3" footer="0.3"/>
  <tableParts count="2">
    <tablePart r:id="rId10"/>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CF52F-C484-40BC-B2A7-DAE62B5C9E8A}">
  <sheetPr codeName="Sheet3"/>
  <dimension ref="B2:BB51"/>
  <sheetViews>
    <sheetView zoomScale="66" zoomScaleNormal="67" workbookViewId="0">
      <selection activeCell="Q12" sqref="Q12:R12"/>
    </sheetView>
  </sheetViews>
  <sheetFormatPr defaultColWidth="8.85546875" defaultRowHeight="15" x14ac:dyDescent="0.25"/>
  <cols>
    <col min="4" max="4" width="11.7109375" bestFit="1" customWidth="1"/>
    <col min="19" max="19" width="12.85546875" bestFit="1" customWidth="1"/>
    <col min="21" max="21" width="17.7109375" customWidth="1"/>
    <col min="22" max="22" width="23" bestFit="1" customWidth="1"/>
    <col min="23" max="23" width="13.7109375" customWidth="1"/>
    <col min="24" max="24" width="11.140625" bestFit="1" customWidth="1"/>
    <col min="26" max="26" width="9.85546875" bestFit="1" customWidth="1"/>
    <col min="28" max="28" width="17.28515625" customWidth="1"/>
    <col min="32" max="32" width="13.42578125" customWidth="1"/>
    <col min="33" max="33" width="12.42578125" customWidth="1"/>
    <col min="54" max="54" width="23.140625" bestFit="1" customWidth="1"/>
  </cols>
  <sheetData>
    <row r="2" spans="2:54" ht="15" customHeight="1" x14ac:dyDescent="0.25">
      <c r="B2" s="29" t="s">
        <v>83</v>
      </c>
      <c r="C2" s="29"/>
      <c r="D2" s="29"/>
      <c r="E2" s="29"/>
      <c r="F2" s="30"/>
      <c r="G2" s="29" t="s">
        <v>84</v>
      </c>
      <c r="H2" s="29"/>
      <c r="I2" s="29"/>
      <c r="J2" s="29"/>
      <c r="K2" s="29"/>
      <c r="N2" s="70" t="s">
        <v>85</v>
      </c>
      <c r="O2" s="70"/>
      <c r="P2" s="70"/>
      <c r="Q2" s="70"/>
      <c r="R2" s="70"/>
      <c r="U2" s="25"/>
      <c r="V2" s="1"/>
      <c r="Y2" s="25"/>
      <c r="AB2" s="6"/>
      <c r="AC2" s="25"/>
      <c r="AF2" s="25"/>
      <c r="AG2" s="25"/>
    </row>
    <row r="3" spans="2:54" x14ac:dyDescent="0.25">
      <c r="B3" s="29"/>
      <c r="C3" s="29"/>
      <c r="D3" s="29"/>
      <c r="E3" s="29"/>
      <c r="F3" s="30"/>
      <c r="G3" s="29"/>
      <c r="H3" s="29"/>
      <c r="I3" s="29"/>
      <c r="J3" s="29"/>
      <c r="K3" s="29"/>
      <c r="N3" s="107" t="s">
        <v>86</v>
      </c>
      <c r="O3" s="107"/>
      <c r="P3" s="107"/>
      <c r="Q3" s="132">
        <v>4</v>
      </c>
      <c r="R3" s="133"/>
      <c r="U3" s="70" t="s">
        <v>87</v>
      </c>
      <c r="V3" s="121"/>
      <c r="Y3" s="25"/>
      <c r="AB3" s="6"/>
      <c r="AC3" s="25"/>
      <c r="AF3" s="3"/>
      <c r="AZ3" s="25"/>
      <c r="BB3" s="1"/>
    </row>
    <row r="4" spans="2:54" x14ac:dyDescent="0.25">
      <c r="B4" s="31">
        <v>100000</v>
      </c>
      <c r="C4" s="32"/>
      <c r="D4" s="32"/>
      <c r="E4" s="32"/>
      <c r="F4" s="33"/>
      <c r="G4" s="43">
        <v>0.08</v>
      </c>
      <c r="H4" s="43"/>
      <c r="I4" s="43"/>
      <c r="J4" s="43"/>
      <c r="K4" s="44"/>
      <c r="N4" s="108" t="s">
        <v>88</v>
      </c>
      <c r="O4" s="109"/>
      <c r="P4" s="109"/>
      <c r="Q4" s="124">
        <v>22</v>
      </c>
      <c r="R4" s="125"/>
      <c r="U4" s="3">
        <f>Q11</f>
        <v>50.008533333333332</v>
      </c>
      <c r="V4" s="3">
        <f>IFERROR(Q10-U4,"")</f>
        <v>-15.341866666666668</v>
      </c>
      <c r="Y4" s="25"/>
      <c r="AB4" s="6"/>
      <c r="AC4" s="25"/>
      <c r="AF4" s="3"/>
      <c r="AG4" s="25"/>
      <c r="AZ4" s="25"/>
    </row>
    <row r="5" spans="2:54" x14ac:dyDescent="0.25">
      <c r="B5" s="34"/>
      <c r="C5" s="35"/>
      <c r="D5" s="35"/>
      <c r="E5" s="35"/>
      <c r="F5" s="36"/>
      <c r="G5" s="45"/>
      <c r="H5" s="45"/>
      <c r="I5" s="45"/>
      <c r="J5" s="45"/>
      <c r="K5" s="46"/>
      <c r="N5" s="107" t="s">
        <v>89</v>
      </c>
      <c r="O5" s="107"/>
      <c r="P5" s="107"/>
      <c r="Q5" s="126">
        <f>Q3*Q4</f>
        <v>88</v>
      </c>
      <c r="R5" s="127"/>
      <c r="U5" s="70" t="s">
        <v>90</v>
      </c>
      <c r="V5" s="121"/>
      <c r="AB5" s="6"/>
      <c r="AC5" s="25"/>
      <c r="AG5" s="1"/>
      <c r="AZ5" s="25"/>
    </row>
    <row r="6" spans="2:54" x14ac:dyDescent="0.25">
      <c r="B6" s="37"/>
      <c r="C6" s="38"/>
      <c r="D6" s="38"/>
      <c r="E6" s="38"/>
      <c r="F6" s="39"/>
      <c r="G6" s="47"/>
      <c r="H6" s="47"/>
      <c r="I6" s="47"/>
      <c r="J6" s="47"/>
      <c r="K6" s="48"/>
      <c r="M6" s="22"/>
      <c r="N6" s="108" t="s">
        <v>72</v>
      </c>
      <c r="O6" s="109"/>
      <c r="P6" s="109"/>
      <c r="Q6" s="128">
        <f>B9</f>
        <v>106351.28</v>
      </c>
      <c r="R6" s="129"/>
      <c r="U6" s="3">
        <f>Q12</f>
        <v>10.991466666666671</v>
      </c>
      <c r="V6" s="3">
        <f>IFERROR(Q5-U6,"")</f>
        <v>77.008533333333332</v>
      </c>
      <c r="AB6" s="6"/>
      <c r="AC6" s="25"/>
      <c r="AZ6" s="25"/>
    </row>
    <row r="7" spans="2:54" ht="18.75" customHeight="1" x14ac:dyDescent="0.25">
      <c r="B7" s="41" t="s">
        <v>72</v>
      </c>
      <c r="C7" s="41"/>
      <c r="D7" s="41"/>
      <c r="E7" s="40" t="s">
        <v>91</v>
      </c>
      <c r="F7" s="41"/>
      <c r="G7" s="41"/>
      <c r="H7" s="42"/>
      <c r="I7" s="41" t="s">
        <v>92</v>
      </c>
      <c r="J7" s="41"/>
      <c r="K7" s="41"/>
      <c r="N7" s="108" t="s">
        <v>93</v>
      </c>
      <c r="O7" s="109"/>
      <c r="P7" s="109"/>
      <c r="Q7" s="128">
        <f>B4+(G4*B4)</f>
        <v>108000</v>
      </c>
      <c r="R7" s="129"/>
      <c r="U7" s="70" t="s">
        <v>89</v>
      </c>
      <c r="V7" s="121"/>
    </row>
    <row r="8" spans="2:54" x14ac:dyDescent="0.25">
      <c r="B8" s="41"/>
      <c r="C8" s="41"/>
      <c r="D8" s="41"/>
      <c r="E8" s="40"/>
      <c r="F8" s="41"/>
      <c r="G8" s="41"/>
      <c r="H8" s="42"/>
      <c r="I8" s="41"/>
      <c r="J8" s="41"/>
      <c r="K8" s="41"/>
      <c r="N8" s="105" t="s">
        <v>94</v>
      </c>
      <c r="O8" s="106"/>
      <c r="P8" s="106"/>
      <c r="Q8" s="130">
        <v>1.5E-3</v>
      </c>
      <c r="R8" s="131"/>
      <c r="U8">
        <f>Q5</f>
        <v>88</v>
      </c>
    </row>
    <row r="9" spans="2:54" x14ac:dyDescent="0.25">
      <c r="B9" s="55">
        <f>B4-SUM(My_Journal!O:O)+SUM(My_Journal!P:P)-SUM(My_Journal!V:V)</f>
        <v>106351.28</v>
      </c>
      <c r="C9" s="56"/>
      <c r="D9" s="57"/>
      <c r="E9" s="64">
        <f>SUM(My_Journal!P:P)-SUM(My_Journal!O:O)</f>
        <v>6764.8699999999972</v>
      </c>
      <c r="F9" s="65"/>
      <c r="G9" s="65"/>
      <c r="H9" s="66"/>
      <c r="I9" s="72">
        <f>IFERROR((B9-B4)/B4,"")</f>
        <v>6.3512799999999994E-2</v>
      </c>
      <c r="J9" s="73"/>
      <c r="K9" s="74"/>
      <c r="N9" s="107" t="s">
        <v>95</v>
      </c>
      <c r="O9" s="107"/>
      <c r="P9" s="107"/>
      <c r="Q9" s="118">
        <f>IFERROR(G4/Q8,"")</f>
        <v>53.333333333333336</v>
      </c>
      <c r="R9" s="119"/>
      <c r="U9" s="70" t="s">
        <v>96</v>
      </c>
      <c r="V9" s="121"/>
    </row>
    <row r="10" spans="2:54" x14ac:dyDescent="0.25">
      <c r="B10" s="58"/>
      <c r="C10" s="59"/>
      <c r="D10" s="60"/>
      <c r="E10" s="64"/>
      <c r="F10" s="65"/>
      <c r="G10" s="65"/>
      <c r="H10" s="66"/>
      <c r="I10" s="75"/>
      <c r="J10" s="76"/>
      <c r="K10" s="77"/>
      <c r="N10" s="108" t="s">
        <v>97</v>
      </c>
      <c r="O10" s="109"/>
      <c r="P10" s="110"/>
      <c r="Q10" s="111">
        <f>IFERROR(Q5-Q9,"")</f>
        <v>34.666666666666664</v>
      </c>
      <c r="R10" s="112"/>
      <c r="U10" s="1">
        <f>Q24</f>
        <v>6.3512799999999994E-2</v>
      </c>
      <c r="V10" s="1">
        <f>IFERROR(Q19-ABS(U10),"")</f>
        <v>1.6487200000000007E-2</v>
      </c>
    </row>
    <row r="11" spans="2:54" x14ac:dyDescent="0.25">
      <c r="B11" s="61"/>
      <c r="C11" s="62"/>
      <c r="D11" s="63"/>
      <c r="E11" s="67"/>
      <c r="F11" s="68"/>
      <c r="G11" s="68"/>
      <c r="H11" s="69"/>
      <c r="I11" s="78"/>
      <c r="J11" s="79"/>
      <c r="K11" s="80"/>
      <c r="N11" s="108" t="s">
        <v>98</v>
      </c>
      <c r="O11" s="109"/>
      <c r="P11" s="109"/>
      <c r="Q11" s="113">
        <f>Q5-Q14-Q12</f>
        <v>50.008533333333332</v>
      </c>
      <c r="R11" s="114"/>
      <c r="U11" s="24"/>
      <c r="V11" s="24"/>
    </row>
    <row r="12" spans="2:54" x14ac:dyDescent="0.25">
      <c r="B12" s="70" t="s">
        <v>99</v>
      </c>
      <c r="C12" s="70"/>
      <c r="D12" s="70" t="s">
        <v>100</v>
      </c>
      <c r="E12" s="70"/>
      <c r="F12" s="70" t="s">
        <v>101</v>
      </c>
      <c r="G12" s="70"/>
      <c r="H12" s="70" t="s">
        <v>102</v>
      </c>
      <c r="I12" s="70"/>
      <c r="J12" s="70" t="s">
        <v>103</v>
      </c>
      <c r="K12" s="70"/>
      <c r="N12" s="105" t="s">
        <v>104</v>
      </c>
      <c r="O12" s="106"/>
      <c r="P12" s="106"/>
      <c r="Q12" s="115">
        <f>(G4-I9)/Q8</f>
        <v>10.991466666666671</v>
      </c>
      <c r="R12" s="116"/>
      <c r="U12" s="24"/>
    </row>
    <row r="13" spans="2:54" x14ac:dyDescent="0.25">
      <c r="B13" s="49">
        <f>D13+F13</f>
        <v>45</v>
      </c>
      <c r="C13" s="53"/>
      <c r="D13" s="49">
        <f>COUNTIF(My_Journal!H:H,"Long")</f>
        <v>32</v>
      </c>
      <c r="E13" s="50"/>
      <c r="F13" s="53">
        <f>COUNTIF(My_Journal!H:H,"Short")</f>
        <v>13</v>
      </c>
      <c r="G13" s="53"/>
      <c r="H13" s="49">
        <f>COUNTIFS(My_Journal!H:H,"Long",My_Journal!N:N,"Win")</f>
        <v>10</v>
      </c>
      <c r="I13" s="50"/>
      <c r="J13" s="49">
        <f>COUNTIFS(My_Journal!H:H,"Short",My_Journal!N:N,"Win")</f>
        <v>7</v>
      </c>
      <c r="K13" s="50"/>
      <c r="N13" s="117" t="s">
        <v>105</v>
      </c>
      <c r="O13" s="117"/>
      <c r="P13" s="117"/>
      <c r="Q13" s="111">
        <f>SUMIF(My_Journal!AD:AD,"&gt;=1")</f>
        <v>60.923399999999994</v>
      </c>
      <c r="R13" s="112"/>
    </row>
    <row r="14" spans="2:54" x14ac:dyDescent="0.25">
      <c r="B14" s="71"/>
      <c r="C14" s="54"/>
      <c r="D14" s="51"/>
      <c r="E14" s="52"/>
      <c r="F14" s="54"/>
      <c r="G14" s="54"/>
      <c r="H14" s="51"/>
      <c r="I14" s="52"/>
      <c r="J14" s="51"/>
      <c r="K14" s="52"/>
      <c r="N14" s="120" t="s">
        <v>165</v>
      </c>
      <c r="O14" s="120"/>
      <c r="P14" s="120"/>
      <c r="Q14" s="113">
        <f>NETWORKDAYS(My_Journal!B2,My_Journal!B39)</f>
        <v>27</v>
      </c>
      <c r="R14" s="114"/>
    </row>
    <row r="15" spans="2:54" x14ac:dyDescent="0.25">
      <c r="B15" s="96" t="s">
        <v>106</v>
      </c>
      <c r="C15" s="70"/>
      <c r="D15" s="70"/>
      <c r="E15" s="70" t="s">
        <v>107</v>
      </c>
      <c r="F15" s="70"/>
      <c r="G15" s="70"/>
      <c r="H15" s="70"/>
      <c r="I15" s="99" t="s">
        <v>108</v>
      </c>
      <c r="J15" s="100"/>
      <c r="K15" s="101"/>
      <c r="N15" s="120" t="s">
        <v>166</v>
      </c>
      <c r="O15" s="120"/>
      <c r="Q15" s="111">
        <f>IF(ISTEXT(LOOKUP(2,1/(My_Journal!AE:AE&lt;&gt;""),My_Journal!AE:AE)),"",LOOKUP(2,1/(My_Journal!AE:AE&lt;&gt;""),My_Journal!AE:AE))</f>
        <v>33.815599999999996</v>
      </c>
      <c r="R15" s="112"/>
    </row>
    <row r="16" spans="2:54" x14ac:dyDescent="0.25">
      <c r="B16" s="97"/>
      <c r="C16" s="98"/>
      <c r="D16" s="98"/>
      <c r="E16" s="98"/>
      <c r="F16" s="98"/>
      <c r="G16" s="98"/>
      <c r="H16" s="98"/>
      <c r="I16" s="97"/>
      <c r="J16" s="98"/>
      <c r="K16" s="102"/>
      <c r="N16" s="107"/>
      <c r="O16" s="107"/>
      <c r="U16" s="1"/>
    </row>
    <row r="17" spans="2:19" x14ac:dyDescent="0.25">
      <c r="B17" s="81">
        <f>IFERROR(AVERAGE(My_Journal!P:P),"")</f>
        <v>228.19755555555551</v>
      </c>
      <c r="C17" s="82"/>
      <c r="D17" s="83"/>
      <c r="E17" s="81">
        <f>IFERROR(AVERAGE(My_Journal!O:O),"")</f>
        <v>77.867111111111114</v>
      </c>
      <c r="F17" s="82"/>
      <c r="G17" s="82"/>
      <c r="H17" s="82"/>
      <c r="I17" s="90">
        <f>IFERROR(AVERAGE(My_Journal!M:M),"")</f>
        <v>307.93988176314934</v>
      </c>
      <c r="J17" s="91"/>
      <c r="K17" s="92"/>
      <c r="N17" s="107"/>
      <c r="O17" s="107"/>
    </row>
    <row r="18" spans="2:19" x14ac:dyDescent="0.25">
      <c r="B18" s="84"/>
      <c r="C18" s="85"/>
      <c r="D18" s="86"/>
      <c r="E18" s="84"/>
      <c r="F18" s="85"/>
      <c r="G18" s="85"/>
      <c r="H18" s="85"/>
      <c r="I18" s="90"/>
      <c r="J18" s="91"/>
      <c r="K18" s="92"/>
      <c r="N18" s="123" t="s">
        <v>96</v>
      </c>
      <c r="O18" s="123"/>
      <c r="P18" s="123"/>
      <c r="Q18" s="123"/>
      <c r="R18" s="123"/>
    </row>
    <row r="19" spans="2:19" x14ac:dyDescent="0.25">
      <c r="B19" s="87"/>
      <c r="C19" s="88"/>
      <c r="D19" s="89"/>
      <c r="E19" s="87"/>
      <c r="F19" s="88"/>
      <c r="G19" s="88"/>
      <c r="H19" s="88"/>
      <c r="I19" s="93"/>
      <c r="J19" s="94"/>
      <c r="K19" s="95"/>
      <c r="N19" s="103" t="s">
        <v>11</v>
      </c>
      <c r="O19" s="103"/>
      <c r="P19" s="103"/>
      <c r="Q19" s="104">
        <f>G4</f>
        <v>0.08</v>
      </c>
      <c r="R19" s="103"/>
    </row>
    <row r="20" spans="2:19" x14ac:dyDescent="0.25">
      <c r="N20" s="103" t="s">
        <v>10</v>
      </c>
      <c r="O20" s="103"/>
      <c r="P20" s="103"/>
      <c r="Q20" s="104">
        <f>Q19</f>
        <v>0.08</v>
      </c>
      <c r="R20" s="103"/>
    </row>
    <row r="21" spans="2:19" x14ac:dyDescent="0.25">
      <c r="N21" s="103" t="s">
        <v>109</v>
      </c>
      <c r="O21" s="103"/>
      <c r="P21" s="103"/>
      <c r="Q21" s="122">
        <f>B4+(B4*G4)</f>
        <v>108000</v>
      </c>
      <c r="R21" s="103"/>
    </row>
    <row r="22" spans="2:19" x14ac:dyDescent="0.25">
      <c r="N22" s="103" t="s">
        <v>110</v>
      </c>
      <c r="O22" s="103"/>
      <c r="P22" s="103"/>
      <c r="Q22" s="122">
        <f>B4-(B4*Q20)</f>
        <v>92000</v>
      </c>
      <c r="R22" s="103"/>
    </row>
    <row r="23" spans="2:19" x14ac:dyDescent="0.25">
      <c r="N23" s="103" t="s">
        <v>111</v>
      </c>
      <c r="O23" s="103"/>
      <c r="P23" s="103"/>
      <c r="Q23" s="134">
        <f>IFERROR((B9-Q22)/SUM(Q19:R20),"")</f>
        <v>89695.499999999985</v>
      </c>
      <c r="R23" s="134"/>
      <c r="S23" s="24"/>
    </row>
    <row r="24" spans="2:19" x14ac:dyDescent="0.25">
      <c r="N24" s="103" t="s">
        <v>112</v>
      </c>
      <c r="O24" s="103"/>
      <c r="P24" s="103"/>
      <c r="Q24" s="136">
        <f>IFERROR((B9-B4)/(B4),"")</f>
        <v>6.3512799999999994E-2</v>
      </c>
      <c r="R24" s="136"/>
      <c r="S24" s="1"/>
    </row>
    <row r="25" spans="2:19" x14ac:dyDescent="0.25">
      <c r="N25" s="103"/>
      <c r="O25" s="103"/>
      <c r="P25" s="103"/>
      <c r="Q25" s="122"/>
      <c r="R25" s="122"/>
    </row>
    <row r="31" spans="2:19" x14ac:dyDescent="0.25">
      <c r="N31" s="107"/>
      <c r="O31" s="107"/>
      <c r="P31" s="107"/>
      <c r="Q31" s="135"/>
      <c r="R31" s="107"/>
    </row>
    <row r="32" spans="2:19" x14ac:dyDescent="0.25">
      <c r="N32" s="107"/>
      <c r="O32" s="107"/>
      <c r="P32" s="107"/>
      <c r="Q32" s="135"/>
      <c r="R32" s="107"/>
    </row>
    <row r="33" spans="14:18" x14ac:dyDescent="0.25">
      <c r="N33" s="107"/>
      <c r="O33" s="107"/>
      <c r="P33" s="107"/>
      <c r="Q33" s="137"/>
      <c r="R33" s="137"/>
    </row>
    <row r="34" spans="14:18" x14ac:dyDescent="0.25">
      <c r="N34" s="107"/>
      <c r="O34" s="107"/>
      <c r="P34" s="107"/>
      <c r="Q34" s="138"/>
      <c r="R34" s="107"/>
    </row>
    <row r="35" spans="14:18" x14ac:dyDescent="0.25">
      <c r="N35" s="107"/>
      <c r="O35" s="107"/>
      <c r="P35" s="107"/>
      <c r="Q35" s="139"/>
      <c r="R35" s="107"/>
    </row>
    <row r="36" spans="14:18" x14ac:dyDescent="0.25">
      <c r="N36" s="107"/>
      <c r="O36" s="107"/>
      <c r="P36" s="107"/>
      <c r="Q36" s="139"/>
      <c r="R36" s="107"/>
    </row>
    <row r="37" spans="14:18" x14ac:dyDescent="0.25">
      <c r="N37" s="107"/>
      <c r="O37" s="107"/>
      <c r="P37" s="107"/>
      <c r="Q37" s="1"/>
      <c r="R37" s="1"/>
    </row>
    <row r="38" spans="14:18" x14ac:dyDescent="0.25">
      <c r="N38" s="107"/>
      <c r="O38" s="107"/>
      <c r="P38" s="107"/>
      <c r="Q38" s="1"/>
    </row>
    <row r="39" spans="14:18" x14ac:dyDescent="0.25">
      <c r="N39" s="107"/>
      <c r="O39" s="107"/>
      <c r="P39" s="107"/>
      <c r="Q39" s="1"/>
    </row>
    <row r="40" spans="14:18" x14ac:dyDescent="0.25">
      <c r="N40" s="107"/>
      <c r="O40" s="107"/>
      <c r="P40" s="107"/>
      <c r="Q40" s="107"/>
      <c r="R40" s="107"/>
    </row>
    <row r="41" spans="14:18" x14ac:dyDescent="0.25">
      <c r="N41" s="107"/>
      <c r="O41" s="107"/>
      <c r="P41" s="107"/>
      <c r="Q41" s="107"/>
      <c r="R41" s="107"/>
    </row>
    <row r="42" spans="14:18" x14ac:dyDescent="0.25">
      <c r="N42" s="107"/>
      <c r="O42" s="107"/>
      <c r="P42" s="107"/>
      <c r="Q42" s="107"/>
      <c r="R42" s="107"/>
    </row>
    <row r="43" spans="14:18" x14ac:dyDescent="0.25">
      <c r="N43" s="107"/>
      <c r="O43" s="107"/>
      <c r="P43" s="107"/>
      <c r="Q43" s="107"/>
      <c r="R43" s="107"/>
    </row>
    <row r="44" spans="14:18" x14ac:dyDescent="0.25">
      <c r="N44" s="107"/>
      <c r="O44" s="107"/>
      <c r="P44" s="107"/>
      <c r="Q44" s="107"/>
      <c r="R44" s="107"/>
    </row>
    <row r="45" spans="14:18" x14ac:dyDescent="0.25">
      <c r="N45" s="107"/>
      <c r="O45" s="107"/>
      <c r="P45" s="107"/>
      <c r="Q45" s="107"/>
      <c r="R45" s="107"/>
    </row>
    <row r="46" spans="14:18" x14ac:dyDescent="0.25">
      <c r="N46" s="107"/>
      <c r="O46" s="107"/>
      <c r="P46" s="107"/>
      <c r="Q46" s="107"/>
      <c r="R46" s="107"/>
    </row>
    <row r="47" spans="14:18" x14ac:dyDescent="0.25">
      <c r="N47" s="107"/>
      <c r="O47" s="107"/>
      <c r="P47" s="107"/>
      <c r="Q47" s="107"/>
      <c r="R47" s="107"/>
    </row>
    <row r="48" spans="14:18" x14ac:dyDescent="0.25">
      <c r="N48" s="107"/>
      <c r="O48" s="107"/>
      <c r="P48" s="107"/>
      <c r="Q48" s="107"/>
      <c r="R48" s="107"/>
    </row>
    <row r="49" spans="14:18" x14ac:dyDescent="0.25">
      <c r="N49" s="107"/>
      <c r="O49" s="107"/>
      <c r="P49" s="107"/>
      <c r="Q49" s="107"/>
      <c r="R49" s="107"/>
    </row>
    <row r="50" spans="14:18" x14ac:dyDescent="0.25">
      <c r="N50" s="107"/>
      <c r="O50" s="107"/>
      <c r="P50" s="107"/>
      <c r="Q50" s="107"/>
      <c r="R50" s="107"/>
    </row>
    <row r="51" spans="14:18" x14ac:dyDescent="0.25">
      <c r="N51" s="107"/>
      <c r="O51" s="107"/>
      <c r="P51" s="107"/>
      <c r="Q51" s="107"/>
      <c r="R51" s="107"/>
    </row>
  </sheetData>
  <mergeCells count="113">
    <mergeCell ref="Q34:R34"/>
    <mergeCell ref="Q35:R35"/>
    <mergeCell ref="Q36:R36"/>
    <mergeCell ref="Q48:R48"/>
    <mergeCell ref="Q49:R49"/>
    <mergeCell ref="Q50:R50"/>
    <mergeCell ref="Q51:R51"/>
    <mergeCell ref="N43:P43"/>
    <mergeCell ref="N44:P44"/>
    <mergeCell ref="N45:P45"/>
    <mergeCell ref="N46:P46"/>
    <mergeCell ref="N47:P47"/>
    <mergeCell ref="N48:P48"/>
    <mergeCell ref="N49:P49"/>
    <mergeCell ref="N50:P50"/>
    <mergeCell ref="N51:P51"/>
    <mergeCell ref="Q43:R43"/>
    <mergeCell ref="Q44:R44"/>
    <mergeCell ref="Q45:R45"/>
    <mergeCell ref="Q46:R46"/>
    <mergeCell ref="Q47:R47"/>
    <mergeCell ref="Q31:R31"/>
    <mergeCell ref="N22:P22"/>
    <mergeCell ref="Q22:R22"/>
    <mergeCell ref="N25:P25"/>
    <mergeCell ref="Q25:R25"/>
    <mergeCell ref="N24:P24"/>
    <mergeCell ref="Q24:R24"/>
    <mergeCell ref="Q42:R42"/>
    <mergeCell ref="N31:P31"/>
    <mergeCell ref="N32:P32"/>
    <mergeCell ref="N33:P33"/>
    <mergeCell ref="N34:P34"/>
    <mergeCell ref="N35:P35"/>
    <mergeCell ref="N36:P36"/>
    <mergeCell ref="N37:P37"/>
    <mergeCell ref="N38:P38"/>
    <mergeCell ref="N39:P39"/>
    <mergeCell ref="N40:P40"/>
    <mergeCell ref="N41:P41"/>
    <mergeCell ref="N42:P42"/>
    <mergeCell ref="Q40:R40"/>
    <mergeCell ref="Q41:R41"/>
    <mergeCell ref="Q32:R32"/>
    <mergeCell ref="Q33:R33"/>
    <mergeCell ref="N2:R2"/>
    <mergeCell ref="Q3:R3"/>
    <mergeCell ref="N3:P3"/>
    <mergeCell ref="N4:P4"/>
    <mergeCell ref="N6:P6"/>
    <mergeCell ref="Q6:R6"/>
    <mergeCell ref="N5:P5"/>
    <mergeCell ref="N7:P7"/>
    <mergeCell ref="N23:P23"/>
    <mergeCell ref="Q23:R23"/>
    <mergeCell ref="U9:V9"/>
    <mergeCell ref="N21:P21"/>
    <mergeCell ref="Q21:R21"/>
    <mergeCell ref="U3:V3"/>
    <mergeCell ref="U5:V5"/>
    <mergeCell ref="U7:V7"/>
    <mergeCell ref="N18:R18"/>
    <mergeCell ref="N19:P19"/>
    <mergeCell ref="Q4:R4"/>
    <mergeCell ref="Q5:R5"/>
    <mergeCell ref="Q7:R7"/>
    <mergeCell ref="Q8:R8"/>
    <mergeCell ref="Q14:R14"/>
    <mergeCell ref="N15:O15"/>
    <mergeCell ref="Q15:R15"/>
    <mergeCell ref="B17:D19"/>
    <mergeCell ref="E17:H19"/>
    <mergeCell ref="I17:K19"/>
    <mergeCell ref="B15:D16"/>
    <mergeCell ref="E15:H16"/>
    <mergeCell ref="I15:K16"/>
    <mergeCell ref="B7:D8"/>
    <mergeCell ref="N20:P20"/>
    <mergeCell ref="Q20:R20"/>
    <mergeCell ref="Q19:R19"/>
    <mergeCell ref="N8:P8"/>
    <mergeCell ref="N16:O16"/>
    <mergeCell ref="N17:O17"/>
    <mergeCell ref="N10:P10"/>
    <mergeCell ref="Q10:R10"/>
    <mergeCell ref="Q11:R11"/>
    <mergeCell ref="Q12:R12"/>
    <mergeCell ref="N12:P12"/>
    <mergeCell ref="N11:P11"/>
    <mergeCell ref="Q13:R13"/>
    <mergeCell ref="N13:P13"/>
    <mergeCell ref="N9:P9"/>
    <mergeCell ref="Q9:R9"/>
    <mergeCell ref="N14:P14"/>
    <mergeCell ref="B2:F3"/>
    <mergeCell ref="B4:F6"/>
    <mergeCell ref="E7:H8"/>
    <mergeCell ref="I7:K8"/>
    <mergeCell ref="G2:K3"/>
    <mergeCell ref="G4:K6"/>
    <mergeCell ref="D13:E14"/>
    <mergeCell ref="F13:G14"/>
    <mergeCell ref="H13:I14"/>
    <mergeCell ref="J13:K14"/>
    <mergeCell ref="B9:D11"/>
    <mergeCell ref="E9:H11"/>
    <mergeCell ref="B12:C12"/>
    <mergeCell ref="F12:G12"/>
    <mergeCell ref="D12:E12"/>
    <mergeCell ref="H12:I12"/>
    <mergeCell ref="J12:K12"/>
    <mergeCell ref="B13:C14"/>
    <mergeCell ref="I9:K11"/>
  </mergeCells>
  <phoneticPr fontId="23" type="noConversion"/>
  <conditionalFormatting sqref="B9:D11">
    <cfRule type="cellIs" dxfId="0" priority="1" operator="lessThan">
      <formula>$B$4</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3678D-3A28-4247-AC4B-D51400C82ACD}">
  <sheetPr codeName="Sheet8"/>
  <dimension ref="B3:N157"/>
  <sheetViews>
    <sheetView topLeftCell="E1" workbookViewId="0">
      <selection activeCell="I6" sqref="I6:I13"/>
    </sheetView>
  </sheetViews>
  <sheetFormatPr defaultColWidth="8.85546875" defaultRowHeight="15" x14ac:dyDescent="0.25"/>
  <cols>
    <col min="2" max="2" width="25" customWidth="1"/>
    <col min="5" max="5" width="19" customWidth="1"/>
    <col min="7" max="7" width="16.7109375" customWidth="1"/>
    <col min="9" max="9" width="18.7109375" customWidth="1"/>
    <col min="11" max="11" width="12.42578125" customWidth="1"/>
    <col min="13" max="13" width="13.42578125" customWidth="1"/>
    <col min="15" max="15" width="12.85546875" customWidth="1"/>
  </cols>
  <sheetData>
    <row r="3" spans="2:14" s="5" customFormat="1" x14ac:dyDescent="0.25">
      <c r="B3" s="5" t="s">
        <v>113</v>
      </c>
      <c r="E3" s="5" t="s">
        <v>114</v>
      </c>
      <c r="G3" s="5" t="s">
        <v>115</v>
      </c>
      <c r="I3" s="5" t="s">
        <v>7</v>
      </c>
      <c r="K3" s="5" t="s">
        <v>8</v>
      </c>
      <c r="M3" s="9" t="s">
        <v>2</v>
      </c>
    </row>
    <row r="4" spans="2:14" x14ac:dyDescent="0.25">
      <c r="B4" t="s">
        <v>116</v>
      </c>
      <c r="E4" t="s">
        <v>36</v>
      </c>
      <c r="G4" t="s">
        <v>81</v>
      </c>
      <c r="I4" t="s">
        <v>34</v>
      </c>
      <c r="K4" t="s">
        <v>35</v>
      </c>
      <c r="M4" s="2">
        <f ca="1">TODAY()-20</f>
        <v>45857</v>
      </c>
      <c r="N4" s="8"/>
    </row>
    <row r="5" spans="2:14" x14ac:dyDescent="0.25">
      <c r="B5" t="s">
        <v>117</v>
      </c>
      <c r="E5" t="s">
        <v>118</v>
      </c>
      <c r="G5" t="s">
        <v>76</v>
      </c>
      <c r="I5" t="s">
        <v>40</v>
      </c>
      <c r="K5" t="s">
        <v>38</v>
      </c>
      <c r="M5" s="2">
        <f ca="1">M4+1</f>
        <v>45858</v>
      </c>
      <c r="N5" s="8"/>
    </row>
    <row r="6" spans="2:14" x14ac:dyDescent="0.25">
      <c r="B6" t="s">
        <v>119</v>
      </c>
      <c r="E6" t="s">
        <v>120</v>
      </c>
      <c r="I6" t="s">
        <v>160</v>
      </c>
      <c r="M6" s="2">
        <f ca="1">M5+1</f>
        <v>45859</v>
      </c>
      <c r="N6" s="8"/>
    </row>
    <row r="7" spans="2:14" x14ac:dyDescent="0.25">
      <c r="B7" t="s">
        <v>121</v>
      </c>
      <c r="E7" t="s">
        <v>122</v>
      </c>
      <c r="I7" t="s">
        <v>161</v>
      </c>
      <c r="M7" s="2">
        <f t="shared" ref="M7:M27" ca="1" si="0">M6+1</f>
        <v>45860</v>
      </c>
      <c r="N7" s="8"/>
    </row>
    <row r="8" spans="2:14" x14ac:dyDescent="0.25">
      <c r="B8" t="s">
        <v>42</v>
      </c>
      <c r="E8" t="s">
        <v>123</v>
      </c>
      <c r="I8" t="s">
        <v>162</v>
      </c>
      <c r="M8" s="2">
        <f t="shared" ca="1" si="0"/>
        <v>45861</v>
      </c>
      <c r="N8" s="8"/>
    </row>
    <row r="9" spans="2:14" x14ac:dyDescent="0.25">
      <c r="B9" t="s">
        <v>124</v>
      </c>
      <c r="E9" t="s">
        <v>125</v>
      </c>
      <c r="I9" t="s">
        <v>163</v>
      </c>
      <c r="M9" s="2">
        <f t="shared" ca="1" si="0"/>
        <v>45862</v>
      </c>
      <c r="N9" s="8"/>
    </row>
    <row r="10" spans="2:14" x14ac:dyDescent="0.25">
      <c r="B10" t="s">
        <v>126</v>
      </c>
      <c r="E10" t="s">
        <v>127</v>
      </c>
      <c r="I10" t="s">
        <v>164</v>
      </c>
      <c r="M10" s="2">
        <f t="shared" ca="1" si="0"/>
        <v>45863</v>
      </c>
      <c r="N10" s="8"/>
    </row>
    <row r="11" spans="2:14" x14ac:dyDescent="0.25">
      <c r="B11" t="s">
        <v>128</v>
      </c>
      <c r="E11" t="s">
        <v>129</v>
      </c>
      <c r="I11" t="s">
        <v>164</v>
      </c>
      <c r="M11" s="2">
        <f t="shared" ca="1" si="0"/>
        <v>45864</v>
      </c>
      <c r="N11" s="8"/>
    </row>
    <row r="12" spans="2:14" x14ac:dyDescent="0.25">
      <c r="B12" t="s">
        <v>130</v>
      </c>
      <c r="E12" t="s">
        <v>129</v>
      </c>
      <c r="I12" t="s">
        <v>164</v>
      </c>
      <c r="M12" s="2">
        <f t="shared" ca="1" si="0"/>
        <v>45865</v>
      </c>
      <c r="N12" s="8"/>
    </row>
    <row r="13" spans="2:14" x14ac:dyDescent="0.25">
      <c r="B13" t="s">
        <v>131</v>
      </c>
      <c r="E13" t="s">
        <v>129</v>
      </c>
      <c r="I13" t="s">
        <v>164</v>
      </c>
      <c r="M13" s="2">
        <f t="shared" ca="1" si="0"/>
        <v>45866</v>
      </c>
      <c r="N13" s="8"/>
    </row>
    <row r="14" spans="2:14" x14ac:dyDescent="0.25">
      <c r="B14" t="s">
        <v>132</v>
      </c>
      <c r="E14" s="107"/>
      <c r="F14" s="107"/>
      <c r="M14" s="2">
        <f t="shared" ca="1" si="0"/>
        <v>45867</v>
      </c>
      <c r="N14" s="8"/>
    </row>
    <row r="15" spans="2:14" x14ac:dyDescent="0.25">
      <c r="B15" t="s">
        <v>133</v>
      </c>
      <c r="M15" s="2">
        <f t="shared" ca="1" si="0"/>
        <v>45868</v>
      </c>
      <c r="N15" s="8"/>
    </row>
    <row r="16" spans="2:14" x14ac:dyDescent="0.25">
      <c r="B16" t="s">
        <v>134</v>
      </c>
      <c r="M16" s="2">
        <f t="shared" ca="1" si="0"/>
        <v>45869</v>
      </c>
      <c r="N16" s="8"/>
    </row>
    <row r="17" spans="2:14" x14ac:dyDescent="0.25">
      <c r="B17" t="s">
        <v>135</v>
      </c>
      <c r="M17" s="2">
        <f t="shared" ca="1" si="0"/>
        <v>45870</v>
      </c>
      <c r="N17" s="8"/>
    </row>
    <row r="18" spans="2:14" x14ac:dyDescent="0.25">
      <c r="B18" t="s">
        <v>136</v>
      </c>
      <c r="M18" s="2">
        <f t="shared" ca="1" si="0"/>
        <v>45871</v>
      </c>
      <c r="N18" s="8"/>
    </row>
    <row r="19" spans="2:14" x14ac:dyDescent="0.25">
      <c r="B19" t="s">
        <v>137</v>
      </c>
      <c r="M19" s="2">
        <f t="shared" ca="1" si="0"/>
        <v>45872</v>
      </c>
      <c r="N19" s="8"/>
    </row>
    <row r="20" spans="2:14" x14ac:dyDescent="0.25">
      <c r="B20" t="s">
        <v>138</v>
      </c>
      <c r="M20" s="2">
        <f t="shared" ca="1" si="0"/>
        <v>45873</v>
      </c>
      <c r="N20" s="8"/>
    </row>
    <row r="21" spans="2:14" x14ac:dyDescent="0.25">
      <c r="B21" t="s">
        <v>139</v>
      </c>
      <c r="M21" s="2">
        <f t="shared" ca="1" si="0"/>
        <v>45874</v>
      </c>
    </row>
    <row r="22" spans="2:14" x14ac:dyDescent="0.25">
      <c r="B22" t="s">
        <v>140</v>
      </c>
      <c r="M22" s="2">
        <f t="shared" ca="1" si="0"/>
        <v>45875</v>
      </c>
    </row>
    <row r="23" spans="2:14" x14ac:dyDescent="0.25">
      <c r="B23" t="s">
        <v>141</v>
      </c>
      <c r="M23" s="2">
        <f t="shared" ca="1" si="0"/>
        <v>45876</v>
      </c>
    </row>
    <row r="24" spans="2:14" x14ac:dyDescent="0.25">
      <c r="B24" t="s">
        <v>142</v>
      </c>
      <c r="M24" s="2">
        <f t="shared" ca="1" si="0"/>
        <v>45877</v>
      </c>
    </row>
    <row r="25" spans="2:14" x14ac:dyDescent="0.25">
      <c r="B25" t="s">
        <v>143</v>
      </c>
      <c r="M25" s="2">
        <f t="shared" ca="1" si="0"/>
        <v>45878</v>
      </c>
    </row>
    <row r="26" spans="2:14" x14ac:dyDescent="0.25">
      <c r="B26" t="s">
        <v>144</v>
      </c>
      <c r="M26" s="2">
        <f t="shared" ca="1" si="0"/>
        <v>45879</v>
      </c>
    </row>
    <row r="27" spans="2:14" x14ac:dyDescent="0.25">
      <c r="B27" t="s">
        <v>43</v>
      </c>
      <c r="M27" s="2">
        <f t="shared" ca="1" si="0"/>
        <v>45880</v>
      </c>
    </row>
    <row r="28" spans="2:14" x14ac:dyDescent="0.25">
      <c r="B28" t="s">
        <v>33</v>
      </c>
      <c r="M28" s="2"/>
    </row>
    <row r="29" spans="2:14" x14ac:dyDescent="0.25">
      <c r="B29" t="s">
        <v>41</v>
      </c>
      <c r="M29" s="2"/>
    </row>
    <row r="30" spans="2:14" x14ac:dyDescent="0.25">
      <c r="B30" t="s">
        <v>44</v>
      </c>
      <c r="M30" s="2"/>
    </row>
    <row r="31" spans="2:14" x14ac:dyDescent="0.25">
      <c r="B31" t="s">
        <v>145</v>
      </c>
      <c r="M31" s="2"/>
    </row>
    <row r="32" spans="2:14" x14ac:dyDescent="0.25">
      <c r="B32" t="s">
        <v>37</v>
      </c>
      <c r="M32" s="2"/>
    </row>
    <row r="33" spans="2:13" x14ac:dyDescent="0.25">
      <c r="B33" t="s">
        <v>39</v>
      </c>
      <c r="M33" s="2"/>
    </row>
    <row r="34" spans="2:13" x14ac:dyDescent="0.25">
      <c r="B34" t="s">
        <v>45</v>
      </c>
      <c r="M34" s="2"/>
    </row>
    <row r="35" spans="2:13" x14ac:dyDescent="0.25">
      <c r="B35" t="s">
        <v>146</v>
      </c>
      <c r="M35" s="2"/>
    </row>
    <row r="36" spans="2:13" x14ac:dyDescent="0.25">
      <c r="B36" t="s">
        <v>147</v>
      </c>
      <c r="M36" s="2"/>
    </row>
    <row r="37" spans="2:13" x14ac:dyDescent="0.25">
      <c r="B37" t="s">
        <v>148</v>
      </c>
      <c r="M37" s="2"/>
    </row>
    <row r="38" spans="2:13" x14ac:dyDescent="0.25">
      <c r="B38" t="s">
        <v>149</v>
      </c>
      <c r="M38" s="2"/>
    </row>
    <row r="39" spans="2:13" x14ac:dyDescent="0.25">
      <c r="B39" t="s">
        <v>150</v>
      </c>
      <c r="M39" s="2"/>
    </row>
    <row r="40" spans="2:13" x14ac:dyDescent="0.25">
      <c r="B40" t="s">
        <v>151</v>
      </c>
      <c r="M40" s="2"/>
    </row>
    <row r="41" spans="2:13" x14ac:dyDescent="0.25">
      <c r="B41" t="s">
        <v>152</v>
      </c>
      <c r="M41" s="2"/>
    </row>
    <row r="42" spans="2:13" x14ac:dyDescent="0.25">
      <c r="B42" t="s">
        <v>153</v>
      </c>
      <c r="M42" s="2"/>
    </row>
    <row r="43" spans="2:13" x14ac:dyDescent="0.25">
      <c r="B43" t="s">
        <v>154</v>
      </c>
      <c r="M43" s="2"/>
    </row>
    <row r="44" spans="2:13" x14ac:dyDescent="0.25">
      <c r="B44" t="s">
        <v>155</v>
      </c>
      <c r="M44" s="2"/>
    </row>
    <row r="45" spans="2:13" x14ac:dyDescent="0.25">
      <c r="B45" t="s">
        <v>129</v>
      </c>
      <c r="M45" s="2"/>
    </row>
    <row r="46" spans="2:13" x14ac:dyDescent="0.25">
      <c r="B46" t="s">
        <v>129</v>
      </c>
      <c r="M46" s="2"/>
    </row>
    <row r="47" spans="2:13" x14ac:dyDescent="0.25">
      <c r="B47" t="s">
        <v>129</v>
      </c>
      <c r="M47" s="2"/>
    </row>
    <row r="48" spans="2:13" x14ac:dyDescent="0.25">
      <c r="B48" t="s">
        <v>129</v>
      </c>
      <c r="M48" s="2"/>
    </row>
    <row r="49" spans="2:13" x14ac:dyDescent="0.25">
      <c r="B49" t="s">
        <v>129</v>
      </c>
      <c r="M49" s="2"/>
    </row>
    <row r="50" spans="2:13" x14ac:dyDescent="0.25">
      <c r="B50" t="s">
        <v>129</v>
      </c>
      <c r="M50" s="2"/>
    </row>
    <row r="51" spans="2:13" x14ac:dyDescent="0.25">
      <c r="B51" t="s">
        <v>129</v>
      </c>
      <c r="M51" s="2"/>
    </row>
    <row r="52" spans="2:13" x14ac:dyDescent="0.25">
      <c r="B52" t="s">
        <v>129</v>
      </c>
      <c r="M52" s="2"/>
    </row>
    <row r="53" spans="2:13" x14ac:dyDescent="0.25">
      <c r="B53" t="s">
        <v>129</v>
      </c>
      <c r="M53" s="2"/>
    </row>
    <row r="54" spans="2:13" x14ac:dyDescent="0.25">
      <c r="B54" t="s">
        <v>129</v>
      </c>
      <c r="M54" s="2"/>
    </row>
    <row r="55" spans="2:13" x14ac:dyDescent="0.25">
      <c r="B55" t="s">
        <v>129</v>
      </c>
      <c r="M55" s="2"/>
    </row>
    <row r="56" spans="2:13" x14ac:dyDescent="0.25">
      <c r="B56" t="s">
        <v>129</v>
      </c>
      <c r="M56" s="2"/>
    </row>
    <row r="57" spans="2:13" x14ac:dyDescent="0.25">
      <c r="M57" s="2"/>
    </row>
    <row r="58" spans="2:13" x14ac:dyDescent="0.25">
      <c r="M58" s="2"/>
    </row>
    <row r="59" spans="2:13" x14ac:dyDescent="0.25">
      <c r="M59" s="2"/>
    </row>
    <row r="60" spans="2:13" x14ac:dyDescent="0.25">
      <c r="M60" s="2"/>
    </row>
    <row r="61" spans="2:13" x14ac:dyDescent="0.25">
      <c r="M61" s="2"/>
    </row>
    <row r="62" spans="2:13" x14ac:dyDescent="0.25">
      <c r="M62" s="2"/>
    </row>
    <row r="63" spans="2:13" x14ac:dyDescent="0.25">
      <c r="M63" s="2"/>
    </row>
    <row r="64" spans="2:13" x14ac:dyDescent="0.25">
      <c r="M64" s="2"/>
    </row>
    <row r="65" spans="13:13" x14ac:dyDescent="0.25">
      <c r="M65" s="2"/>
    </row>
    <row r="66" spans="13:13" x14ac:dyDescent="0.25">
      <c r="M66" s="2"/>
    </row>
    <row r="67" spans="13:13" x14ac:dyDescent="0.25">
      <c r="M67" s="2"/>
    </row>
    <row r="68" spans="13:13" x14ac:dyDescent="0.25">
      <c r="M68" s="2"/>
    </row>
    <row r="69" spans="13:13" x14ac:dyDescent="0.25">
      <c r="M69" s="2"/>
    </row>
    <row r="70" spans="13:13" x14ac:dyDescent="0.25">
      <c r="M70" s="2"/>
    </row>
    <row r="71" spans="13:13" x14ac:dyDescent="0.25">
      <c r="M71" s="2"/>
    </row>
    <row r="72" spans="13:13" x14ac:dyDescent="0.25">
      <c r="M72" s="2"/>
    </row>
    <row r="73" spans="13:13" x14ac:dyDescent="0.25">
      <c r="M73" s="2"/>
    </row>
    <row r="74" spans="13:13" x14ac:dyDescent="0.25">
      <c r="M74" s="2"/>
    </row>
    <row r="75" spans="13:13" x14ac:dyDescent="0.25">
      <c r="M75" s="2"/>
    </row>
    <row r="76" spans="13:13" x14ac:dyDescent="0.25">
      <c r="M76" s="2"/>
    </row>
    <row r="77" spans="13:13" x14ac:dyDescent="0.25">
      <c r="M77" s="2"/>
    </row>
    <row r="78" spans="13:13" x14ac:dyDescent="0.25">
      <c r="M78" s="2"/>
    </row>
    <row r="79" spans="13:13" x14ac:dyDescent="0.25">
      <c r="M79" s="2"/>
    </row>
    <row r="80" spans="13:13" x14ac:dyDescent="0.25">
      <c r="M80" s="2"/>
    </row>
    <row r="81" spans="13:13" x14ac:dyDescent="0.25">
      <c r="M81" s="2"/>
    </row>
    <row r="82" spans="13:13" x14ac:dyDescent="0.25">
      <c r="M82" s="2"/>
    </row>
    <row r="83" spans="13:13" x14ac:dyDescent="0.25">
      <c r="M83" s="2"/>
    </row>
    <row r="84" spans="13:13" x14ac:dyDescent="0.25">
      <c r="M84" s="2"/>
    </row>
    <row r="85" spans="13:13" x14ac:dyDescent="0.25">
      <c r="M85" s="2"/>
    </row>
    <row r="86" spans="13:13" x14ac:dyDescent="0.25">
      <c r="M86" s="2"/>
    </row>
    <row r="87" spans="13:13" x14ac:dyDescent="0.25">
      <c r="M87" s="2"/>
    </row>
    <row r="88" spans="13:13" x14ac:dyDescent="0.25">
      <c r="M88" s="2"/>
    </row>
    <row r="89" spans="13:13" x14ac:dyDescent="0.25">
      <c r="M89" s="2"/>
    </row>
    <row r="90" spans="13:13" x14ac:dyDescent="0.25">
      <c r="M90" s="2"/>
    </row>
    <row r="91" spans="13:13" x14ac:dyDescent="0.25">
      <c r="M91" s="2"/>
    </row>
    <row r="92" spans="13:13" x14ac:dyDescent="0.25">
      <c r="M92" s="2"/>
    </row>
    <row r="93" spans="13:13" x14ac:dyDescent="0.25">
      <c r="M93" s="2"/>
    </row>
    <row r="94" spans="13:13" x14ac:dyDescent="0.25">
      <c r="M94" s="2"/>
    </row>
    <row r="95" spans="13:13" x14ac:dyDescent="0.25">
      <c r="M95" s="2"/>
    </row>
    <row r="96" spans="13:13" x14ac:dyDescent="0.25">
      <c r="M96" s="2"/>
    </row>
    <row r="97" spans="13:13" x14ac:dyDescent="0.25">
      <c r="M97" s="2"/>
    </row>
    <row r="98" spans="13:13" x14ac:dyDescent="0.25">
      <c r="M98" s="2"/>
    </row>
    <row r="99" spans="13:13" x14ac:dyDescent="0.25">
      <c r="M99" s="2"/>
    </row>
    <row r="100" spans="13:13" x14ac:dyDescent="0.25">
      <c r="M100" s="2"/>
    </row>
    <row r="101" spans="13:13" x14ac:dyDescent="0.25">
      <c r="M101" s="2"/>
    </row>
    <row r="102" spans="13:13" x14ac:dyDescent="0.25">
      <c r="M102" s="2"/>
    </row>
    <row r="103" spans="13:13" x14ac:dyDescent="0.25">
      <c r="M103" s="2"/>
    </row>
    <row r="104" spans="13:13" x14ac:dyDescent="0.25">
      <c r="M104" s="2"/>
    </row>
    <row r="105" spans="13:13" x14ac:dyDescent="0.25">
      <c r="M105" s="2"/>
    </row>
    <row r="106" spans="13:13" x14ac:dyDescent="0.25">
      <c r="M106" s="2"/>
    </row>
    <row r="107" spans="13:13" x14ac:dyDescent="0.25">
      <c r="M107" s="2"/>
    </row>
    <row r="108" spans="13:13" x14ac:dyDescent="0.25">
      <c r="M108" s="2"/>
    </row>
    <row r="109" spans="13:13" x14ac:dyDescent="0.25">
      <c r="M109" s="2"/>
    </row>
    <row r="110" spans="13:13" x14ac:dyDescent="0.25">
      <c r="M110" s="2"/>
    </row>
    <row r="111" spans="13:13" x14ac:dyDescent="0.25">
      <c r="M111" s="2"/>
    </row>
    <row r="112" spans="13:13" x14ac:dyDescent="0.25">
      <c r="M112" s="2"/>
    </row>
    <row r="113" spans="13:13" x14ac:dyDescent="0.25">
      <c r="M113" s="2"/>
    </row>
    <row r="114" spans="13:13" x14ac:dyDescent="0.25">
      <c r="M114" s="2"/>
    </row>
    <row r="115" spans="13:13" x14ac:dyDescent="0.25">
      <c r="M115" s="2"/>
    </row>
    <row r="116" spans="13:13" x14ac:dyDescent="0.25">
      <c r="M116" s="2"/>
    </row>
    <row r="117" spans="13:13" x14ac:dyDescent="0.25">
      <c r="M117" s="2"/>
    </row>
    <row r="118" spans="13:13" x14ac:dyDescent="0.25">
      <c r="M118" s="2"/>
    </row>
    <row r="119" spans="13:13" x14ac:dyDescent="0.25">
      <c r="M119" s="2"/>
    </row>
    <row r="120" spans="13:13" x14ac:dyDescent="0.25">
      <c r="M120" s="2"/>
    </row>
    <row r="121" spans="13:13" x14ac:dyDescent="0.25">
      <c r="M121" s="2"/>
    </row>
    <row r="122" spans="13:13" x14ac:dyDescent="0.25">
      <c r="M122" s="2"/>
    </row>
    <row r="123" spans="13:13" x14ac:dyDescent="0.25">
      <c r="M123" s="2"/>
    </row>
    <row r="124" spans="13:13" x14ac:dyDescent="0.25">
      <c r="M124" s="2"/>
    </row>
    <row r="125" spans="13:13" x14ac:dyDescent="0.25">
      <c r="M125" s="2"/>
    </row>
    <row r="126" spans="13:13" x14ac:dyDescent="0.25">
      <c r="M126" s="2"/>
    </row>
    <row r="127" spans="13:13" x14ac:dyDescent="0.25">
      <c r="M127" s="2"/>
    </row>
    <row r="128" spans="13:13" x14ac:dyDescent="0.25">
      <c r="M128" s="2"/>
    </row>
    <row r="129" spans="13:13" x14ac:dyDescent="0.25">
      <c r="M129" s="2"/>
    </row>
    <row r="130" spans="13:13" x14ac:dyDescent="0.25">
      <c r="M130" s="2"/>
    </row>
    <row r="131" spans="13:13" x14ac:dyDescent="0.25">
      <c r="M131" s="2"/>
    </row>
    <row r="132" spans="13:13" x14ac:dyDescent="0.25">
      <c r="M132" s="2"/>
    </row>
    <row r="133" spans="13:13" x14ac:dyDescent="0.25">
      <c r="M133" s="2"/>
    </row>
    <row r="134" spans="13:13" x14ac:dyDescent="0.25">
      <c r="M134" s="2"/>
    </row>
    <row r="135" spans="13:13" x14ac:dyDescent="0.25">
      <c r="M135" s="2"/>
    </row>
    <row r="136" spans="13:13" x14ac:dyDescent="0.25">
      <c r="M136" s="2"/>
    </row>
    <row r="137" spans="13:13" x14ac:dyDescent="0.25">
      <c r="M137" s="2"/>
    </row>
    <row r="138" spans="13:13" x14ac:dyDescent="0.25">
      <c r="M138" s="2"/>
    </row>
    <row r="139" spans="13:13" x14ac:dyDescent="0.25">
      <c r="M139" s="2"/>
    </row>
    <row r="140" spans="13:13" x14ac:dyDescent="0.25">
      <c r="M140" s="2"/>
    </row>
    <row r="141" spans="13:13" x14ac:dyDescent="0.25">
      <c r="M141" s="2"/>
    </row>
    <row r="142" spans="13:13" x14ac:dyDescent="0.25">
      <c r="M142" s="2"/>
    </row>
    <row r="143" spans="13:13" x14ac:dyDescent="0.25">
      <c r="M143" s="2"/>
    </row>
    <row r="144" spans="13:13" x14ac:dyDescent="0.25">
      <c r="M144" s="2"/>
    </row>
    <row r="145" spans="13:13" x14ac:dyDescent="0.25">
      <c r="M145" s="2"/>
    </row>
    <row r="146" spans="13:13" x14ac:dyDescent="0.25">
      <c r="M146" s="2"/>
    </row>
    <row r="147" spans="13:13" x14ac:dyDescent="0.25">
      <c r="M147" s="2"/>
    </row>
    <row r="148" spans="13:13" x14ac:dyDescent="0.25">
      <c r="M148" s="2"/>
    </row>
    <row r="149" spans="13:13" x14ac:dyDescent="0.25">
      <c r="M149" s="2"/>
    </row>
    <row r="150" spans="13:13" x14ac:dyDescent="0.25">
      <c r="M150" s="2"/>
    </row>
    <row r="151" spans="13:13" x14ac:dyDescent="0.25">
      <c r="M151" s="2"/>
    </row>
    <row r="152" spans="13:13" x14ac:dyDescent="0.25">
      <c r="M152" s="2"/>
    </row>
    <row r="153" spans="13:13" x14ac:dyDescent="0.25">
      <c r="M153" s="2"/>
    </row>
    <row r="154" spans="13:13" x14ac:dyDescent="0.25">
      <c r="M154" s="2"/>
    </row>
    <row r="155" spans="13:13" x14ac:dyDescent="0.25">
      <c r="M155" s="2"/>
    </row>
    <row r="156" spans="13:13" x14ac:dyDescent="0.25">
      <c r="M156" s="2"/>
    </row>
    <row r="157" spans="13:13" x14ac:dyDescent="0.25">
      <c r="M157" s="2"/>
    </row>
  </sheetData>
  <mergeCells count="1">
    <mergeCell ref="E14:F14"/>
  </mergeCells>
  <phoneticPr fontId="23" type="noConversion"/>
  <pageMargins left="0.7" right="0.7" top="0.75" bottom="0.75" header="0.3" footer="0.3"/>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U E A A B Q S w M E F A A A C A g A k n r 2 W t 1 s V 2 m l A A A A 9 g A A A B I A A A B D b 2 5 m a W c v U G F j a 2 F n Z S 5 4 b W y F j 7 E O g j A Y h F + F d K c t K M G Q n z K 4 S m J C N K 5 N q d A I x d B i e T c H H 8 l X E K O o m + P d f Z f c 3 a 8 3 y M a 2 8 S 6 y N 6 r T K Q o w R Z 7 U o i u V r l I 0 2 K O / Q h m D L R c n X k l v g r V J R q N S V F t 7 T g h x z m G 3 w F 1 f k Z D S g B z y T S F q 2 X J f a W O 5 F h J 9 W u X / F m K w f 4 1 h I Q 6 W E Y 7 i G F M g s w m 5 0 l 8 g n P Y + 0 x 8 T 1 k N j h 1 4 y q f 1 d A W S W Q N 4 f 2 A N Q S w M E F A A A C A g A k n r 2 W r 8 T / + K S A Q A A 1 g M A A B M A A A B G b 3 J t d W x h c y 9 T Z W N 0 a W 9 u M S 5 t d V P b a s J A E H 0 X 8 g 9 L 1 K L g h U L p i / j S 1 I J F R V S Q U k T W O O p i d t f u b t B U / K T + R L + s k 4 Q G N Z u 8 J J m z 5 5 y Z 2 R k N v m F S k G n 6 f u w 4 J a e k d 1 T B m p T d Y f T 7 s 3 y X o R I 0 c E m X B G C c E s F n i j E f M N I 7 + R C 0 v F A p E G Y u 1 X 4 l 5 b 5 W P 3 + O K I f u r c D i 8 u l J Y f D g o p H K l F 1 v R 8 U W v W b R A W K H G V 0 F 0 J o p K v R G K u 7 J I O Q i B n U t 9 W y c z 2 7 Z b Z C + M M 9 P r R i 5 N M j Z f a U G M G r w n 6 z x 2 z C e A i i 1 B j J E 3 9 0 / b u B k M h L x A q n t 1 L Q q P y J j y l S O P J a a p a 1 j 3 x l f h H w F K j V G G f K m s A 1 5 X 6 b S d u e Q n j A K / R T z b Z J T I w 9 k I L W 2 2 d E 9 I F F u m L G g v R M z h b I T p v f t C R y p W i 9 H c L S c m D N B 2 j f O W c a V o o Q q x d m M A J N 5 G F i Q a j G p W m T k S c 6 0 v u r m F f Z C A y q s R c d 3 3 7 w Z i / j u E y i J N j + A q h z U E z i q y U T J D e H 3 7 G x y 4 m O J C o G v k J n I d p d s G + / E f T u x G I 4 L k t V J R Z T E + 5 x u 4 S Z 6 q T s l J q x 7 1 P k D U E s D B B Q A A A g I A J J 6 9 l o P y u m r p A A A A O k A A A A T A A A A W 0 N v b n R l b n R f V H l w Z X N d L n h t b G 2 O S w 7 C M A x E r x J 5 n 7 q w Q A g 1 Z Q H c g A t E w f 2 I 5 q P G R e F s L D g S V y B t d 4 i l Z + Z 5 5 v N 6 V 8 d k B / G g M f b e K d g U J Q h y x t 9 6 1 y q Y u J F 7 O N b V 9 R k o i h x 1 U U H H H A 6 I 0 X R k d S x 8 I J e d x o 9 W c z 7 H F o M 2 d 9 0 S b s t y h 8 Y 7 J s e S 5 x 9 Q V 2 d q 9 D S w u K Q s r 7 U Z B 3 F a c 3 O V A q b E u M j 4 l 7 A / e R 3 C 0 B v N 2 c Q k b Z R 2 I X E Z X n 8 B U E s B A h Q D F A A A C A g A k n r 2 W t 1 s V 2 m l A A A A 9 g A A A B I A A A A A A A A A A A A A A K S B A A A A A E N v b m Z p Z y 9 Q Y W N r Y W d l L n h t b F B L A Q I U A x Q A A A g I A J J 6 9 l q / E / / i k g E A A N Y D A A A T A A A A A A A A A A A A A A C k g d U A A A B G b 3 J t d W x h c y 9 T Z W N 0 a W 9 u M S 5 t U E s B A h Q D F A A A C A g A k n r 2 W g / K 6 a u k A A A A 6 Q A A A B M A A A A A A A A A A A A A A K S B m A I A A F t D b 2 5 0 Z W 5 0 X 1 R 5 c G V z X S 5 4 b W x Q S w U G A A A A A A M A A w D C A A A A b 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9 R g A A A A A A A D T G 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X k l Q z I l Q U R f S m 9 1 c m 5 h b D w v S X R l b V B h d G g + P C 9 J d G V t T G 9 j Y X R p b 2 4 + P F N 0 Y W J s Z U V u d H J p Z X M + P E V u d H J 5 I F R 5 c G U 9 I k l z U H J p d m F 0 Z S I g V m F s d W U 9 I m w w I i A v P j x F b n R y e S B U e X B l P S J G a W x s R W 5 h Y m x l Z C I g V m F s d W U 9 I m w w I i A v P j x F b n R y e S B U e X B l P S J G a W x s Q 2 9 1 b n Q i I F Z h b H V l P S J s M T I i I C 8 + P E V u d H J 5 I F R 5 c G U 9 I l F 1 Z X J 5 S U Q i I F Z h b H V l P S J z Z T U w M 2 U w N z A t Y j g 5 M y 0 0 M T A 3 L T g 1 N W M t O T M 1 M T Y 3 Y z Y z Z T N i 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V y c m 9 y Q 2 9 1 b n Q i I F Z h b H V l P S J s M C I g L z 4 8 R W 5 0 c n k g V H l w Z T 0 i R m l s b E V y c m 9 y Q 2 9 k Z S I g V m F s d W U 9 I n N V b m t u b 3 d u I i A v P j x F b n R y e S B U e X B l P S J G a W x s V G 9 E Y X R h T W 9 k Z W x F b m F i b G V k I i B W Y W x 1 Z T 0 i b D A i I C 8 + P E V u d H J 5 I F R 5 c G U 9 I k Z p b G x P Y m p l Y 3 R U e X B l I i B W Y W x 1 Z T 0 i c 0 N v b m 5 l Y 3 R p b 2 5 P b m x 5 I i A v P j x F b n R y e S B U e X B l P S J G a W x s T G F z d F V w Z G F 0 Z W Q i I F Z h b H V l P S J k M j A y N S 0 w N y 0 y M l Q x M D o y M D o z N i 4 0 M D E 0 O T k w W i I g L z 4 8 R W 5 0 c n k g V H l w Z T 0 i R m l s b E N v b H V t b l R 5 c G V z I i B W Y W x 1 Z T 0 i c 0 F 3 Y 0 d C d 1 l G Q m d Z R k J R V U Z C U V l G Q l F V R k J R V U Z D U W t I Q l F Z Q U F B P T 0 i I C 8 + P E V u d H J 5 I F R 5 c G U 9 I k Z p b G x D b 2 x 1 b W 5 O Y W 1 l c y I g V m F s d W U 9 I n N b J n F 1 b 3 Q 7 I y Z x d W 9 0 O y w m c X V v d D t E Y X R l J n F 1 b 3 Q 7 L C Z x d W 9 0 O 1 R y Y W R l I E 1 v b n R o J n F 1 b 3 Q 7 L C Z x d W 9 0 O 0 R h d G U g Q 2 x v c 2 U m c X V v d D s s J n F 1 b 3 Q 7 Q 3 V y c m V u Y 3 k g U G F p c i Z x d W 9 0 O y w m c X V v d D t Q b 3 N p d G l v b i B T a X p l J n F 1 b 3 Q 7 L C Z x d W 9 0 O 1 R p b W U g R n J h b W U m c X V v d D s s J n F 1 b 3 Q 7 R G l y Z W N 0 a W 9 u J n F 1 b 3 Q 7 L C Z x d W 9 0 O 0 V u d H J 5 I F B y a W N l J n F 1 b 3 Q 7 L C Z x d W 9 0 O 1 N 0 b 3 A g T G 9 z c y Z x d W 9 0 O y w m c X V v d D t U Y W t l I F B y b 2 Z p d C Z x d W 9 0 O y w m c X V v d D t F e G l 0 I F B y a W N l J n F 1 b 3 Q 7 L C Z x d W 9 0 O 1 J p c 2 s v U m V 3 Y X J k X 0 5 l d y Z x d W 9 0 O y w m c X V v d D t X a W 4 g L y B M b 3 N z J n F 1 b 3 Q 7 L C Z x d W 9 0 O y Q g T G 9 z c y Z x d W 9 0 O y w m c X V v d D s k I F B y b 2 Z p d C Z x d W 9 0 O y w m c X V v d D t O Z X Q g U F x 1 M D A y N k w m c X V v d D s s J n F 1 b 3 Q 7 J S B Q c m 9 m a X Q m c X V v d D s s J n F 1 b 3 Q 7 J S B M b 3 N z J n F 1 b 3 Q 7 L C Z x d W 9 0 O 0 N v b W l z c 2 l v b i Z x d W 9 0 O y w m c X V v d D t C Y W x h b m N l J n F 1 b 3 Q 7 L C Z x d W 9 0 O 0 R h d G U t T W 9 u d G g m c X V v d D s s J n F 1 b 3 Q 7 T W 9 u d G g t W W V h c i Z x d W 9 0 O y w m c X V v d D t F b m Q g V H J h Z G U g b 2 Y g b W 9 u d G g m c X V v d D s s J n F 1 b 3 Q 7 R W 5 k I E 1 v b n R o I G V x d W l 0 e S Z x d W 9 0 O y w m c X V v d D t T a W d u Y W w m c X V v d D s s J n F 1 b 3 Q 7 Q 2 9 t b W V u d H M m c X V v d D s s J n F 1 b 3 Q 7 S W 1 h Z 2 V z J n F 1 b 3 Q 7 X S I g L z 4 8 R W 5 0 c n k g V H l w Z T 0 i Q W R k Z W R U b 0 R h d G F N b 2 R l b C I g V m F s d W U 9 I m w w I i A v P j x F b n R y e S B U e X B l P S J G a W x s U 3 R h d H V z I i B W Y W x 1 Z T 0 i c 0 N v b X B s Z X R l I i A v P j x F b n R y e S B U e X B l P S J S Z W x h d G l v b n N o a X B J b m Z v Q 2 9 u d G F p b m V y I i B W Y W x 1 Z T 0 i c 3 s m c X V v d D t j b 2 x 1 b W 5 D b 3 V u d C Z x d W 9 0 O z o y O C w m c X V v d D t r Z X l D b 2 x 1 b W 5 O Y W 1 l c y Z x d W 9 0 O z p b X S w m c X V v d D t x d W V y e V J l b G F 0 a W 9 u c 2 h p c H M m c X V v d D s 6 W 1 0 s J n F 1 b 3 Q 7 Y 2 9 s d W 1 u S W R l b n R p d G l l c y Z x d W 9 0 O z p b J n F 1 b 3 Q 7 U 2 V j d G l v b j E v T X l c d T A w Q U R f S m 9 1 c m 5 h b C 9 D a G F u Z 2 V k I F R 5 c G U u e y M s M H 0 m c X V v d D s s J n F 1 b 3 Q 7 U 2 V j d G l v b j E v T X l c d T A w Q U R f S m 9 1 c m 5 h b C 9 D a G F u Z 2 V k I F R 5 c G U u e 0 R h d G U s M X 0 m c X V v d D s s J n F 1 b 3 Q 7 U 2 V j d G l v b j E v T X l c d T A w Q U R f S m 9 1 c m 5 h b C 9 D a G F u Z 2 V k I F R 5 c G U u e 1 R y Y W R l I E 1 v b n R o L D J 9 J n F 1 b 3 Q 7 L C Z x d W 9 0 O 1 N l Y 3 R p b 2 4 x L 0 1 5 X H U w M E F E X 0 p v d X J u Y W w v Q 2 h h b m d l Z C B U e X B l L n t E Y X R l I E N s b 3 N l L D N 9 J n F 1 b 3 Q 7 L C Z x d W 9 0 O 1 N l Y 3 R p b 2 4 x L 0 1 5 X H U w M E F E X 0 p v d X J u Y W w v Q 2 h h b m d l Z C B U e X B l L n t D d X J y Z W 5 j e S B Q Y W l y L D R 9 J n F 1 b 3 Q 7 L C Z x d W 9 0 O 1 N l Y 3 R p b 2 4 x L 0 1 5 X H U w M E F E X 0 p v d X J u Y W w v Q 2 h h b m d l Z C B U e X B l L n t Q b 3 N p d G l v b i B T a X p l L D V 9 J n F 1 b 3 Q 7 L C Z x d W 9 0 O 1 N l Y 3 R p b 2 4 x L 0 1 5 X H U w M E F E X 0 p v d X J u Y W w v Q 2 h h b m d l Z C B U e X B l L n t U a W 1 l I E Z y Y W 1 l L D Z 9 J n F 1 b 3 Q 7 L C Z x d W 9 0 O 1 N l Y 3 R p b 2 4 x L 0 1 5 X H U w M E F E X 0 p v d X J u Y W w v Q 2 h h b m d l Z C B U e X B l L n t E a X J l Y 3 R p b 2 4 s N 3 0 m c X V v d D s s J n F 1 b 3 Q 7 U 2 V j d G l v b j E v T X l c d T A w Q U R f S m 9 1 c m 5 h b C 9 D a G F u Z 2 V k I F R 5 c G U u e 0 V u d H J 5 I F B y a W N l L D h 9 J n F 1 b 3 Q 7 L C Z x d W 9 0 O 1 N l Y 3 R p b 2 4 x L 0 1 5 X H U w M E F E X 0 p v d X J u Y W w v Q 2 h h b m d l Z C B U e X B l L n t T d G 9 w I E x v c 3 M s O X 0 m c X V v d D s s J n F 1 b 3 Q 7 U 2 V j d G l v b j E v T X l c d T A w Q U R f S m 9 1 c m 5 h b C 9 D a G F u Z 2 V k I F R 5 c G U u e 1 R h a 2 U g U H J v Z m l 0 L D E w f S Z x d W 9 0 O y w m c X V v d D t T Z W N 0 a W 9 u M S 9 N e V x 1 M D B B R F 9 K b 3 V y b m F s L 0 N o Y W 5 n Z W Q g V H l w Z S 5 7 R X h p d C B Q c m l j Z S w x M X 0 m c X V v d D s s J n F 1 b 3 Q 7 U 2 V j d G l v b j E v T X l c d T A w Q U R f S m 9 1 c m 5 h b C 9 D a G F u Z 2 V k I F R 5 c G U u e 1 J p c 2 s v U m V 3 Y X J k X 0 5 l d y w x M n 0 m c X V v d D s s J n F 1 b 3 Q 7 U 2 V j d G l v b j E v T X l c d T A w Q U R f S m 9 1 c m 5 h b C 9 D a G F u Z 2 V k I F R 5 c G U u e 1 d p b i A v I E x v c 3 M s M T N 9 J n F 1 b 3 Q 7 L C Z x d W 9 0 O 1 N l Y 3 R p b 2 4 x L 0 1 5 X H U w M E F E X 0 p v d X J u Y W w v Q 2 h h b m d l Z C B U e X B l L n s k I E x v c 3 M s M T R 9 J n F 1 b 3 Q 7 L C Z x d W 9 0 O 1 N l Y 3 R p b 2 4 x L 0 1 5 X H U w M E F E X 0 p v d X J u Y W w v Q 2 h h b m d l Z C B U e X B l L n s k I F B y b 2 Z p d C w x N X 0 m c X V v d D s s J n F 1 b 3 Q 7 U 2 V j d G l v b j E v T X l c d T A w Q U R f S m 9 1 c m 5 h b C 9 D a G F u Z 2 V k I F R 5 c G U u e 0 5 l d C B Q X H U w M D I 2 T C w x N n 0 m c X V v d D s s J n F 1 b 3 Q 7 U 2 V j d G l v b j E v T X l c d T A w Q U R f S m 9 1 c m 5 h b C 9 D a G F u Z 2 V k I F R 5 c G U u e y U g U H J v Z m l 0 L D E 3 f S Z x d W 9 0 O y w m c X V v d D t T Z W N 0 a W 9 u M S 9 N e V x 1 M D B B R F 9 K b 3 V y b m F s L 0 N o Y W 5 n Z W Q g V H l w Z S 5 7 J S B M b 3 N z L D E 4 f S Z x d W 9 0 O y w m c X V v d D t T Z W N 0 a W 9 u M S 9 N e V x 1 M D B B R F 9 K b 3 V y b m F s L 0 N o Y W 5 n Z W Q g V H l w Z S 5 7 Q 2 9 t a X N z a W 9 u L D E 5 f S Z x d W 9 0 O y w m c X V v d D t T Z W N 0 a W 9 u M S 9 N e V x 1 M D B B R F 9 K b 3 V y b m F s L 0 N o Y W 5 n Z W Q g V H l w Z S 5 7 Q m F s Y W 5 j Z S w y M H 0 m c X V v d D s s J n F 1 b 3 Q 7 U 2 V j d G l v b j E v T X l c d T A w Q U R f S m 9 1 c m 5 h b C 9 D a G F u Z 2 V k I F R 5 c G U u e 0 R h d G U t T W 9 u d G g s M j F 9 J n F 1 b 3 Q 7 L C Z x d W 9 0 O 1 N l Y 3 R p b 2 4 x L 0 1 5 X H U w M E F E X 0 p v d X J u Y W w v Q 2 h h b m d l Z C B U e X B l L n t N b 2 5 0 a C 1 Z Z W F y L D I y f S Z x d W 9 0 O y w m c X V v d D t T Z W N 0 a W 9 u M S 9 N e V x 1 M D B B R F 9 K b 3 V y b m F s L 0 N o Y W 5 n Z W Q g V H l w Z S 5 7 R W 5 k I F R y Y W R l I G 9 m I G 1 v b n R o L D I z f S Z x d W 9 0 O y w m c X V v d D t T Z W N 0 a W 9 u M S 9 N e V x 1 M D B B R F 9 K b 3 V y b m F s L 0 N o Y W 5 n Z W Q g V H l w Z S 5 7 R W 5 k I E 1 v b n R o I G V x d W l 0 e S w y N H 0 m c X V v d D s s J n F 1 b 3 Q 7 U 2 V j d G l v b j E v T X l c d T A w Q U R f S m 9 1 c m 5 h b C 9 D a G F u Z 2 V k I F R 5 c G U u e 1 N p Z 2 5 h b C w y N X 0 m c X V v d D s s J n F 1 b 3 Q 7 U 2 V j d G l v b j E v T X l c d T A w Q U R f S m 9 1 c m 5 h b C 9 D a G F u Z 2 V k I F R 5 c G U u e 0 N v b W 1 l b n R z L D I 2 f S Z x d W 9 0 O y w m c X V v d D t T Z W N 0 a W 9 u M S 9 N e V x 1 M D B B R F 9 K b 3 V y b m F s L 0 N o Y W 5 n Z W Q g V H l w Z S 5 7 S W 1 h Z 2 V z L D I 3 f S Z x d W 9 0 O 1 0 s J n F 1 b 3 Q 7 Q 2 9 s d W 1 u Q 2 9 1 b n Q m c X V v d D s 6 M j g s J n F 1 b 3 Q 7 S 2 V 5 Q 2 9 s d W 1 u T m F t Z X M m c X V v d D s 6 W 1 0 s J n F 1 b 3 Q 7 Q 2 9 s d W 1 u S W R l b n R p d G l l c y Z x d W 9 0 O z p b J n F 1 b 3 Q 7 U 2 V j d G l v b j E v T X l c d T A w Q U R f S m 9 1 c m 5 h b C 9 D a G F u Z 2 V k I F R 5 c G U u e y M s M H 0 m c X V v d D s s J n F 1 b 3 Q 7 U 2 V j d G l v b j E v T X l c d T A w Q U R f S m 9 1 c m 5 h b C 9 D a G F u Z 2 V k I F R 5 c G U u e 0 R h d G U s M X 0 m c X V v d D s s J n F 1 b 3 Q 7 U 2 V j d G l v b j E v T X l c d T A w Q U R f S m 9 1 c m 5 h b C 9 D a G F u Z 2 V k I F R 5 c G U u e 1 R y Y W R l I E 1 v b n R o L D J 9 J n F 1 b 3 Q 7 L C Z x d W 9 0 O 1 N l Y 3 R p b 2 4 x L 0 1 5 X H U w M E F E X 0 p v d X J u Y W w v Q 2 h h b m d l Z C B U e X B l L n t E Y X R l I E N s b 3 N l L D N 9 J n F 1 b 3 Q 7 L C Z x d W 9 0 O 1 N l Y 3 R p b 2 4 x L 0 1 5 X H U w M E F E X 0 p v d X J u Y W w v Q 2 h h b m d l Z C B U e X B l L n t D d X J y Z W 5 j e S B Q Y W l y L D R 9 J n F 1 b 3 Q 7 L C Z x d W 9 0 O 1 N l Y 3 R p b 2 4 x L 0 1 5 X H U w M E F E X 0 p v d X J u Y W w v Q 2 h h b m d l Z C B U e X B l L n t Q b 3 N p d G l v b i B T a X p l L D V 9 J n F 1 b 3 Q 7 L C Z x d W 9 0 O 1 N l Y 3 R p b 2 4 x L 0 1 5 X H U w M E F E X 0 p v d X J u Y W w v Q 2 h h b m d l Z C B U e X B l L n t U a W 1 l I E Z y Y W 1 l L D Z 9 J n F 1 b 3 Q 7 L C Z x d W 9 0 O 1 N l Y 3 R p b 2 4 x L 0 1 5 X H U w M E F E X 0 p v d X J u Y W w v Q 2 h h b m d l Z C B U e X B l L n t E a X J l Y 3 R p b 2 4 s N 3 0 m c X V v d D s s J n F 1 b 3 Q 7 U 2 V j d G l v b j E v T X l c d T A w Q U R f S m 9 1 c m 5 h b C 9 D a G F u Z 2 V k I F R 5 c G U u e 0 V u d H J 5 I F B y a W N l L D h 9 J n F 1 b 3 Q 7 L C Z x d W 9 0 O 1 N l Y 3 R p b 2 4 x L 0 1 5 X H U w M E F E X 0 p v d X J u Y W w v Q 2 h h b m d l Z C B U e X B l L n t T d G 9 w I E x v c 3 M s O X 0 m c X V v d D s s J n F 1 b 3 Q 7 U 2 V j d G l v b j E v T X l c d T A w Q U R f S m 9 1 c m 5 h b C 9 D a G F u Z 2 V k I F R 5 c G U u e 1 R h a 2 U g U H J v Z m l 0 L D E w f S Z x d W 9 0 O y w m c X V v d D t T Z W N 0 a W 9 u M S 9 N e V x 1 M D B B R F 9 K b 3 V y b m F s L 0 N o Y W 5 n Z W Q g V H l w Z S 5 7 R X h p d C B Q c m l j Z S w x M X 0 m c X V v d D s s J n F 1 b 3 Q 7 U 2 V j d G l v b j E v T X l c d T A w Q U R f S m 9 1 c m 5 h b C 9 D a G F u Z 2 V k I F R 5 c G U u e 1 J p c 2 s v U m V 3 Y X J k X 0 5 l d y w x M n 0 m c X V v d D s s J n F 1 b 3 Q 7 U 2 V j d G l v b j E v T X l c d T A w Q U R f S m 9 1 c m 5 h b C 9 D a G F u Z 2 V k I F R 5 c G U u e 1 d p b i A v I E x v c 3 M s M T N 9 J n F 1 b 3 Q 7 L C Z x d W 9 0 O 1 N l Y 3 R p b 2 4 x L 0 1 5 X H U w M E F E X 0 p v d X J u Y W w v Q 2 h h b m d l Z C B U e X B l L n s k I E x v c 3 M s M T R 9 J n F 1 b 3 Q 7 L C Z x d W 9 0 O 1 N l Y 3 R p b 2 4 x L 0 1 5 X H U w M E F E X 0 p v d X J u Y W w v Q 2 h h b m d l Z C B U e X B l L n s k I F B y b 2 Z p d C w x N X 0 m c X V v d D s s J n F 1 b 3 Q 7 U 2 V j d G l v b j E v T X l c d T A w Q U R f S m 9 1 c m 5 h b C 9 D a G F u Z 2 V k I F R 5 c G U u e 0 5 l d C B Q X H U w M D I 2 T C w x N n 0 m c X V v d D s s J n F 1 b 3 Q 7 U 2 V j d G l v b j E v T X l c d T A w Q U R f S m 9 1 c m 5 h b C 9 D a G F u Z 2 V k I F R 5 c G U u e y U g U H J v Z m l 0 L D E 3 f S Z x d W 9 0 O y w m c X V v d D t T Z W N 0 a W 9 u M S 9 N e V x 1 M D B B R F 9 K b 3 V y b m F s L 0 N o Y W 5 n Z W Q g V H l w Z S 5 7 J S B M b 3 N z L D E 4 f S Z x d W 9 0 O y w m c X V v d D t T Z W N 0 a W 9 u M S 9 N e V x 1 M D B B R F 9 K b 3 V y b m F s L 0 N o Y W 5 n Z W Q g V H l w Z S 5 7 Q 2 9 t a X N z a W 9 u L D E 5 f S Z x d W 9 0 O y w m c X V v d D t T Z W N 0 a W 9 u M S 9 N e V x 1 M D B B R F 9 K b 3 V y b m F s L 0 N o Y W 5 n Z W Q g V H l w Z S 5 7 Q m F s Y W 5 j Z S w y M H 0 m c X V v d D s s J n F 1 b 3 Q 7 U 2 V j d G l v b j E v T X l c d T A w Q U R f S m 9 1 c m 5 h b C 9 D a G F u Z 2 V k I F R 5 c G U u e 0 R h d G U t T W 9 u d G g s M j F 9 J n F 1 b 3 Q 7 L C Z x d W 9 0 O 1 N l Y 3 R p b 2 4 x L 0 1 5 X H U w M E F E X 0 p v d X J u Y W w v Q 2 h h b m d l Z C B U e X B l L n t N b 2 5 0 a C 1 Z Z W F y L D I y f S Z x d W 9 0 O y w m c X V v d D t T Z W N 0 a W 9 u M S 9 N e V x 1 M D B B R F 9 K b 3 V y b m F s L 0 N o Y W 5 n Z W Q g V H l w Z S 5 7 R W 5 k I F R y Y W R l I G 9 m I G 1 v b n R o L D I z f S Z x d W 9 0 O y w m c X V v d D t T Z W N 0 a W 9 u M S 9 N e V x 1 M D B B R F 9 K b 3 V y b m F s L 0 N o Y W 5 n Z W Q g V H l w Z S 5 7 R W 5 k I E 1 v b n R o I G V x d W l 0 e S w y N H 0 m c X V v d D s s J n F 1 b 3 Q 7 U 2 V j d G l v b j E v T X l c d T A w Q U R f S m 9 1 c m 5 h b C 9 D a G F u Z 2 V k I F R 5 c G U u e 1 N p Z 2 5 h b C w y N X 0 m c X V v d D s s J n F 1 b 3 Q 7 U 2 V j d G l v b j E v T X l c d T A w Q U R f S m 9 1 c m 5 h b C 9 D a G F u Z 2 V k I F R 5 c G U u e 0 N v b W 1 l b n R z L D I 2 f S Z x d W 9 0 O y w m c X V v d D t T Z W N 0 a W 9 u M S 9 N e V x 1 M D B B R F 9 K b 3 V y b m F s L 0 N o Y W 5 n Z W Q g V H l w Z S 5 7 S W 1 h Z 2 V z L D I 3 f S Z x d W 9 0 O 1 0 s J n F 1 b 3 Q 7 U m V s Y X R p b 2 5 z a G l w S W 5 m b y Z x d W 9 0 O z p b X X 0 i I C 8 + P C 9 T d G F i b G V F b n R y a W V z P j w v S X R l b T 4 8 S X R l b T 4 8 S X R l b U x v Y 2 F 0 a W 9 u P j x J d G V t V H l w Z T 5 G b 3 J t d W x h P C 9 J d G V t V H l w Z T 4 8 S X R l b V B h d G g + U 2 V j d G l v b j E v T X k l Q z I l Q U R f S m 9 1 c m 5 h b C 9 T b 3 V y Y 2 U 8 L 0 l 0 Z W 1 Q Y X R o P j w v S X R l b U x v Y 2 F 0 a W 9 u P j x T d G F i b G V F b n R y a W V z I C 8 + P C 9 J d G V t P j x J d G V t P j x J d G V t T G 9 j Y X R p b 2 4 + P E l 0 Z W 1 U e X B l P k Z v c m 1 1 b G E 8 L 0 l 0 Z W 1 U e X B l P j x J d G V t U G F 0 a D 5 T Z W N 0 a W 9 u M S 9 N e S V D M i V B R F 9 K b 3 V y b m F s L 0 N o Y W 5 n Z W Q l M j B U e X B l P C 9 J d G V t U G F 0 a D 4 8 L 0 l 0 Z W 1 M b 2 N h d G l v b j 4 8 U 3 R h Y m x l R W 5 0 c m l l c y A v P j w v S X R l b T 4 8 L 0 l 0 Z W 1 z P j w v T G 9 j Y W x Q Y W N r Y W d l T W V 0 Y W R h d G F G a W x l P h Y A A A B Q S w U G A A A A A A A A A A A A A A A A A A A A A A A A Z A A A A O q l F v r Q P f v + v i C I Q 8 M n 1 j Q r Y L K o d z k l H n P 7 f F + i z H D w H l u t u G 8 V g S y b 1 R u + 1 + T e u 6 W j M z o X U 3 r k + j u E 0 x V t 0 c d O H 7 z S U Y 7 i w C M E A h r A x E I Q 8 v v R g b 7 W h n S o / y P h J e h V d r l 4 n Y g = < / D a t a M a s h u p > 
</file>

<file path=customXml/itemProps1.xml><?xml version="1.0" encoding="utf-8"?>
<ds:datastoreItem xmlns:ds="http://schemas.openxmlformats.org/officeDocument/2006/customXml" ds:itemID="{4C33CE5E-95D2-4980-B523-6CE4C1FD67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My_Journal</vt:lpstr>
      <vt:lpstr>Chart_Data</vt:lpstr>
      <vt:lpstr>Working</vt:lpstr>
      <vt:lpstr>List Variable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Numan Munir</dc:creator>
  <cp:keywords/>
  <dc:description/>
  <cp:lastModifiedBy>pc</cp:lastModifiedBy>
  <cp:revision/>
  <dcterms:created xsi:type="dcterms:W3CDTF">2025-01-04T13:26:32Z</dcterms:created>
  <dcterms:modified xsi:type="dcterms:W3CDTF">2025-08-08T16:27:39Z</dcterms:modified>
  <cp:category/>
  <cp:contentStatus/>
</cp:coreProperties>
</file>